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zchattarpong.p\Documents\IVMS&amp;OUR\OUR\"/>
    </mc:Choice>
  </mc:AlternateContent>
  <bookViews>
    <workbookView xWindow="0" yWindow="0" windowWidth="17265" windowHeight="5385"/>
  </bookViews>
  <sheets>
    <sheet name="Risk score summary" sheetId="9" r:id="rId1"/>
    <sheet name="Risk score graph summary (2)" sheetId="19" r:id="rId2"/>
    <sheet name="Risk score graph (Problem)" sheetId="20" r:id="rId3"/>
    <sheet name="Risk work flow" sheetId="13" r:id="rId4"/>
    <sheet name="Sheet1" sheetId="15" r:id="rId5"/>
    <sheet name="Risk score summary (Problem)" sheetId="21" r:id="rId6"/>
    <sheet name="Progress" sheetId="12" r:id="rId7"/>
    <sheet name="Int. Mo." sheetId="2" r:id="rId8"/>
    <sheet name="Int. Pa." sheetId="1" r:id="rId9"/>
    <sheet name="Ext. Pa" sheetId="5" r:id="rId10"/>
    <sheet name="Ext.Mo" sheetId="7" r:id="rId11"/>
    <sheet name="TPI. Pa." sheetId="6" r:id="rId12"/>
    <sheet name="TPI. Mo." sheetId="8" r:id="rId13"/>
    <sheet name="consequence" sheetId="10" r:id="rId14"/>
    <sheet name="conse.pa." sheetId="11" r:id="rId15"/>
    <sheet name="LGS Pa." sheetId="17" r:id="rId16"/>
    <sheet name="LGS_Mo." sheetId="18" r:id="rId17"/>
    <sheet name="Sheet2" sheetId="16" r:id="rId18"/>
  </sheets>
  <externalReferences>
    <externalReference r:id="rId19"/>
    <externalReference r:id="rId20"/>
    <externalReference r:id="rId21"/>
  </externalReferences>
  <definedNames>
    <definedName name="_3_Layer_Polyethylene">'Ext. Pa'!$B$5:$B$8</definedName>
    <definedName name="_xlnm._FilterDatabase" localSheetId="10" hidden="1">Ext.Mo!$AK$2</definedName>
  </definedNames>
  <calcPr calcId="162913"/>
</workbook>
</file>

<file path=xl/calcChain.xml><?xml version="1.0" encoding="utf-8"?>
<calcChain xmlns="http://schemas.openxmlformats.org/spreadsheetml/2006/main">
  <c r="X17" i="21" l="1"/>
  <c r="E17" i="21"/>
  <c r="X16" i="21"/>
  <c r="E16" i="21"/>
  <c r="X15" i="21"/>
  <c r="E15" i="21"/>
  <c r="X14" i="21"/>
  <c r="E14" i="21"/>
  <c r="X13" i="21"/>
  <c r="E13" i="21"/>
  <c r="X12" i="21"/>
  <c r="E12" i="21"/>
  <c r="X11" i="21"/>
  <c r="E11" i="21"/>
  <c r="X10" i="21"/>
  <c r="E10" i="21"/>
  <c r="X9" i="21"/>
  <c r="E9" i="21"/>
  <c r="X8" i="21"/>
  <c r="E8" i="21"/>
  <c r="X7" i="21"/>
  <c r="E7" i="21"/>
  <c r="X6" i="21"/>
  <c r="E6" i="21"/>
  <c r="X5" i="21"/>
  <c r="E5" i="21"/>
  <c r="X4" i="21"/>
  <c r="E4" i="21"/>
  <c r="X3" i="21"/>
  <c r="E3" i="21"/>
  <c r="K4" i="9" l="1"/>
  <c r="K5" i="9"/>
  <c r="K6" i="9"/>
  <c r="K7" i="9"/>
  <c r="K8" i="9"/>
  <c r="K9" i="9"/>
  <c r="K10" i="9"/>
  <c r="K11" i="9"/>
  <c r="K43" i="9"/>
  <c r="K44" i="9"/>
  <c r="K57" i="9"/>
  <c r="K58" i="9"/>
  <c r="K59" i="9"/>
  <c r="K60" i="9"/>
  <c r="K61" i="9"/>
  <c r="K62" i="9"/>
  <c r="K63" i="9"/>
  <c r="K64" i="9"/>
  <c r="K65" i="9"/>
  <c r="K66" i="9"/>
  <c r="K67" i="9"/>
  <c r="K72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101" i="9"/>
  <c r="K107" i="9"/>
  <c r="K108" i="9"/>
  <c r="K109" i="9"/>
  <c r="K110" i="9"/>
  <c r="K111" i="9"/>
  <c r="K178" i="9"/>
  <c r="K179" i="9"/>
  <c r="K202" i="9"/>
  <c r="K204" i="9"/>
  <c r="K205" i="9"/>
  <c r="K206" i="9"/>
  <c r="K207" i="9"/>
  <c r="K211" i="9"/>
  <c r="K212" i="9"/>
  <c r="K213" i="9"/>
  <c r="K214" i="9"/>
  <c r="K215" i="9"/>
  <c r="K216" i="9"/>
  <c r="K217" i="9"/>
  <c r="K218" i="9"/>
  <c r="K219" i="9"/>
  <c r="K258" i="9"/>
  <c r="M187" i="9"/>
  <c r="X313" i="9" l="1"/>
  <c r="T313" i="9"/>
  <c r="E313" i="9"/>
  <c r="X312" i="9"/>
  <c r="E312" i="9"/>
  <c r="X311" i="9"/>
  <c r="T311" i="9"/>
  <c r="E311" i="9"/>
  <c r="E263" i="9"/>
  <c r="X263" i="9"/>
  <c r="G264" i="7" l="1"/>
  <c r="AF264" i="7" s="1"/>
  <c r="G265" i="7"/>
  <c r="AF265" i="7" s="1"/>
  <c r="V265" i="7"/>
  <c r="W265" i="7"/>
  <c r="AH265" i="7" s="1"/>
  <c r="AI265" i="7" s="1"/>
  <c r="X265" i="7"/>
  <c r="Y265" i="7"/>
  <c r="Z265" i="7"/>
  <c r="AA265" i="7"/>
  <c r="AB265" i="7"/>
  <c r="AC265" i="7"/>
  <c r="AG265" i="7" s="1"/>
  <c r="AD265" i="7"/>
  <c r="AE265" i="7"/>
  <c r="V264" i="7"/>
  <c r="W264" i="7"/>
  <c r="AH264" i="7" s="1"/>
  <c r="AI264" i="7" s="1"/>
  <c r="X264" i="7"/>
  <c r="Y264" i="7"/>
  <c r="Z264" i="7"/>
  <c r="AA264" i="7"/>
  <c r="AB264" i="7"/>
  <c r="AC264" i="7"/>
  <c r="AG264" i="7" s="1"/>
  <c r="AD264" i="7"/>
  <c r="AE264" i="7"/>
  <c r="AJ265" i="7" l="1"/>
  <c r="AJ264" i="7"/>
  <c r="G206" i="7"/>
  <c r="AF206" i="7" s="1"/>
  <c r="V206" i="7"/>
  <c r="W206" i="7"/>
  <c r="AH206" i="7" s="1"/>
  <c r="AI206" i="7" s="1"/>
  <c r="X206" i="7"/>
  <c r="Y206" i="7"/>
  <c r="Z206" i="7"/>
  <c r="AA206" i="7"/>
  <c r="AB206" i="7"/>
  <c r="AC206" i="7"/>
  <c r="AG206" i="7" s="1"/>
  <c r="AD206" i="7"/>
  <c r="AE206" i="7"/>
  <c r="G186" i="7"/>
  <c r="AF186" i="7" s="1"/>
  <c r="V186" i="7"/>
  <c r="W186" i="7"/>
  <c r="AH186" i="7" s="1"/>
  <c r="AI186" i="7" s="1"/>
  <c r="X186" i="7"/>
  <c r="Y186" i="7"/>
  <c r="Z186" i="7"/>
  <c r="AA186" i="7"/>
  <c r="AB186" i="7"/>
  <c r="AC186" i="7"/>
  <c r="AG186" i="7" s="1"/>
  <c r="AD186" i="7"/>
  <c r="AE186" i="7"/>
  <c r="AJ186" i="7" l="1"/>
  <c r="AJ206" i="7"/>
  <c r="O315" i="9"/>
  <c r="P315" i="9" s="1"/>
  <c r="M323" i="18"/>
  <c r="M324" i="18"/>
  <c r="N323" i="18"/>
  <c r="P323" i="18" s="1"/>
  <c r="N324" i="18"/>
  <c r="P324" i="18" s="1"/>
  <c r="O323" i="18"/>
  <c r="O32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N75" i="18"/>
  <c r="P75" i="18" s="1"/>
  <c r="N76" i="18"/>
  <c r="P76" i="18" s="1"/>
  <c r="N77" i="18"/>
  <c r="P77" i="18" s="1"/>
  <c r="N78" i="18"/>
  <c r="P78" i="18" s="1"/>
  <c r="N79" i="18"/>
  <c r="P79" i="18" s="1"/>
  <c r="N80" i="18"/>
  <c r="P80" i="18" s="1"/>
  <c r="N81" i="18"/>
  <c r="P81" i="18" s="1"/>
  <c r="N82" i="18"/>
  <c r="P82" i="18" s="1"/>
  <c r="N83" i="18"/>
  <c r="P83" i="18" s="1"/>
  <c r="N84" i="18"/>
  <c r="P84" i="18" s="1"/>
  <c r="N85" i="18"/>
  <c r="P85" i="18" s="1"/>
  <c r="N86" i="18"/>
  <c r="P86" i="18" s="1"/>
  <c r="N87" i="18"/>
  <c r="P87" i="18" s="1"/>
  <c r="N88" i="18"/>
  <c r="P88" i="18" s="1"/>
  <c r="O74" i="9" s="1"/>
  <c r="N89" i="18"/>
  <c r="P89" i="18" s="1"/>
  <c r="O75" i="9" s="1"/>
  <c r="N90" i="18"/>
  <c r="P90" i="18" s="1"/>
  <c r="O76" i="9" s="1"/>
  <c r="N91" i="18"/>
  <c r="P91" i="18" s="1"/>
  <c r="N92" i="18"/>
  <c r="P92" i="18" s="1"/>
  <c r="O78" i="9" s="1"/>
  <c r="N93" i="18"/>
  <c r="P93" i="18" s="1"/>
  <c r="O81" i="9" s="1"/>
  <c r="N94" i="18"/>
  <c r="P94" i="18" s="1"/>
  <c r="N95" i="18"/>
  <c r="P95" i="18" s="1"/>
  <c r="N96" i="18"/>
  <c r="P96" i="18" s="1"/>
  <c r="O82" i="9" s="1"/>
  <c r="N97" i="18"/>
  <c r="P97" i="18" s="1"/>
  <c r="O83" i="9" s="1"/>
  <c r="N98" i="18"/>
  <c r="P98" i="18" s="1"/>
  <c r="O84" i="9" s="1"/>
  <c r="N99" i="18"/>
  <c r="P99" i="18" s="1"/>
  <c r="N100" i="18"/>
  <c r="P100" i="18" s="1"/>
  <c r="O86" i="9" s="1"/>
  <c r="N101" i="18"/>
  <c r="P101" i="18" s="1"/>
  <c r="O87" i="9" s="1"/>
  <c r="N102" i="18"/>
  <c r="P102" i="18" s="1"/>
  <c r="O88" i="9" s="1"/>
  <c r="N103" i="18"/>
  <c r="P103" i="18" s="1"/>
  <c r="N104" i="18"/>
  <c r="P104" i="18" s="1"/>
  <c r="O90" i="9" s="1"/>
  <c r="N105" i="18"/>
  <c r="P105" i="18" s="1"/>
  <c r="O91" i="9" s="1"/>
  <c r="N106" i="18"/>
  <c r="P106" i="18" s="1"/>
  <c r="O92" i="9" s="1"/>
  <c r="N107" i="18"/>
  <c r="P107" i="18" s="1"/>
  <c r="N108" i="18"/>
  <c r="P108" i="18" s="1"/>
  <c r="O218" i="9" s="1"/>
  <c r="N109" i="18"/>
  <c r="P109" i="18" s="1"/>
  <c r="N110" i="18"/>
  <c r="P110" i="18" s="1"/>
  <c r="O219" i="9" s="1"/>
  <c r="N111" i="18"/>
  <c r="P111" i="18" s="1"/>
  <c r="N112" i="18"/>
  <c r="P112" i="18" s="1"/>
  <c r="O94" i="9" s="1"/>
  <c r="N113" i="18"/>
  <c r="P113" i="18" s="1"/>
  <c r="O66" i="9" s="1"/>
  <c r="N114" i="18"/>
  <c r="P114" i="18" s="1"/>
  <c r="O67" i="9" s="1"/>
  <c r="N115" i="18"/>
  <c r="P115" i="18" s="1"/>
  <c r="N116" i="18"/>
  <c r="P116" i="18" s="1"/>
  <c r="O13" i="9" s="1"/>
  <c r="N117" i="18"/>
  <c r="P117" i="18" s="1"/>
  <c r="N118" i="18"/>
  <c r="P118" i="18" s="1"/>
  <c r="O15" i="9" s="1"/>
  <c r="N119" i="18"/>
  <c r="P119" i="18" s="1"/>
  <c r="N120" i="18"/>
  <c r="P120" i="18" s="1"/>
  <c r="O17" i="9" s="1"/>
  <c r="N121" i="18"/>
  <c r="P121" i="18" s="1"/>
  <c r="O18" i="9" s="1"/>
  <c r="N122" i="18"/>
  <c r="P122" i="18" s="1"/>
  <c r="N123" i="18"/>
  <c r="P123" i="18" s="1"/>
  <c r="N124" i="18"/>
  <c r="P124" i="18" s="1"/>
  <c r="O21" i="9" s="1"/>
  <c r="N125" i="18"/>
  <c r="P125" i="18" s="1"/>
  <c r="O22" i="9" s="1"/>
  <c r="N126" i="18"/>
  <c r="P126" i="18" s="1"/>
  <c r="O23" i="9" s="1"/>
  <c r="N127" i="18"/>
  <c r="P127" i="18" s="1"/>
  <c r="N128" i="18"/>
  <c r="P128" i="18" s="1"/>
  <c r="O25" i="9" s="1"/>
  <c r="N129" i="18"/>
  <c r="P129" i="18" s="1"/>
  <c r="O26" i="9" s="1"/>
  <c r="N130" i="18"/>
  <c r="P130" i="18" s="1"/>
  <c r="N131" i="18"/>
  <c r="P131" i="18" s="1"/>
  <c r="N132" i="18"/>
  <c r="P132" i="18" s="1"/>
  <c r="O29" i="9" s="1"/>
  <c r="N133" i="18"/>
  <c r="P133" i="18" s="1"/>
  <c r="O30" i="9" s="1"/>
  <c r="N134" i="18"/>
  <c r="P134" i="18" s="1"/>
  <c r="O31" i="9" s="1"/>
  <c r="N135" i="18"/>
  <c r="P135" i="18" s="1"/>
  <c r="N136" i="18"/>
  <c r="P136" i="18" s="1"/>
  <c r="O33" i="9" s="1"/>
  <c r="N137" i="18"/>
  <c r="P137" i="18" s="1"/>
  <c r="O34" i="9" s="1"/>
  <c r="N138" i="18"/>
  <c r="P138" i="18" s="1"/>
  <c r="N139" i="18"/>
  <c r="P139" i="18" s="1"/>
  <c r="N140" i="18"/>
  <c r="P140" i="18" s="1"/>
  <c r="O37" i="9" s="1"/>
  <c r="N141" i="18"/>
  <c r="P141" i="18" s="1"/>
  <c r="O38" i="9" s="1"/>
  <c r="N142" i="18"/>
  <c r="P142" i="18" s="1"/>
  <c r="O39" i="9" s="1"/>
  <c r="N143" i="18"/>
  <c r="P143" i="18" s="1"/>
  <c r="N144" i="18"/>
  <c r="P144" i="18" s="1"/>
  <c r="N145" i="18"/>
  <c r="P145" i="18" s="1"/>
  <c r="O42" i="9" s="1"/>
  <c r="N146" i="18"/>
  <c r="P146" i="18" s="1"/>
  <c r="O220" i="9" s="1"/>
  <c r="N147" i="18"/>
  <c r="P147" i="18" s="1"/>
  <c r="N148" i="18"/>
  <c r="P148" i="18" s="1"/>
  <c r="O100" i="9" s="1"/>
  <c r="N149" i="18"/>
  <c r="P149" i="18" s="1"/>
  <c r="O222" i="9" s="1"/>
  <c r="N150" i="18"/>
  <c r="P150" i="18" s="1"/>
  <c r="O223" i="9" s="1"/>
  <c r="N151" i="18"/>
  <c r="P151" i="18" s="1"/>
  <c r="N152" i="18"/>
  <c r="P152" i="18" s="1"/>
  <c r="O225" i="9" s="1"/>
  <c r="N153" i="18"/>
  <c r="P153" i="18" s="1"/>
  <c r="N154" i="18"/>
  <c r="P154" i="18" s="1"/>
  <c r="O95" i="9" s="1"/>
  <c r="N155" i="18"/>
  <c r="P155" i="18" s="1"/>
  <c r="N156" i="18"/>
  <c r="P156" i="18" s="1"/>
  <c r="O97" i="9" s="1"/>
  <c r="N157" i="18"/>
  <c r="P157" i="18" s="1"/>
  <c r="O98" i="9" s="1"/>
  <c r="N158" i="18"/>
  <c r="P158" i="18" s="1"/>
  <c r="O99" i="9" s="1"/>
  <c r="N159" i="18"/>
  <c r="P159" i="18" s="1"/>
  <c r="N160" i="18"/>
  <c r="P160" i="18" s="1"/>
  <c r="O227" i="9" s="1"/>
  <c r="N161" i="18"/>
  <c r="P161" i="18" s="1"/>
  <c r="O228" i="9" s="1"/>
  <c r="N162" i="18"/>
  <c r="P162" i="18" s="1"/>
  <c r="N163" i="18"/>
  <c r="P163" i="18" s="1"/>
  <c r="N164" i="18"/>
  <c r="P164" i="18" s="1"/>
  <c r="O231" i="9" s="1"/>
  <c r="N165" i="18"/>
  <c r="P165" i="18" s="1"/>
  <c r="O232" i="9" s="1"/>
  <c r="N166" i="18"/>
  <c r="P166" i="18" s="1"/>
  <c r="O233" i="9" s="1"/>
  <c r="N167" i="18"/>
  <c r="P167" i="18" s="1"/>
  <c r="N168" i="18"/>
  <c r="P168" i="18" s="1"/>
  <c r="O235" i="9" s="1"/>
  <c r="N169" i="18"/>
  <c r="P169" i="18" s="1"/>
  <c r="O236" i="9" s="1"/>
  <c r="N170" i="18"/>
  <c r="P170" i="18" s="1"/>
  <c r="N171" i="18"/>
  <c r="P171" i="18" s="1"/>
  <c r="N172" i="18"/>
  <c r="P172" i="18" s="1"/>
  <c r="O102" i="9" s="1"/>
  <c r="N173" i="18"/>
  <c r="P173" i="18" s="1"/>
  <c r="O103" i="9" s="1"/>
  <c r="N174" i="18"/>
  <c r="P174" i="18" s="1"/>
  <c r="O266" i="9" s="1"/>
  <c r="N175" i="18"/>
  <c r="P175" i="18" s="1"/>
  <c r="N176" i="18"/>
  <c r="P176" i="18" s="1"/>
  <c r="O268" i="9" s="1"/>
  <c r="N177" i="18"/>
  <c r="P177" i="18" s="1"/>
  <c r="O269" i="9" s="1"/>
  <c r="N178" i="18"/>
  <c r="P178" i="18" s="1"/>
  <c r="N179" i="18"/>
  <c r="P179" i="18" s="1"/>
  <c r="N180" i="18"/>
  <c r="P180" i="18" s="1"/>
  <c r="N181" i="18"/>
  <c r="P181" i="18" s="1"/>
  <c r="O273" i="9" s="1"/>
  <c r="N182" i="18"/>
  <c r="P182" i="18" s="1"/>
  <c r="O274" i="9" s="1"/>
  <c r="N183" i="18"/>
  <c r="P183" i="18" s="1"/>
  <c r="N184" i="18"/>
  <c r="P184" i="18" s="1"/>
  <c r="N185" i="18"/>
  <c r="P185" i="18" s="1"/>
  <c r="O277" i="9" s="1"/>
  <c r="N186" i="18"/>
  <c r="P186" i="18" s="1"/>
  <c r="O278" i="9" s="1"/>
  <c r="N187" i="18"/>
  <c r="P187" i="18" s="1"/>
  <c r="N188" i="18"/>
  <c r="P188" i="18" s="1"/>
  <c r="O280" i="9" s="1"/>
  <c r="N189" i="18"/>
  <c r="P189" i="18" s="1"/>
  <c r="O281" i="9" s="1"/>
  <c r="N190" i="18"/>
  <c r="P190" i="18" s="1"/>
  <c r="O282" i="9" s="1"/>
  <c r="N191" i="18"/>
  <c r="P191" i="18" s="1"/>
  <c r="N192" i="18"/>
  <c r="P192" i="18" s="1"/>
  <c r="O144" i="9" s="1"/>
  <c r="N193" i="18"/>
  <c r="P193" i="18" s="1"/>
  <c r="O135" i="9" s="1"/>
  <c r="N194" i="18"/>
  <c r="P194" i="18" s="1"/>
  <c r="O284" i="9" s="1"/>
  <c r="N195" i="18"/>
  <c r="P195" i="18" s="1"/>
  <c r="N196" i="18"/>
  <c r="P196" i="18" s="1"/>
  <c r="O141" i="9" s="1"/>
  <c r="N197" i="18"/>
  <c r="P197" i="18" s="1"/>
  <c r="O69" i="9" s="1"/>
  <c r="N198" i="18"/>
  <c r="P198" i="18" s="1"/>
  <c r="N199" i="18"/>
  <c r="P199" i="18" s="1"/>
  <c r="N200" i="18"/>
  <c r="P200" i="18" s="1"/>
  <c r="O285" i="9" s="1"/>
  <c r="N201" i="18"/>
  <c r="P201" i="18" s="1"/>
  <c r="O106" i="9" s="1"/>
  <c r="N202" i="18"/>
  <c r="P202" i="18" s="1"/>
  <c r="O136" i="9" s="1"/>
  <c r="N203" i="18"/>
  <c r="P203" i="18" s="1"/>
  <c r="N204" i="18"/>
  <c r="P204" i="18" s="1"/>
  <c r="O137" i="9" s="1"/>
  <c r="N205" i="18"/>
  <c r="P205" i="18" s="1"/>
  <c r="O104" i="9" s="1"/>
  <c r="N206" i="18"/>
  <c r="P206" i="18" s="1"/>
  <c r="O138" i="9" s="1"/>
  <c r="N207" i="18"/>
  <c r="P207" i="18" s="1"/>
  <c r="N208" i="18"/>
  <c r="P208" i="18" s="1"/>
  <c r="O286" i="9" s="1"/>
  <c r="N209" i="18"/>
  <c r="P209" i="18" s="1"/>
  <c r="O287" i="9" s="1"/>
  <c r="N210" i="18"/>
  <c r="P210" i="18" s="1"/>
  <c r="O288" i="9" s="1"/>
  <c r="N211" i="18"/>
  <c r="P211" i="18" s="1"/>
  <c r="N212" i="18"/>
  <c r="P212" i="18" s="1"/>
  <c r="O240" i="9" s="1"/>
  <c r="N213" i="18"/>
  <c r="P213" i="18" s="1"/>
  <c r="O241" i="9" s="1"/>
  <c r="N214" i="18"/>
  <c r="P214" i="18" s="1"/>
  <c r="O289" i="9" s="1"/>
  <c r="N215" i="18"/>
  <c r="P215" i="18" s="1"/>
  <c r="N216" i="18"/>
  <c r="P216" i="18" s="1"/>
  <c r="O291" i="9" s="1"/>
  <c r="N217" i="18"/>
  <c r="P217" i="18" s="1"/>
  <c r="O292" i="9" s="1"/>
  <c r="N218" i="18"/>
  <c r="P218" i="18" s="1"/>
  <c r="O293" i="9" s="1"/>
  <c r="N219" i="18"/>
  <c r="P219" i="18" s="1"/>
  <c r="N220" i="18"/>
  <c r="P220" i="18" s="1"/>
  <c r="O242" i="9" s="1"/>
  <c r="N221" i="18"/>
  <c r="P221" i="18" s="1"/>
  <c r="O142" i="9" s="1"/>
  <c r="N222" i="18"/>
  <c r="P222" i="18" s="1"/>
  <c r="O143" i="9" s="1"/>
  <c r="N223" i="18"/>
  <c r="P223" i="18" s="1"/>
  <c r="N224" i="18"/>
  <c r="P224" i="18" s="1"/>
  <c r="O49" i="9" s="1"/>
  <c r="N225" i="18"/>
  <c r="P225" i="18" s="1"/>
  <c r="O45" i="9" s="1"/>
  <c r="N226" i="18"/>
  <c r="P226" i="18" s="1"/>
  <c r="O50" i="9" s="1"/>
  <c r="N227" i="18"/>
  <c r="P227" i="18" s="1"/>
  <c r="N228" i="18"/>
  <c r="P228" i="18" s="1"/>
  <c r="O52" i="9" s="1"/>
  <c r="N229" i="18"/>
  <c r="P229" i="18" s="1"/>
  <c r="O53" i="9" s="1"/>
  <c r="N230" i="18"/>
  <c r="P230" i="18" s="1"/>
  <c r="O54" i="9" s="1"/>
  <c r="N231" i="18"/>
  <c r="P231" i="18" s="1"/>
  <c r="N232" i="18"/>
  <c r="P232" i="18" s="1"/>
  <c r="O46" i="9" s="1"/>
  <c r="N233" i="18"/>
  <c r="P233" i="18" s="1"/>
  <c r="O47" i="9" s="1"/>
  <c r="N234" i="18"/>
  <c r="P234" i="18" s="1"/>
  <c r="O48" i="9" s="1"/>
  <c r="N235" i="18"/>
  <c r="P235" i="18" s="1"/>
  <c r="O208" i="9" s="1"/>
  <c r="N236" i="18"/>
  <c r="P236" i="18" s="1"/>
  <c r="O209" i="9" s="1"/>
  <c r="N237" i="18"/>
  <c r="P237" i="18" s="1"/>
  <c r="O243" i="9" s="1"/>
  <c r="N238" i="18"/>
  <c r="P238" i="18" s="1"/>
  <c r="O210" i="9" s="1"/>
  <c r="N239" i="18"/>
  <c r="P239" i="18" s="1"/>
  <c r="N240" i="18"/>
  <c r="P240" i="18" s="1"/>
  <c r="O244" i="9" s="1"/>
  <c r="N241" i="18"/>
  <c r="P241" i="18" s="1"/>
  <c r="O245" i="9" s="1"/>
  <c r="N242" i="18"/>
  <c r="P242" i="18" s="1"/>
  <c r="O246" i="9" s="1"/>
  <c r="N243" i="18"/>
  <c r="P243" i="18" s="1"/>
  <c r="N244" i="18"/>
  <c r="P244" i="18" s="1"/>
  <c r="O247" i="9" s="1"/>
  <c r="N245" i="18"/>
  <c r="P245" i="18" s="1"/>
  <c r="O248" i="9" s="1"/>
  <c r="N246" i="18"/>
  <c r="P246" i="18" s="1"/>
  <c r="O181" i="9" s="1"/>
  <c r="N247" i="18"/>
  <c r="P247" i="18" s="1"/>
  <c r="N248" i="18"/>
  <c r="P248" i="18" s="1"/>
  <c r="O183" i="9" s="1"/>
  <c r="N249" i="18"/>
  <c r="P249" i="18" s="1"/>
  <c r="O184" i="9" s="1"/>
  <c r="N250" i="18"/>
  <c r="P250" i="18" s="1"/>
  <c r="O185" i="9" s="1"/>
  <c r="N251" i="18"/>
  <c r="P251" i="18" s="1"/>
  <c r="O186" i="9" s="1"/>
  <c r="N252" i="18"/>
  <c r="P252" i="18" s="1"/>
  <c r="O187" i="9" s="1"/>
  <c r="N253" i="18"/>
  <c r="P253" i="18" s="1"/>
  <c r="O188" i="9" s="1"/>
  <c r="N254" i="18"/>
  <c r="P254" i="18" s="1"/>
  <c r="O189" i="9" s="1"/>
  <c r="N255" i="18"/>
  <c r="P255" i="18" s="1"/>
  <c r="O263" i="9" s="1"/>
  <c r="N256" i="18"/>
  <c r="P256" i="18" s="1"/>
  <c r="O190" i="9" s="1"/>
  <c r="N257" i="18"/>
  <c r="P257" i="18" s="1"/>
  <c r="O191" i="9" s="1"/>
  <c r="N258" i="18"/>
  <c r="P258" i="18" s="1"/>
  <c r="N259" i="18"/>
  <c r="P259" i="18" s="1"/>
  <c r="N260" i="18"/>
  <c r="P260" i="18" s="1"/>
  <c r="O193" i="9" s="1"/>
  <c r="N261" i="18"/>
  <c r="P261" i="18" s="1"/>
  <c r="N262" i="18"/>
  <c r="P262" i="18" s="1"/>
  <c r="O264" i="9" s="1"/>
  <c r="N263" i="18"/>
  <c r="P263" i="18" s="1"/>
  <c r="N264" i="18"/>
  <c r="P264" i="18" s="1"/>
  <c r="N265" i="18"/>
  <c r="P265" i="18" s="1"/>
  <c r="O113" i="9" s="1"/>
  <c r="N266" i="18"/>
  <c r="P266" i="18" s="1"/>
  <c r="O114" i="9" s="1"/>
  <c r="N267" i="18"/>
  <c r="P267" i="18" s="1"/>
  <c r="N268" i="18"/>
  <c r="P268" i="18" s="1"/>
  <c r="O116" i="9" s="1"/>
  <c r="N269" i="18"/>
  <c r="P269" i="18" s="1"/>
  <c r="O117" i="9" s="1"/>
  <c r="N270" i="18"/>
  <c r="P270" i="18" s="1"/>
  <c r="N271" i="18"/>
  <c r="P271" i="18" s="1"/>
  <c r="O6" i="21" s="1"/>
  <c r="N272" i="18"/>
  <c r="P272" i="18" s="1"/>
  <c r="N273" i="18"/>
  <c r="P273" i="18" s="1"/>
  <c r="O121" i="9" s="1"/>
  <c r="N274" i="18"/>
  <c r="P274" i="18" s="1"/>
  <c r="N275" i="18"/>
  <c r="P275" i="18" s="1"/>
  <c r="O9" i="21" s="1"/>
  <c r="N276" i="18"/>
  <c r="P276" i="18" s="1"/>
  <c r="N277" i="18"/>
  <c r="P277" i="18" s="1"/>
  <c r="N278" i="18"/>
  <c r="P278" i="18" s="1"/>
  <c r="O126" i="9" s="1"/>
  <c r="N279" i="18"/>
  <c r="P279" i="18" s="1"/>
  <c r="O12" i="21" s="1"/>
  <c r="N280" i="18"/>
  <c r="P280" i="18" s="1"/>
  <c r="N281" i="18"/>
  <c r="P281" i="18" s="1"/>
  <c r="O129" i="9" s="1"/>
  <c r="N282" i="18"/>
  <c r="P282" i="18" s="1"/>
  <c r="O130" i="9" s="1"/>
  <c r="N283" i="18"/>
  <c r="P283" i="18" s="1"/>
  <c r="N284" i="18"/>
  <c r="P284" i="18" s="1"/>
  <c r="N285" i="18"/>
  <c r="P285" i="18" s="1"/>
  <c r="N286" i="18"/>
  <c r="P286" i="18" s="1"/>
  <c r="O134" i="9" s="1"/>
  <c r="N287" i="18"/>
  <c r="P287" i="18" s="1"/>
  <c r="N288" i="18"/>
  <c r="P288" i="18" s="1"/>
  <c r="O250" i="9" s="1"/>
  <c r="N289" i="18"/>
  <c r="P289" i="18" s="1"/>
  <c r="O251" i="9" s="1"/>
  <c r="N290" i="18"/>
  <c r="P290" i="18" s="1"/>
  <c r="O252" i="9" s="1"/>
  <c r="N291" i="18"/>
  <c r="P291" i="18" s="1"/>
  <c r="N292" i="18"/>
  <c r="P292" i="18" s="1"/>
  <c r="O254" i="9" s="1"/>
  <c r="N293" i="18"/>
  <c r="P293" i="18" s="1"/>
  <c r="O255" i="9" s="1"/>
  <c r="N294" i="18"/>
  <c r="P294" i="18" s="1"/>
  <c r="O256" i="9" s="1"/>
  <c r="N295" i="18"/>
  <c r="P295" i="18" s="1"/>
  <c r="N296" i="18"/>
  <c r="P296" i="18" s="1"/>
  <c r="O265" i="9" s="1"/>
  <c r="N297" i="18"/>
  <c r="P297" i="18" s="1"/>
  <c r="O194" i="9" s="1"/>
  <c r="N298" i="18"/>
  <c r="P298" i="18" s="1"/>
  <c r="O195" i="9" s="1"/>
  <c r="N299" i="18"/>
  <c r="P299" i="18" s="1"/>
  <c r="O196" i="9" s="1"/>
  <c r="N300" i="18"/>
  <c r="P300" i="18" s="1"/>
  <c r="O197" i="9" s="1"/>
  <c r="N301" i="18"/>
  <c r="P301" i="18" s="1"/>
  <c r="O198" i="9" s="1"/>
  <c r="N302" i="18"/>
  <c r="P302" i="18" s="1"/>
  <c r="O199" i="9" s="1"/>
  <c r="N303" i="18"/>
  <c r="P303" i="18" s="1"/>
  <c r="N304" i="18"/>
  <c r="P304" i="18" s="1"/>
  <c r="O201" i="9" s="1"/>
  <c r="N305" i="18"/>
  <c r="P305" i="18" s="1"/>
  <c r="O294" i="9" s="1"/>
  <c r="N306" i="18"/>
  <c r="P306" i="18" s="1"/>
  <c r="O295" i="9" s="1"/>
  <c r="N307" i="18"/>
  <c r="P307" i="18" s="1"/>
  <c r="O313" i="9" s="1"/>
  <c r="N308" i="18"/>
  <c r="P308" i="18" s="1"/>
  <c r="O297" i="9" s="1"/>
  <c r="N309" i="18"/>
  <c r="P309" i="18" s="1"/>
  <c r="O298" i="9" s="1"/>
  <c r="N310" i="18"/>
  <c r="P310" i="18" s="1"/>
  <c r="O299" i="9" s="1"/>
  <c r="N311" i="18"/>
  <c r="P311" i="18" s="1"/>
  <c r="N312" i="18"/>
  <c r="P312" i="18" s="1"/>
  <c r="O301" i="9" s="1"/>
  <c r="N313" i="18"/>
  <c r="P313" i="18" s="1"/>
  <c r="O302" i="9" s="1"/>
  <c r="N314" i="18"/>
  <c r="P314" i="18" s="1"/>
  <c r="O303" i="9" s="1"/>
  <c r="N315" i="18"/>
  <c r="P315" i="18" s="1"/>
  <c r="O304" i="9" s="1"/>
  <c r="N316" i="18"/>
  <c r="P316" i="18" s="1"/>
  <c r="O305" i="9" s="1"/>
  <c r="N317" i="18"/>
  <c r="P317" i="18" s="1"/>
  <c r="O306" i="9" s="1"/>
  <c r="N318" i="18"/>
  <c r="P318" i="18" s="1"/>
  <c r="O307" i="9" s="1"/>
  <c r="N319" i="18"/>
  <c r="P319" i="18" s="1"/>
  <c r="O308" i="9" s="1"/>
  <c r="N320" i="18"/>
  <c r="P320" i="18" s="1"/>
  <c r="O309" i="9" s="1"/>
  <c r="N321" i="18"/>
  <c r="P321" i="18" s="1"/>
  <c r="O310" i="9" s="1"/>
  <c r="N322" i="18"/>
  <c r="P322" i="18" s="1"/>
  <c r="O311" i="9" s="1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65" i="9"/>
  <c r="O6" i="9"/>
  <c r="O7" i="9"/>
  <c r="O8" i="9"/>
  <c r="O9" i="9"/>
  <c r="O10" i="9"/>
  <c r="O11" i="9"/>
  <c r="O214" i="9"/>
  <c r="O215" i="9"/>
  <c r="O216" i="9"/>
  <c r="O217" i="9"/>
  <c r="O72" i="9"/>
  <c r="O77" i="9"/>
  <c r="O85" i="9"/>
  <c r="O89" i="9"/>
  <c r="O93" i="9"/>
  <c r="O101" i="9"/>
  <c r="O12" i="9"/>
  <c r="O16" i="9"/>
  <c r="O19" i="9"/>
  <c r="O20" i="9"/>
  <c r="O24" i="9"/>
  <c r="O27" i="9"/>
  <c r="O28" i="9"/>
  <c r="O32" i="9"/>
  <c r="O35" i="9"/>
  <c r="O36" i="9"/>
  <c r="O221" i="9"/>
  <c r="O224" i="9"/>
  <c r="O96" i="9"/>
  <c r="O226" i="9"/>
  <c r="O229" i="9"/>
  <c r="O230" i="9"/>
  <c r="O234" i="9"/>
  <c r="O237" i="9"/>
  <c r="O238" i="9"/>
  <c r="O267" i="9"/>
  <c r="O270" i="9"/>
  <c r="O275" i="9"/>
  <c r="O279" i="9"/>
  <c r="O283" i="9"/>
  <c r="O140" i="9"/>
  <c r="O56" i="9"/>
  <c r="O105" i="9"/>
  <c r="O70" i="9"/>
  <c r="O239" i="9"/>
  <c r="O290" i="9"/>
  <c r="O139" i="9"/>
  <c r="O55" i="9"/>
  <c r="O51" i="9"/>
  <c r="O262" i="9"/>
  <c r="O182" i="9"/>
  <c r="O192" i="9"/>
  <c r="O119" i="9"/>
  <c r="O123" i="9"/>
  <c r="O249" i="9"/>
  <c r="O253" i="9"/>
  <c r="O200" i="9"/>
  <c r="O300" i="9"/>
  <c r="O133" i="9" l="1"/>
  <c r="O16" i="21"/>
  <c r="O132" i="9"/>
  <c r="O15" i="21"/>
  <c r="O128" i="9"/>
  <c r="O13" i="21"/>
  <c r="O124" i="9"/>
  <c r="O10" i="21"/>
  <c r="O120" i="9"/>
  <c r="O7" i="21"/>
  <c r="O112" i="9"/>
  <c r="O3" i="21"/>
  <c r="O115" i="9"/>
  <c r="O4" i="21"/>
  <c r="O131" i="9"/>
  <c r="O14" i="21"/>
  <c r="O296" i="9"/>
  <c r="O127" i="9"/>
  <c r="O122" i="9"/>
  <c r="O8" i="21"/>
  <c r="O118" i="9"/>
  <c r="O5" i="21"/>
  <c r="O257" i="9"/>
  <c r="O17" i="21"/>
  <c r="O3" i="9"/>
  <c r="O276" i="9"/>
  <c r="O43" i="9"/>
  <c r="O271" i="9"/>
  <c r="O272" i="9"/>
  <c r="O40" i="9"/>
  <c r="O41" i="9"/>
  <c r="O14" i="9"/>
  <c r="O79" i="9"/>
  <c r="O80" i="9"/>
  <c r="O74" i="18"/>
  <c r="N74" i="18"/>
  <c r="P74" i="18" s="1"/>
  <c r="M74" i="18"/>
  <c r="O73" i="18"/>
  <c r="N73" i="18"/>
  <c r="P73" i="18" s="1"/>
  <c r="M73" i="18"/>
  <c r="O72" i="18"/>
  <c r="N72" i="18"/>
  <c r="P72" i="18" s="1"/>
  <c r="M72" i="18"/>
  <c r="O71" i="18"/>
  <c r="N71" i="18"/>
  <c r="P71" i="18" s="1"/>
  <c r="M71" i="18"/>
  <c r="B71" i="18"/>
  <c r="O70" i="18"/>
  <c r="N70" i="18"/>
  <c r="P70" i="18" s="1"/>
  <c r="M70" i="18"/>
  <c r="B70" i="18"/>
  <c r="O69" i="18"/>
  <c r="N69" i="18"/>
  <c r="P69" i="18" s="1"/>
  <c r="M69" i="18"/>
  <c r="B69" i="18"/>
  <c r="O68" i="18"/>
  <c r="N68" i="18"/>
  <c r="P68" i="18" s="1"/>
  <c r="M68" i="18"/>
  <c r="B68" i="18"/>
  <c r="O67" i="18"/>
  <c r="N67" i="18"/>
  <c r="P67" i="18" s="1"/>
  <c r="M67" i="18"/>
  <c r="B67" i="18"/>
  <c r="O66" i="18"/>
  <c r="N66" i="18"/>
  <c r="P66" i="18" s="1"/>
  <c r="M66" i="18"/>
  <c r="B66" i="18"/>
  <c r="O65" i="18"/>
  <c r="N65" i="18"/>
  <c r="P65" i="18" s="1"/>
  <c r="M65" i="18"/>
  <c r="B65" i="18"/>
  <c r="O64" i="18"/>
  <c r="N64" i="18"/>
  <c r="P64" i="18" s="1"/>
  <c r="M64" i="18"/>
  <c r="B64" i="18"/>
  <c r="O63" i="18"/>
  <c r="N63" i="18"/>
  <c r="P63" i="18" s="1"/>
  <c r="M63" i="18"/>
  <c r="B63" i="18"/>
  <c r="O62" i="18"/>
  <c r="N62" i="18"/>
  <c r="P62" i="18" s="1"/>
  <c r="M62" i="18"/>
  <c r="B62" i="18"/>
  <c r="O61" i="18"/>
  <c r="N61" i="18"/>
  <c r="P61" i="18" s="1"/>
  <c r="M61" i="18"/>
  <c r="B61" i="18"/>
  <c r="O60" i="18"/>
  <c r="N60" i="18"/>
  <c r="P60" i="18" s="1"/>
  <c r="M60" i="18"/>
  <c r="B60" i="18"/>
  <c r="O59" i="18"/>
  <c r="N59" i="18"/>
  <c r="P59" i="18" s="1"/>
  <c r="M59" i="18"/>
  <c r="B59" i="18"/>
  <c r="O58" i="18"/>
  <c r="N58" i="18"/>
  <c r="P58" i="18" s="1"/>
  <c r="M58" i="18"/>
  <c r="B58" i="18"/>
  <c r="O57" i="18"/>
  <c r="N57" i="18"/>
  <c r="P57" i="18" s="1"/>
  <c r="M57" i="18"/>
  <c r="B57" i="18"/>
  <c r="O56" i="18"/>
  <c r="N56" i="18"/>
  <c r="P56" i="18" s="1"/>
  <c r="M56" i="18"/>
  <c r="B56" i="18"/>
  <c r="O55" i="18"/>
  <c r="N55" i="18"/>
  <c r="P55" i="18" s="1"/>
  <c r="M55" i="18"/>
  <c r="B55" i="18"/>
  <c r="O54" i="18"/>
  <c r="N54" i="18"/>
  <c r="P54" i="18" s="1"/>
  <c r="M54" i="18"/>
  <c r="B54" i="18"/>
  <c r="O53" i="18"/>
  <c r="N53" i="18"/>
  <c r="P53" i="18" s="1"/>
  <c r="M53" i="18"/>
  <c r="B53" i="18"/>
  <c r="O52" i="18"/>
  <c r="N52" i="18"/>
  <c r="P52" i="18" s="1"/>
  <c r="M52" i="18"/>
  <c r="B52" i="18"/>
  <c r="O51" i="18"/>
  <c r="N51" i="18"/>
  <c r="P51" i="18" s="1"/>
  <c r="M51" i="18"/>
  <c r="B51" i="18"/>
  <c r="O50" i="18"/>
  <c r="N50" i="18"/>
  <c r="P50" i="18" s="1"/>
  <c r="M50" i="18"/>
  <c r="B50" i="18"/>
  <c r="O49" i="18"/>
  <c r="N49" i="18"/>
  <c r="P49" i="18" s="1"/>
  <c r="M49" i="18"/>
  <c r="B49" i="18"/>
  <c r="O48" i="18"/>
  <c r="N48" i="18"/>
  <c r="P48" i="18" s="1"/>
  <c r="M48" i="18"/>
  <c r="B48" i="18"/>
  <c r="O47" i="18"/>
  <c r="N47" i="18"/>
  <c r="P47" i="18" s="1"/>
  <c r="M47" i="18"/>
  <c r="B47" i="18"/>
  <c r="O46" i="18"/>
  <c r="N46" i="18"/>
  <c r="P46" i="18" s="1"/>
  <c r="M46" i="18"/>
  <c r="B46" i="18"/>
  <c r="O45" i="18"/>
  <c r="N45" i="18"/>
  <c r="P45" i="18" s="1"/>
  <c r="M45" i="18"/>
  <c r="B45" i="18"/>
  <c r="O44" i="18"/>
  <c r="N44" i="18"/>
  <c r="P44" i="18" s="1"/>
  <c r="M44" i="18"/>
  <c r="B44" i="18"/>
  <c r="O43" i="18"/>
  <c r="N43" i="18"/>
  <c r="P43" i="18" s="1"/>
  <c r="M43" i="18"/>
  <c r="B43" i="18"/>
  <c r="O42" i="18"/>
  <c r="N42" i="18"/>
  <c r="P42" i="18" s="1"/>
  <c r="M42" i="18"/>
  <c r="B42" i="18"/>
  <c r="O41" i="18"/>
  <c r="N41" i="18"/>
  <c r="P41" i="18" s="1"/>
  <c r="M41" i="18"/>
  <c r="B41" i="18"/>
  <c r="O40" i="18"/>
  <c r="N40" i="18"/>
  <c r="P40" i="18" s="1"/>
  <c r="M40" i="18"/>
  <c r="B40" i="18"/>
  <c r="O39" i="18"/>
  <c r="N39" i="18"/>
  <c r="P39" i="18" s="1"/>
  <c r="M39" i="18"/>
  <c r="B39" i="18"/>
  <c r="O38" i="18"/>
  <c r="N38" i="18"/>
  <c r="P38" i="18" s="1"/>
  <c r="M38" i="18"/>
  <c r="B38" i="18"/>
  <c r="O37" i="18"/>
  <c r="N37" i="18"/>
  <c r="P37" i="18" s="1"/>
  <c r="M37" i="18"/>
  <c r="B37" i="18"/>
  <c r="O36" i="18"/>
  <c r="N36" i="18"/>
  <c r="P36" i="18" s="1"/>
  <c r="M36" i="18"/>
  <c r="B36" i="18"/>
  <c r="O35" i="18"/>
  <c r="N35" i="18"/>
  <c r="P35" i="18" s="1"/>
  <c r="M35" i="18"/>
  <c r="B35" i="18"/>
  <c r="O34" i="18"/>
  <c r="N34" i="18"/>
  <c r="P34" i="18" s="1"/>
  <c r="M34" i="18"/>
  <c r="B34" i="18"/>
  <c r="O33" i="18"/>
  <c r="N33" i="18"/>
  <c r="P33" i="18" s="1"/>
  <c r="M33" i="18"/>
  <c r="B33" i="18"/>
  <c r="O32" i="18"/>
  <c r="N32" i="18"/>
  <c r="P32" i="18" s="1"/>
  <c r="M32" i="18"/>
  <c r="B32" i="18"/>
  <c r="O31" i="18"/>
  <c r="N31" i="18"/>
  <c r="P31" i="18" s="1"/>
  <c r="M31" i="18"/>
  <c r="B31" i="18"/>
  <c r="O30" i="18"/>
  <c r="N30" i="18"/>
  <c r="P30" i="18" s="1"/>
  <c r="M30" i="18"/>
  <c r="B30" i="18"/>
  <c r="O29" i="18"/>
  <c r="N29" i="18"/>
  <c r="P29" i="18" s="1"/>
  <c r="M29" i="18"/>
  <c r="B29" i="18"/>
  <c r="O28" i="18"/>
  <c r="N28" i="18"/>
  <c r="P28" i="18" s="1"/>
  <c r="M28" i="18"/>
  <c r="B28" i="18"/>
  <c r="O27" i="18"/>
  <c r="N27" i="18"/>
  <c r="P27" i="18" s="1"/>
  <c r="M27" i="18"/>
  <c r="B27" i="18"/>
  <c r="O26" i="18"/>
  <c r="N26" i="18"/>
  <c r="P26" i="18" s="1"/>
  <c r="M26" i="18"/>
  <c r="B26" i="18"/>
  <c r="O25" i="18"/>
  <c r="N25" i="18"/>
  <c r="P25" i="18" s="1"/>
  <c r="M25" i="18"/>
  <c r="B25" i="18"/>
  <c r="O24" i="18"/>
  <c r="N24" i="18"/>
  <c r="P24" i="18" s="1"/>
  <c r="M24" i="18"/>
  <c r="B24" i="18"/>
  <c r="O23" i="18"/>
  <c r="N23" i="18"/>
  <c r="P23" i="18" s="1"/>
  <c r="M23" i="18"/>
  <c r="B23" i="18"/>
  <c r="O22" i="18"/>
  <c r="N22" i="18"/>
  <c r="P22" i="18" s="1"/>
  <c r="M22" i="18"/>
  <c r="B22" i="18"/>
  <c r="O21" i="18"/>
  <c r="N21" i="18"/>
  <c r="P21" i="18" s="1"/>
  <c r="M21" i="18"/>
  <c r="B21" i="18"/>
  <c r="O20" i="18"/>
  <c r="N20" i="18"/>
  <c r="P20" i="18" s="1"/>
  <c r="M20" i="18"/>
  <c r="B20" i="18"/>
  <c r="O19" i="18"/>
  <c r="N19" i="18"/>
  <c r="P19" i="18" s="1"/>
  <c r="M19" i="18"/>
  <c r="B19" i="18"/>
  <c r="O18" i="18"/>
  <c r="N18" i="18"/>
  <c r="P18" i="18" s="1"/>
  <c r="M18" i="18"/>
  <c r="B18" i="18"/>
  <c r="O17" i="18"/>
  <c r="N17" i="18"/>
  <c r="P17" i="18" s="1"/>
  <c r="M17" i="18"/>
  <c r="B17" i="18"/>
  <c r="O16" i="18"/>
  <c r="N16" i="18"/>
  <c r="P16" i="18" s="1"/>
  <c r="M16" i="18"/>
  <c r="B16" i="18"/>
  <c r="O15" i="18"/>
  <c r="N15" i="18"/>
  <c r="P15" i="18" s="1"/>
  <c r="M15" i="18"/>
  <c r="B15" i="18"/>
  <c r="O14" i="18"/>
  <c r="N14" i="18"/>
  <c r="P14" i="18" s="1"/>
  <c r="M14" i="18"/>
  <c r="B14" i="18"/>
  <c r="O13" i="18"/>
  <c r="N13" i="18"/>
  <c r="P13" i="18" s="1"/>
  <c r="M13" i="18"/>
  <c r="B13" i="18"/>
  <c r="O12" i="18"/>
  <c r="N12" i="18"/>
  <c r="P12" i="18" s="1"/>
  <c r="M12" i="18"/>
  <c r="B12" i="18"/>
  <c r="O11" i="18"/>
  <c r="N11" i="18"/>
  <c r="P11" i="18" s="1"/>
  <c r="M11" i="18"/>
  <c r="B11" i="18"/>
  <c r="O10" i="18"/>
  <c r="N10" i="18"/>
  <c r="P10" i="18" s="1"/>
  <c r="M10" i="18"/>
  <c r="B10" i="18"/>
  <c r="O9" i="18"/>
  <c r="N9" i="18"/>
  <c r="P9" i="18" s="1"/>
  <c r="M9" i="18"/>
  <c r="B9" i="18"/>
  <c r="O8" i="18"/>
  <c r="N8" i="18"/>
  <c r="P8" i="18" s="1"/>
  <c r="M8" i="18"/>
  <c r="B8" i="18"/>
  <c r="O7" i="18"/>
  <c r="N7" i="18"/>
  <c r="P7" i="18" s="1"/>
  <c r="M7" i="18"/>
  <c r="B7" i="18"/>
  <c r="O6" i="18"/>
  <c r="N6" i="18"/>
  <c r="P6" i="18" s="1"/>
  <c r="M6" i="18"/>
  <c r="B6" i="18"/>
  <c r="O5" i="18"/>
  <c r="N5" i="18"/>
  <c r="P5" i="18" s="1"/>
  <c r="M5" i="18"/>
  <c r="B5" i="18"/>
  <c r="B4" i="18"/>
  <c r="O3" i="18"/>
  <c r="N3" i="18"/>
  <c r="M3" i="18"/>
  <c r="P5" i="21" l="1"/>
  <c r="P4" i="21"/>
  <c r="P9" i="21"/>
  <c r="P3" i="21"/>
  <c r="P10" i="21"/>
  <c r="P15" i="21"/>
  <c r="P17" i="21"/>
  <c r="P8" i="21"/>
  <c r="P14" i="21"/>
  <c r="P12" i="21"/>
  <c r="P7" i="21"/>
  <c r="P13" i="21"/>
  <c r="P16" i="21"/>
  <c r="P6" i="21"/>
  <c r="O158" i="9"/>
  <c r="O108" i="9"/>
  <c r="O60" i="9"/>
  <c r="O61" i="9"/>
  <c r="O207" i="9"/>
  <c r="O213" i="9"/>
  <c r="O64" i="9"/>
  <c r="O178" i="9"/>
  <c r="O179" i="9"/>
  <c r="P3" i="18"/>
  <c r="O163" i="9"/>
  <c r="O165" i="9"/>
  <c r="O175" i="9"/>
  <c r="O177" i="9"/>
  <c r="O57" i="9"/>
  <c r="O159" i="9"/>
  <c r="O68" i="9"/>
  <c r="O145" i="9"/>
  <c r="O149" i="9"/>
  <c r="O153" i="9"/>
  <c r="O171" i="9"/>
  <c r="O172" i="9"/>
  <c r="O314" i="9"/>
  <c r="O161" i="9"/>
  <c r="O168" i="9"/>
  <c r="O169" i="9"/>
  <c r="O147" i="9"/>
  <c r="O211" i="9"/>
  <c r="O5" i="9"/>
  <c r="O155" i="9"/>
  <c r="O156" i="9"/>
  <c r="O204" i="9"/>
  <c r="O150" i="9"/>
  <c r="O258" i="9"/>
  <c r="O148" i="9"/>
  <c r="O154" i="9"/>
  <c r="O170" i="9"/>
  <c r="O157" i="9"/>
  <c r="O162" i="9"/>
  <c r="O167" i="9"/>
  <c r="O176" i="9"/>
  <c r="O109" i="9"/>
  <c r="O59" i="9"/>
  <c r="O202" i="9"/>
  <c r="O111" i="9"/>
  <c r="O212" i="9"/>
  <c r="O62" i="9"/>
  <c r="O152" i="9"/>
  <c r="O260" i="9"/>
  <c r="O166" i="9"/>
  <c r="O107" i="9"/>
  <c r="O58" i="9"/>
  <c r="O206" i="9"/>
  <c r="O44" i="9"/>
  <c r="O146" i="9"/>
  <c r="O151" i="9"/>
  <c r="O173" i="9"/>
  <c r="O160" i="9"/>
  <c r="O164" i="9"/>
  <c r="O174" i="9"/>
  <c r="O63" i="9"/>
  <c r="O110" i="9"/>
  <c r="O205" i="9"/>
  <c r="O4" i="9"/>
  <c r="P263" i="9" l="1"/>
  <c r="O259" i="9"/>
  <c r="O261" i="9"/>
  <c r="O180" i="9"/>
  <c r="P313" i="9" s="1"/>
  <c r="O203" i="9"/>
  <c r="R1" i="7"/>
  <c r="Q1" i="7"/>
  <c r="P1" i="7"/>
  <c r="O1" i="7"/>
  <c r="N1" i="7"/>
  <c r="M1" i="7"/>
  <c r="L1" i="7"/>
  <c r="K1" i="7"/>
  <c r="J1" i="7"/>
  <c r="I1" i="7"/>
  <c r="H1" i="7"/>
  <c r="P311" i="9" l="1"/>
  <c r="P203" i="9"/>
  <c r="P202" i="9"/>
  <c r="P43" i="9"/>
  <c r="P159" i="9"/>
  <c r="P167" i="9"/>
  <c r="P261" i="9"/>
  <c r="P156" i="9"/>
  <c r="P57" i="9"/>
  <c r="P41" i="9"/>
  <c r="P258" i="9"/>
  <c r="P271" i="9"/>
  <c r="P260" i="9"/>
  <c r="P68" i="9"/>
  <c r="P146" i="9"/>
  <c r="P4" i="9"/>
  <c r="P169" i="9"/>
  <c r="P63" i="9"/>
  <c r="P176" i="9"/>
  <c r="P179" i="9"/>
  <c r="P162" i="9"/>
  <c r="P314" i="9"/>
  <c r="P64" i="9"/>
  <c r="P109" i="9"/>
  <c r="P213" i="9"/>
  <c r="P151" i="9"/>
  <c r="P168" i="9"/>
  <c r="P276" i="9"/>
  <c r="P44" i="9"/>
  <c r="P145" i="9"/>
  <c r="P205" i="9"/>
  <c r="P150" i="9"/>
  <c r="P158" i="9"/>
  <c r="P204" i="9"/>
  <c r="P178" i="9"/>
  <c r="P40" i="9"/>
  <c r="P161" i="9"/>
  <c r="P259" i="9"/>
  <c r="P61" i="9"/>
  <c r="P153" i="9"/>
  <c r="P154" i="9"/>
  <c r="P164" i="9"/>
  <c r="P207" i="9"/>
  <c r="P171" i="9"/>
  <c r="P170" i="9"/>
  <c r="P206" i="9"/>
  <c r="P166" i="9"/>
  <c r="P108" i="9"/>
  <c r="P172" i="9"/>
  <c r="P157" i="9"/>
  <c r="P173" i="9"/>
  <c r="P60" i="9"/>
  <c r="P149" i="9"/>
  <c r="P148" i="9"/>
  <c r="P19" i="9"/>
  <c r="P186" i="9"/>
  <c r="P280" i="9"/>
  <c r="P99" i="9"/>
  <c r="P22" i="9"/>
  <c r="P215" i="9"/>
  <c r="P289" i="9"/>
  <c r="P286" i="9"/>
  <c r="P42" i="9"/>
  <c r="P136" i="9"/>
  <c r="P21" i="9"/>
  <c r="P56" i="9"/>
  <c r="P236" i="9"/>
  <c r="P220" i="9"/>
  <c r="P284" i="9"/>
  <c r="P27" i="9"/>
  <c r="P192" i="9"/>
  <c r="P141" i="9"/>
  <c r="P233" i="9"/>
  <c r="P38" i="9"/>
  <c r="P76" i="9"/>
  <c r="P143" i="9"/>
  <c r="P291" i="9"/>
  <c r="P142" i="9"/>
  <c r="P293" i="9"/>
  <c r="P25" i="9"/>
  <c r="P290" i="9"/>
  <c r="P103" i="9"/>
  <c r="P34" i="9"/>
  <c r="P288" i="9"/>
  <c r="P35" i="9"/>
  <c r="P115" i="9"/>
  <c r="P137" i="9"/>
  <c r="P266" i="9"/>
  <c r="P245" i="9"/>
  <c r="P88" i="9"/>
  <c r="P54" i="9"/>
  <c r="P52" i="9"/>
  <c r="P47" i="9"/>
  <c r="P48" i="9"/>
  <c r="P29" i="9"/>
  <c r="P269" i="9"/>
  <c r="P277" i="9"/>
  <c r="P50" i="9"/>
  <c r="P221" i="9"/>
  <c r="P123" i="9"/>
  <c r="P240" i="9"/>
  <c r="P275" i="9"/>
  <c r="P191" i="9"/>
  <c r="P219" i="9"/>
  <c r="P210" i="9"/>
  <c r="P244" i="9"/>
  <c r="P184" i="9"/>
  <c r="P185" i="9"/>
  <c r="P33" i="9"/>
  <c r="P182" i="9"/>
  <c r="P273" i="9"/>
  <c r="P135" i="9"/>
  <c r="P246" i="9"/>
  <c r="P107" i="9"/>
  <c r="P96" i="9"/>
  <c r="P131" i="9"/>
  <c r="P49" i="9"/>
  <c r="P283" i="9"/>
  <c r="P121" i="9"/>
  <c r="P15" i="9"/>
  <c r="P181" i="9"/>
  <c r="P190" i="9"/>
  <c r="P113" i="9"/>
  <c r="P114" i="9"/>
  <c r="P37" i="9"/>
  <c r="P281" i="9"/>
  <c r="P106" i="9"/>
  <c r="P257" i="9"/>
  <c r="P229" i="9"/>
  <c r="P253" i="9"/>
  <c r="P209" i="9"/>
  <c r="P70" i="9"/>
  <c r="P251" i="9"/>
  <c r="P20" i="9"/>
  <c r="P189" i="9"/>
  <c r="P116" i="9"/>
  <c r="P129" i="9"/>
  <c r="P252" i="9"/>
  <c r="P242" i="9"/>
  <c r="P127" i="9"/>
  <c r="P69" i="9"/>
  <c r="P287" i="9"/>
  <c r="P122" i="9"/>
  <c r="P237" i="9"/>
  <c r="P196" i="9"/>
  <c r="P183" i="9"/>
  <c r="P55" i="9"/>
  <c r="P294" i="9"/>
  <c r="P28" i="9"/>
  <c r="P264" i="9"/>
  <c r="P128" i="9"/>
  <c r="P194" i="9"/>
  <c r="P303" i="9"/>
  <c r="P46" i="9"/>
  <c r="P265" i="9"/>
  <c r="P104" i="9"/>
  <c r="P292" i="9"/>
  <c r="P195" i="9"/>
  <c r="P270" i="9"/>
  <c r="P296" i="9"/>
  <c r="P193" i="9"/>
  <c r="P310" i="9"/>
  <c r="P36" i="9"/>
  <c r="P126" i="9"/>
  <c r="P254" i="9"/>
  <c r="P302" i="9"/>
  <c r="P74" i="9"/>
  <c r="P247" i="9"/>
  <c r="P300" i="9"/>
  <c r="P241" i="9"/>
  <c r="P53" i="9"/>
  <c r="P180" i="9"/>
  <c r="P272" i="9"/>
  <c r="P165" i="9"/>
  <c r="P211" i="9"/>
  <c r="P152" i="9"/>
  <c r="P14" i="9"/>
  <c r="P175" i="9"/>
  <c r="P5" i="9"/>
  <c r="P111" i="9"/>
  <c r="P174" i="9"/>
  <c r="P80" i="9"/>
  <c r="P177" i="9"/>
  <c r="P155" i="9"/>
  <c r="P212" i="9"/>
  <c r="P79" i="9"/>
  <c r="P163" i="9"/>
  <c r="P147" i="9"/>
  <c r="P59" i="9"/>
  <c r="P279" i="9"/>
  <c r="P307" i="9"/>
  <c r="P120" i="9"/>
  <c r="P67" i="9"/>
  <c r="P223" i="9"/>
  <c r="P256" i="9"/>
  <c r="P297" i="9"/>
  <c r="P7" i="9"/>
  <c r="P78" i="9"/>
  <c r="P112" i="9"/>
  <c r="P45" i="9"/>
  <c r="P248" i="9"/>
  <c r="P187" i="9"/>
  <c r="P140" i="9"/>
  <c r="P118" i="9"/>
  <c r="P132" i="9"/>
  <c r="P119" i="9"/>
  <c r="P32" i="9"/>
  <c r="P97" i="9"/>
  <c r="P299" i="9"/>
  <c r="P6" i="9"/>
  <c r="P217" i="9"/>
  <c r="P82" i="9"/>
  <c r="P124" i="9"/>
  <c r="P87" i="9"/>
  <c r="P243" i="9"/>
  <c r="P3" i="9"/>
  <c r="P8" i="9"/>
  <c r="P105" i="9"/>
  <c r="P134" i="9"/>
  <c r="P197" i="9"/>
  <c r="P249" i="9"/>
  <c r="P130" i="9"/>
  <c r="P230" i="9"/>
  <c r="P225" i="9"/>
  <c r="P77" i="9"/>
  <c r="P18" i="9"/>
  <c r="P86" i="9"/>
  <c r="P250" i="9"/>
  <c r="P66" i="9"/>
  <c r="P188" i="9"/>
  <c r="P214" i="9"/>
  <c r="P239" i="9"/>
  <c r="P199" i="9"/>
  <c r="P301" i="9"/>
  <c r="P200" i="9"/>
  <c r="P295" i="9"/>
  <c r="P238" i="9"/>
  <c r="P227" i="9"/>
  <c r="P16" i="9"/>
  <c r="P95" i="9"/>
  <c r="P90" i="9"/>
  <c r="P201" i="9"/>
  <c r="P30" i="9"/>
  <c r="P117" i="9"/>
  <c r="P255" i="9"/>
  <c r="P160" i="9"/>
  <c r="P58" i="9"/>
  <c r="P72" i="9"/>
  <c r="P139" i="9"/>
  <c r="P308" i="9"/>
  <c r="P216" i="9"/>
  <c r="P309" i="9"/>
  <c r="P274" i="9"/>
  <c r="P235" i="9"/>
  <c r="P39" i="9"/>
  <c r="P226" i="9"/>
  <c r="P218" i="9"/>
  <c r="P305" i="9"/>
  <c r="P222" i="9"/>
  <c r="P133" i="9"/>
  <c r="P298" i="9"/>
  <c r="P85" i="9"/>
  <c r="P51" i="9"/>
  <c r="P100" i="9"/>
  <c r="P89" i="9"/>
  <c r="P75" i="9"/>
  <c r="P304" i="9"/>
  <c r="P282" i="9"/>
  <c r="P268" i="9"/>
  <c r="P81" i="9"/>
  <c r="P234" i="9"/>
  <c r="P94" i="9"/>
  <c r="P10" i="9"/>
  <c r="P98" i="9"/>
  <c r="P198" i="9"/>
  <c r="P11" i="9"/>
  <c r="P93" i="9"/>
  <c r="P208" i="9"/>
  <c r="P231" i="9"/>
  <c r="P23" i="9"/>
  <c r="P83" i="9"/>
  <c r="P65" i="9"/>
  <c r="P144" i="9"/>
  <c r="P267" i="9"/>
  <c r="P13" i="9"/>
  <c r="P101" i="9"/>
  <c r="P228" i="9"/>
  <c r="P306" i="9"/>
  <c r="P84" i="9"/>
  <c r="P12" i="9"/>
  <c r="P262" i="9"/>
  <c r="P102" i="9"/>
  <c r="P224" i="9"/>
  <c r="P91" i="9"/>
  <c r="P9" i="9"/>
  <c r="P138" i="9"/>
  <c r="P285" i="9"/>
  <c r="P26" i="9"/>
  <c r="P278" i="9"/>
  <c r="P17" i="9"/>
  <c r="P31" i="9"/>
  <c r="P232" i="9"/>
  <c r="P92" i="9"/>
  <c r="P24" i="9"/>
  <c r="P62" i="9"/>
  <c r="P110" i="9"/>
  <c r="M315" i="9"/>
  <c r="T299" i="9" l="1"/>
  <c r="T300" i="9"/>
  <c r="E308" i="9"/>
  <c r="T309" i="9"/>
  <c r="T298" i="9"/>
  <c r="T294" i="9"/>
  <c r="T295" i="9"/>
  <c r="T296" i="9"/>
  <c r="E305" i="9"/>
  <c r="T304" i="9"/>
  <c r="E306" i="9"/>
  <c r="E310" i="9"/>
  <c r="I315" i="9"/>
  <c r="T171" i="9"/>
  <c r="T172" i="9"/>
  <c r="T173" i="9"/>
  <c r="T156" i="9"/>
  <c r="T157" i="9"/>
  <c r="T158" i="9"/>
  <c r="T159" i="9"/>
  <c r="T160" i="9"/>
  <c r="T261" i="9"/>
  <c r="T161" i="9"/>
  <c r="T162" i="9"/>
  <c r="T163" i="9"/>
  <c r="T164" i="9"/>
  <c r="T165" i="9"/>
  <c r="T166" i="9"/>
  <c r="T167" i="9"/>
  <c r="T168" i="9"/>
  <c r="T169" i="9"/>
  <c r="T174" i="9"/>
  <c r="T175" i="9"/>
  <c r="T176" i="9"/>
  <c r="T177" i="9"/>
  <c r="T314" i="9"/>
  <c r="T63" i="9"/>
  <c r="T107" i="9"/>
  <c r="T108" i="9"/>
  <c r="T109" i="9"/>
  <c r="T178" i="9"/>
  <c r="T110" i="9"/>
  <c r="T57" i="9"/>
  <c r="T58" i="9"/>
  <c r="T59" i="9"/>
  <c r="T60" i="9"/>
  <c r="T61" i="9"/>
  <c r="T179" i="9"/>
  <c r="T202" i="9"/>
  <c r="T203" i="9"/>
  <c r="T204" i="9"/>
  <c r="T205" i="9"/>
  <c r="T206" i="9"/>
  <c r="T207" i="9"/>
  <c r="T111" i="9"/>
  <c r="T211" i="9"/>
  <c r="T4" i="9"/>
  <c r="T5" i="9"/>
  <c r="T44" i="9"/>
  <c r="T212" i="9"/>
  <c r="T213" i="9"/>
  <c r="T64" i="9"/>
  <c r="T65" i="9"/>
  <c r="T6" i="9"/>
  <c r="T7" i="9"/>
  <c r="T8" i="9"/>
  <c r="T9" i="9"/>
  <c r="T10" i="9"/>
  <c r="T11" i="9"/>
  <c r="T214" i="9"/>
  <c r="T215" i="9"/>
  <c r="T216" i="9"/>
  <c r="T217" i="9"/>
  <c r="T72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187" i="9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Z327" i="2"/>
  <c r="Y327" i="2"/>
  <c r="X327" i="2"/>
  <c r="W327" i="2"/>
  <c r="V327" i="2"/>
  <c r="U327" i="2"/>
  <c r="T327" i="2"/>
  <c r="S327" i="2"/>
  <c r="R327" i="2"/>
  <c r="Q327" i="2"/>
  <c r="Z326" i="2"/>
  <c r="Y326" i="2"/>
  <c r="X326" i="2"/>
  <c r="W326" i="2"/>
  <c r="V326" i="2"/>
  <c r="U326" i="2"/>
  <c r="T326" i="2"/>
  <c r="S326" i="2"/>
  <c r="R326" i="2"/>
  <c r="Q326" i="2"/>
  <c r="Z325" i="2"/>
  <c r="Y325" i="2"/>
  <c r="X325" i="2"/>
  <c r="W325" i="2"/>
  <c r="V325" i="2"/>
  <c r="U325" i="2"/>
  <c r="T325" i="2"/>
  <c r="S325" i="2"/>
  <c r="R325" i="2"/>
  <c r="Q325" i="2"/>
  <c r="Z324" i="2"/>
  <c r="Y324" i="2"/>
  <c r="X324" i="2"/>
  <c r="W324" i="2"/>
  <c r="V324" i="2"/>
  <c r="U324" i="2"/>
  <c r="T324" i="2"/>
  <c r="S324" i="2"/>
  <c r="R324" i="2"/>
  <c r="Q324" i="2"/>
  <c r="Z323" i="2"/>
  <c r="Y323" i="2"/>
  <c r="X323" i="2"/>
  <c r="W323" i="2"/>
  <c r="V323" i="2"/>
  <c r="U323" i="2"/>
  <c r="T323" i="2"/>
  <c r="S323" i="2"/>
  <c r="R323" i="2"/>
  <c r="Q323" i="2"/>
  <c r="Z322" i="2"/>
  <c r="Y322" i="2"/>
  <c r="X322" i="2"/>
  <c r="W322" i="2"/>
  <c r="V322" i="2"/>
  <c r="U322" i="2"/>
  <c r="T322" i="2"/>
  <c r="S322" i="2"/>
  <c r="R322" i="2"/>
  <c r="Q322" i="2"/>
  <c r="Z321" i="2"/>
  <c r="Y321" i="2"/>
  <c r="X321" i="2"/>
  <c r="W321" i="2"/>
  <c r="V321" i="2"/>
  <c r="U321" i="2"/>
  <c r="T321" i="2"/>
  <c r="S321" i="2"/>
  <c r="R321" i="2"/>
  <c r="Q321" i="2"/>
  <c r="Z320" i="2"/>
  <c r="Y320" i="2"/>
  <c r="X320" i="2"/>
  <c r="W320" i="2"/>
  <c r="V320" i="2"/>
  <c r="U320" i="2"/>
  <c r="T320" i="2"/>
  <c r="S320" i="2"/>
  <c r="R320" i="2"/>
  <c r="Q320" i="2"/>
  <c r="Z319" i="2"/>
  <c r="Y319" i="2"/>
  <c r="X319" i="2"/>
  <c r="W319" i="2"/>
  <c r="V319" i="2"/>
  <c r="U319" i="2"/>
  <c r="T319" i="2"/>
  <c r="S319" i="2"/>
  <c r="R319" i="2"/>
  <c r="Q319" i="2"/>
  <c r="Z318" i="2"/>
  <c r="Y318" i="2"/>
  <c r="X318" i="2"/>
  <c r="W318" i="2"/>
  <c r="V318" i="2"/>
  <c r="U318" i="2"/>
  <c r="T318" i="2"/>
  <c r="S318" i="2"/>
  <c r="R318" i="2"/>
  <c r="Q318" i="2"/>
  <c r="Z317" i="2"/>
  <c r="Y317" i="2"/>
  <c r="X317" i="2"/>
  <c r="W317" i="2"/>
  <c r="V317" i="2"/>
  <c r="U317" i="2"/>
  <c r="T317" i="2"/>
  <c r="S317" i="2"/>
  <c r="R317" i="2"/>
  <c r="Q317" i="2"/>
  <c r="Z316" i="2"/>
  <c r="Y316" i="2"/>
  <c r="X316" i="2"/>
  <c r="W316" i="2"/>
  <c r="V316" i="2"/>
  <c r="U316" i="2"/>
  <c r="T316" i="2"/>
  <c r="S316" i="2"/>
  <c r="R316" i="2"/>
  <c r="Q316" i="2"/>
  <c r="Z315" i="2"/>
  <c r="Y315" i="2"/>
  <c r="X315" i="2"/>
  <c r="W315" i="2"/>
  <c r="V315" i="2"/>
  <c r="U315" i="2"/>
  <c r="T315" i="2"/>
  <c r="S315" i="2"/>
  <c r="R315" i="2"/>
  <c r="Q315" i="2"/>
  <c r="Z314" i="2"/>
  <c r="Y314" i="2"/>
  <c r="X314" i="2"/>
  <c r="W314" i="2"/>
  <c r="V314" i="2"/>
  <c r="U314" i="2"/>
  <c r="T314" i="2"/>
  <c r="S314" i="2"/>
  <c r="R314" i="2"/>
  <c r="Q314" i="2"/>
  <c r="Z313" i="2"/>
  <c r="Y313" i="2"/>
  <c r="X313" i="2"/>
  <c r="W313" i="2"/>
  <c r="V313" i="2"/>
  <c r="U313" i="2"/>
  <c r="T313" i="2"/>
  <c r="S313" i="2"/>
  <c r="R313" i="2"/>
  <c r="Q313" i="2"/>
  <c r="Z312" i="2"/>
  <c r="Y312" i="2"/>
  <c r="X312" i="2"/>
  <c r="W312" i="2"/>
  <c r="V312" i="2"/>
  <c r="U312" i="2"/>
  <c r="T312" i="2"/>
  <c r="S312" i="2"/>
  <c r="R312" i="2"/>
  <c r="Q312" i="2"/>
  <c r="Z311" i="2"/>
  <c r="Y311" i="2"/>
  <c r="X311" i="2"/>
  <c r="W311" i="2"/>
  <c r="V311" i="2"/>
  <c r="U311" i="2"/>
  <c r="T311" i="2"/>
  <c r="S311" i="2"/>
  <c r="R311" i="2"/>
  <c r="Q311" i="2"/>
  <c r="Z310" i="2"/>
  <c r="Y310" i="2"/>
  <c r="X310" i="2"/>
  <c r="W310" i="2"/>
  <c r="V310" i="2"/>
  <c r="U310" i="2"/>
  <c r="T310" i="2"/>
  <c r="S310" i="2"/>
  <c r="R310" i="2"/>
  <c r="Q310" i="2"/>
  <c r="O327" i="2"/>
  <c r="AA327" i="2" s="1"/>
  <c r="O326" i="2"/>
  <c r="AA326" i="2" s="1"/>
  <c r="O325" i="2"/>
  <c r="AA325" i="2" s="1"/>
  <c r="O324" i="2"/>
  <c r="AA324" i="2" s="1"/>
  <c r="O323" i="2"/>
  <c r="AA323" i="2" s="1"/>
  <c r="O322" i="2"/>
  <c r="AA322" i="2" s="1"/>
  <c r="O321" i="2"/>
  <c r="AA321" i="2" s="1"/>
  <c r="O320" i="2"/>
  <c r="AA320" i="2" s="1"/>
  <c r="O319" i="2"/>
  <c r="AA319" i="2" s="1"/>
  <c r="O318" i="2"/>
  <c r="AA318" i="2" s="1"/>
  <c r="O317" i="2"/>
  <c r="AA317" i="2" s="1"/>
  <c r="O316" i="2"/>
  <c r="AA316" i="2" s="1"/>
  <c r="O315" i="2"/>
  <c r="AA315" i="2" s="1"/>
  <c r="O314" i="2"/>
  <c r="AA314" i="2" s="1"/>
  <c r="O313" i="2"/>
  <c r="AA313" i="2" s="1"/>
  <c r="O312" i="2"/>
  <c r="AA312" i="2" s="1"/>
  <c r="O311" i="2"/>
  <c r="AA311" i="2" s="1"/>
  <c r="O310" i="2"/>
  <c r="AA310" i="2" s="1"/>
  <c r="J315" i="9" l="1"/>
  <c r="T307" i="9"/>
  <c r="T303" i="9"/>
  <c r="T301" i="9"/>
  <c r="T297" i="9"/>
  <c r="T308" i="9"/>
  <c r="T310" i="9"/>
  <c r="T302" i="9"/>
  <c r="T305" i="9"/>
  <c r="T306" i="9"/>
  <c r="T315" i="9"/>
  <c r="X147" i="9" l="1"/>
  <c r="X148" i="9"/>
  <c r="X149" i="9"/>
  <c r="X150" i="9"/>
  <c r="X151" i="9"/>
  <c r="X152" i="9"/>
  <c r="X153" i="9"/>
  <c r="X154" i="9"/>
  <c r="X180" i="9"/>
  <c r="X259" i="9"/>
  <c r="X155" i="9"/>
  <c r="X260" i="9"/>
  <c r="X170" i="9"/>
  <c r="X171" i="9"/>
  <c r="X172" i="9"/>
  <c r="X173" i="9"/>
  <c r="X156" i="9"/>
  <c r="X157" i="9"/>
  <c r="X158" i="9"/>
  <c r="X159" i="9"/>
  <c r="X160" i="9"/>
  <c r="X261" i="9"/>
  <c r="X161" i="9"/>
  <c r="X162" i="9"/>
  <c r="X163" i="9"/>
  <c r="X164" i="9"/>
  <c r="X165" i="9"/>
  <c r="X166" i="9"/>
  <c r="X167" i="9"/>
  <c r="X168" i="9"/>
  <c r="X169" i="9"/>
  <c r="X174" i="9"/>
  <c r="X175" i="9"/>
  <c r="X176" i="9"/>
  <c r="X177" i="9"/>
  <c r="X314" i="9"/>
  <c r="X107" i="9"/>
  <c r="X108" i="9"/>
  <c r="X109" i="9"/>
  <c r="X178" i="9"/>
  <c r="X110" i="9"/>
  <c r="X57" i="9"/>
  <c r="X58" i="9"/>
  <c r="X59" i="9"/>
  <c r="X60" i="9"/>
  <c r="X61" i="9"/>
  <c r="X179" i="9"/>
  <c r="X202" i="9"/>
  <c r="X203" i="9"/>
  <c r="X204" i="9"/>
  <c r="X205" i="9"/>
  <c r="X206" i="9"/>
  <c r="X207" i="9"/>
  <c r="X111" i="9"/>
  <c r="X211" i="9"/>
  <c r="X4" i="9"/>
  <c r="X5" i="9"/>
  <c r="X44" i="9"/>
  <c r="X212" i="9"/>
  <c r="X213" i="9"/>
  <c r="X64" i="9"/>
  <c r="X65" i="9"/>
  <c r="X6" i="9"/>
  <c r="X7" i="9"/>
  <c r="X8" i="9"/>
  <c r="X9" i="9"/>
  <c r="X10" i="9"/>
  <c r="X11" i="9"/>
  <c r="X214" i="9"/>
  <c r="X215" i="9"/>
  <c r="X216" i="9"/>
  <c r="X217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218" i="9"/>
  <c r="X219" i="9"/>
  <c r="X101" i="9"/>
  <c r="X94" i="9"/>
  <c r="X66" i="9"/>
  <c r="X67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220" i="9"/>
  <c r="X221" i="9"/>
  <c r="X100" i="9"/>
  <c r="X222" i="9"/>
  <c r="X223" i="9"/>
  <c r="X224" i="9"/>
  <c r="X225" i="9"/>
  <c r="X43" i="9"/>
  <c r="X95" i="9"/>
  <c r="X96" i="9"/>
  <c r="X97" i="9"/>
  <c r="X98" i="9"/>
  <c r="X99" i="9"/>
  <c r="X226" i="9"/>
  <c r="X229" i="9"/>
  <c r="X230" i="9"/>
  <c r="X231" i="9"/>
  <c r="X232" i="9"/>
  <c r="X235" i="9"/>
  <c r="X236" i="9"/>
  <c r="X237" i="9"/>
  <c r="X238" i="9"/>
  <c r="X102" i="9"/>
  <c r="X103" i="9"/>
  <c r="X266" i="9"/>
  <c r="X267" i="9"/>
  <c r="X269" i="9"/>
  <c r="X273" i="9"/>
  <c r="X274" i="9"/>
  <c r="X275" i="9"/>
  <c r="X276" i="9"/>
  <c r="X277" i="9"/>
  <c r="X279" i="9"/>
  <c r="X280" i="9"/>
  <c r="X282" i="9"/>
  <c r="X283" i="9"/>
  <c r="X144" i="9"/>
  <c r="X135" i="9"/>
  <c r="X284" i="9"/>
  <c r="X140" i="9"/>
  <c r="X141" i="9"/>
  <c r="X69" i="9"/>
  <c r="X56" i="9"/>
  <c r="X285" i="9"/>
  <c r="X106" i="9"/>
  <c r="X136" i="9"/>
  <c r="X105" i="9"/>
  <c r="X137" i="9"/>
  <c r="X104" i="9"/>
  <c r="X138" i="9"/>
  <c r="X70" i="9"/>
  <c r="X286" i="9"/>
  <c r="X287" i="9"/>
  <c r="X288" i="9"/>
  <c r="X239" i="9"/>
  <c r="X240" i="9"/>
  <c r="X241" i="9"/>
  <c r="X289" i="9"/>
  <c r="X290" i="9"/>
  <c r="X291" i="9"/>
  <c r="X292" i="9"/>
  <c r="X293" i="9"/>
  <c r="X139" i="9"/>
  <c r="X242" i="9"/>
  <c r="X142" i="9"/>
  <c r="X14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55" i="9"/>
  <c r="X49" i="9"/>
  <c r="X45" i="9"/>
  <c r="X50" i="9"/>
  <c r="X51" i="9"/>
  <c r="X52" i="9"/>
  <c r="X53" i="9"/>
  <c r="X54" i="9"/>
  <c r="X46" i="9"/>
  <c r="X47" i="9"/>
  <c r="X48" i="9"/>
  <c r="X208" i="9"/>
  <c r="X209" i="9"/>
  <c r="X210" i="9"/>
  <c r="X244" i="9"/>
  <c r="X245" i="9"/>
  <c r="X246" i="9"/>
  <c r="X262" i="9"/>
  <c r="X248" i="9"/>
  <c r="X181" i="9"/>
  <c r="X182" i="9"/>
  <c r="X183" i="9"/>
  <c r="X184" i="9"/>
  <c r="X185" i="9"/>
  <c r="X186" i="9"/>
  <c r="X187" i="9"/>
  <c r="X188" i="9"/>
  <c r="X189" i="9"/>
  <c r="X190" i="9"/>
  <c r="X191" i="9"/>
  <c r="X257" i="9"/>
  <c r="X192" i="9"/>
  <c r="X193" i="9"/>
  <c r="X3" i="9"/>
  <c r="X264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G173" i="7" l="1"/>
  <c r="AF173" i="7" s="1"/>
  <c r="V173" i="7"/>
  <c r="W173" i="7"/>
  <c r="AH173" i="7" s="1"/>
  <c r="AI173" i="7" s="1"/>
  <c r="X173" i="7"/>
  <c r="Y173" i="7"/>
  <c r="Z173" i="7"/>
  <c r="AA173" i="7"/>
  <c r="AB173" i="7"/>
  <c r="AC173" i="7"/>
  <c r="AG173" i="7" s="1"/>
  <c r="AD173" i="7"/>
  <c r="AE173" i="7"/>
  <c r="G192" i="7"/>
  <c r="AF192" i="7" s="1"/>
  <c r="V192" i="7"/>
  <c r="W192" i="7"/>
  <c r="AH192" i="7" s="1"/>
  <c r="AI192" i="7" s="1"/>
  <c r="X192" i="7"/>
  <c r="Y192" i="7"/>
  <c r="Z192" i="7"/>
  <c r="AA192" i="7"/>
  <c r="AB192" i="7"/>
  <c r="AC192" i="7"/>
  <c r="AG192" i="7" s="1"/>
  <c r="AD192" i="7"/>
  <c r="AE192" i="7"/>
  <c r="G203" i="7"/>
  <c r="AF203" i="7" s="1"/>
  <c r="V203" i="7"/>
  <c r="W203" i="7"/>
  <c r="AH203" i="7" s="1"/>
  <c r="AI203" i="7" s="1"/>
  <c r="X203" i="7"/>
  <c r="Y203" i="7"/>
  <c r="Z203" i="7"/>
  <c r="AA203" i="7"/>
  <c r="AB203" i="7"/>
  <c r="AC203" i="7"/>
  <c r="AG203" i="7" s="1"/>
  <c r="AD203" i="7"/>
  <c r="AE203" i="7"/>
  <c r="G197" i="7"/>
  <c r="AF197" i="7" s="1"/>
  <c r="V197" i="7"/>
  <c r="W197" i="7"/>
  <c r="AH197" i="7" s="1"/>
  <c r="AI197" i="7" s="1"/>
  <c r="X197" i="7"/>
  <c r="Y197" i="7"/>
  <c r="Z197" i="7"/>
  <c r="AA197" i="7"/>
  <c r="AB197" i="7"/>
  <c r="AC197" i="7"/>
  <c r="AG197" i="7" s="1"/>
  <c r="AD197" i="7"/>
  <c r="AE197" i="7"/>
  <c r="G202" i="7"/>
  <c r="AF202" i="7" s="1"/>
  <c r="V202" i="7"/>
  <c r="W202" i="7"/>
  <c r="AH202" i="7" s="1"/>
  <c r="AI202" i="7" s="1"/>
  <c r="X202" i="7"/>
  <c r="Y202" i="7"/>
  <c r="Z202" i="7"/>
  <c r="AA202" i="7"/>
  <c r="AB202" i="7"/>
  <c r="AC202" i="7"/>
  <c r="AG202" i="7" s="1"/>
  <c r="AD202" i="7"/>
  <c r="AE202" i="7"/>
  <c r="G199" i="7"/>
  <c r="AF199" i="7" s="1"/>
  <c r="V199" i="7"/>
  <c r="W199" i="7"/>
  <c r="AH199" i="7" s="1"/>
  <c r="AI199" i="7" s="1"/>
  <c r="X199" i="7"/>
  <c r="Y199" i="7"/>
  <c r="Z199" i="7"/>
  <c r="AA199" i="7"/>
  <c r="AB199" i="7"/>
  <c r="AC199" i="7"/>
  <c r="AG199" i="7" s="1"/>
  <c r="AD199" i="7"/>
  <c r="AE199" i="7"/>
  <c r="G187" i="7"/>
  <c r="AF187" i="7" s="1"/>
  <c r="V187" i="7"/>
  <c r="W187" i="7"/>
  <c r="AH187" i="7" s="1"/>
  <c r="AI187" i="7" s="1"/>
  <c r="X187" i="7"/>
  <c r="Y187" i="7"/>
  <c r="Z187" i="7"/>
  <c r="AA187" i="7"/>
  <c r="AB187" i="7"/>
  <c r="AC187" i="7"/>
  <c r="AG187" i="7" s="1"/>
  <c r="AD187" i="7"/>
  <c r="AE187" i="7"/>
  <c r="G174" i="7"/>
  <c r="AF174" i="7" s="1"/>
  <c r="V174" i="7"/>
  <c r="W174" i="7"/>
  <c r="AH174" i="7" s="1"/>
  <c r="AI174" i="7" s="1"/>
  <c r="X174" i="7"/>
  <c r="Y174" i="7"/>
  <c r="Z174" i="7"/>
  <c r="AA174" i="7"/>
  <c r="AB174" i="7"/>
  <c r="AC174" i="7"/>
  <c r="AG174" i="7" s="1"/>
  <c r="AD174" i="7"/>
  <c r="AE174" i="7"/>
  <c r="G177" i="7"/>
  <c r="AF177" i="7" s="1"/>
  <c r="V177" i="7"/>
  <c r="W177" i="7"/>
  <c r="AH177" i="7" s="1"/>
  <c r="AI177" i="7" s="1"/>
  <c r="X177" i="7"/>
  <c r="Y177" i="7"/>
  <c r="Z177" i="7"/>
  <c r="AA177" i="7"/>
  <c r="AB177" i="7"/>
  <c r="AC177" i="7"/>
  <c r="AG177" i="7" s="1"/>
  <c r="AD177" i="7"/>
  <c r="AE177" i="7"/>
  <c r="G184" i="7"/>
  <c r="AF184" i="7" s="1"/>
  <c r="V184" i="7"/>
  <c r="W184" i="7"/>
  <c r="AH184" i="7" s="1"/>
  <c r="AI184" i="7" s="1"/>
  <c r="X184" i="7"/>
  <c r="Y184" i="7"/>
  <c r="Z184" i="7"/>
  <c r="AA184" i="7"/>
  <c r="AB184" i="7"/>
  <c r="AC184" i="7"/>
  <c r="AG184" i="7" s="1"/>
  <c r="AD184" i="7"/>
  <c r="AE184" i="7"/>
  <c r="G185" i="7"/>
  <c r="AF185" i="7" s="1"/>
  <c r="V185" i="7"/>
  <c r="W185" i="7"/>
  <c r="AH185" i="7" s="1"/>
  <c r="AI185" i="7" s="1"/>
  <c r="X185" i="7"/>
  <c r="Y185" i="7"/>
  <c r="Z185" i="7"/>
  <c r="AA185" i="7"/>
  <c r="AB185" i="7"/>
  <c r="AC185" i="7"/>
  <c r="AG185" i="7" s="1"/>
  <c r="AD185" i="7"/>
  <c r="AE185" i="7"/>
  <c r="G180" i="7"/>
  <c r="AF180" i="7" s="1"/>
  <c r="V180" i="7"/>
  <c r="W180" i="7"/>
  <c r="AH180" i="7" s="1"/>
  <c r="AI180" i="7" s="1"/>
  <c r="X180" i="7"/>
  <c r="Y180" i="7"/>
  <c r="Z180" i="7"/>
  <c r="AA180" i="7"/>
  <c r="AB180" i="7"/>
  <c r="AC180" i="7"/>
  <c r="AG180" i="7" s="1"/>
  <c r="AD180" i="7"/>
  <c r="AE180" i="7"/>
  <c r="G205" i="7"/>
  <c r="AF205" i="7" s="1"/>
  <c r="V205" i="7"/>
  <c r="W205" i="7"/>
  <c r="AH205" i="7" s="1"/>
  <c r="AI205" i="7" s="1"/>
  <c r="X205" i="7"/>
  <c r="Y205" i="7"/>
  <c r="Z205" i="7"/>
  <c r="AA205" i="7"/>
  <c r="AB205" i="7"/>
  <c r="AC205" i="7"/>
  <c r="AG205" i="7" s="1"/>
  <c r="AD205" i="7"/>
  <c r="AE205" i="7"/>
  <c r="G190" i="7"/>
  <c r="AF190" i="7" s="1"/>
  <c r="V190" i="7"/>
  <c r="W190" i="7"/>
  <c r="AH190" i="7" s="1"/>
  <c r="AI190" i="7" s="1"/>
  <c r="X190" i="7"/>
  <c r="Y190" i="7"/>
  <c r="Z190" i="7"/>
  <c r="AA190" i="7"/>
  <c r="AB190" i="7"/>
  <c r="AC190" i="7"/>
  <c r="AG190" i="7" s="1"/>
  <c r="AD190" i="7"/>
  <c r="AE190" i="7"/>
  <c r="G179" i="7"/>
  <c r="AF179" i="7" s="1"/>
  <c r="V179" i="7"/>
  <c r="W179" i="7"/>
  <c r="AH179" i="7" s="1"/>
  <c r="AI179" i="7" s="1"/>
  <c r="X179" i="7"/>
  <c r="Y179" i="7"/>
  <c r="Z179" i="7"/>
  <c r="AA179" i="7"/>
  <c r="AB179" i="7"/>
  <c r="AC179" i="7"/>
  <c r="AG179" i="7" s="1"/>
  <c r="AD179" i="7"/>
  <c r="AE179" i="7"/>
  <c r="G189" i="7"/>
  <c r="AF189" i="7" s="1"/>
  <c r="V189" i="7"/>
  <c r="W189" i="7"/>
  <c r="AH189" i="7" s="1"/>
  <c r="AI189" i="7" s="1"/>
  <c r="X189" i="7"/>
  <c r="Y189" i="7"/>
  <c r="Z189" i="7"/>
  <c r="AA189" i="7"/>
  <c r="AB189" i="7"/>
  <c r="AC189" i="7"/>
  <c r="AG189" i="7" s="1"/>
  <c r="AD189" i="7"/>
  <c r="AE189" i="7"/>
  <c r="G209" i="7"/>
  <c r="AF209" i="7" s="1"/>
  <c r="V209" i="7"/>
  <c r="W209" i="7"/>
  <c r="AH209" i="7" s="1"/>
  <c r="AI209" i="7" s="1"/>
  <c r="X209" i="7"/>
  <c r="Y209" i="7"/>
  <c r="Z209" i="7"/>
  <c r="AA209" i="7"/>
  <c r="AB209" i="7"/>
  <c r="AC209" i="7"/>
  <c r="AG209" i="7" s="1"/>
  <c r="AD209" i="7"/>
  <c r="AE209" i="7"/>
  <c r="G191" i="7"/>
  <c r="AF191" i="7" s="1"/>
  <c r="V191" i="7"/>
  <c r="W191" i="7"/>
  <c r="AH191" i="7" s="1"/>
  <c r="AI191" i="7" s="1"/>
  <c r="X191" i="7"/>
  <c r="Y191" i="7"/>
  <c r="Z191" i="7"/>
  <c r="AA191" i="7"/>
  <c r="AB191" i="7"/>
  <c r="AC191" i="7"/>
  <c r="AG191" i="7" s="1"/>
  <c r="AD191" i="7"/>
  <c r="AE191" i="7"/>
  <c r="AJ173" i="7" l="1"/>
  <c r="AJ192" i="7"/>
  <c r="AJ197" i="7"/>
  <c r="AJ203" i="7"/>
  <c r="AJ202" i="7"/>
  <c r="AJ187" i="7"/>
  <c r="AJ199" i="7"/>
  <c r="AJ174" i="7"/>
  <c r="AJ177" i="7"/>
  <c r="AJ184" i="7"/>
  <c r="AJ185" i="7"/>
  <c r="AJ180" i="7"/>
  <c r="AJ205" i="7"/>
  <c r="AJ190" i="7"/>
  <c r="AJ179" i="7"/>
  <c r="AJ189" i="7"/>
  <c r="AJ209" i="7"/>
  <c r="AJ191" i="7"/>
  <c r="N1" i="8"/>
  <c r="M1" i="8"/>
  <c r="L1" i="8"/>
  <c r="K1" i="8"/>
  <c r="J1" i="8"/>
  <c r="I1" i="8"/>
  <c r="H1" i="8"/>
  <c r="G1" i="8"/>
  <c r="X312" i="8" l="1"/>
  <c r="M301" i="9" s="1"/>
  <c r="X309" i="8"/>
  <c r="M298" i="9" s="1"/>
  <c r="X317" i="8"/>
  <c r="M306" i="9" s="1"/>
  <c r="X322" i="8"/>
  <c r="X310" i="8"/>
  <c r="M299" i="9" s="1"/>
  <c r="X316" i="8"/>
  <c r="M305" i="9" s="1"/>
  <c r="X305" i="8"/>
  <c r="M294" i="9" s="1"/>
  <c r="X306" i="8"/>
  <c r="M295" i="9" s="1"/>
  <c r="X319" i="8"/>
  <c r="M308" i="9" s="1"/>
  <c r="X308" i="8"/>
  <c r="M297" i="9" s="1"/>
  <c r="X313" i="8"/>
  <c r="M302" i="9" s="1"/>
  <c r="X318" i="8"/>
  <c r="M307" i="9" s="1"/>
  <c r="X315" i="8"/>
  <c r="M304" i="9" s="1"/>
  <c r="X307" i="8"/>
  <c r="X321" i="8"/>
  <c r="M310" i="9" s="1"/>
  <c r="X320" i="8"/>
  <c r="M309" i="9" s="1"/>
  <c r="X314" i="8"/>
  <c r="M303" i="9" s="1"/>
  <c r="X311" i="8"/>
  <c r="M300" i="9" s="1"/>
  <c r="X303" i="8"/>
  <c r="X304" i="8"/>
  <c r="X291" i="8"/>
  <c r="M255" i="9" s="1"/>
  <c r="X7" i="8"/>
  <c r="M146" i="9" s="1"/>
  <c r="X12" i="8"/>
  <c r="M151" i="9" s="1"/>
  <c r="X17" i="8"/>
  <c r="X23" i="8"/>
  <c r="M173" i="9" s="1"/>
  <c r="X28" i="8"/>
  <c r="M160" i="9" s="1"/>
  <c r="X33" i="8"/>
  <c r="M164" i="9" s="1"/>
  <c r="X39" i="8"/>
  <c r="M174" i="9" s="1"/>
  <c r="X44" i="8"/>
  <c r="M63" i="9" s="1"/>
  <c r="X49" i="8"/>
  <c r="M110" i="9" s="1"/>
  <c r="X55" i="8"/>
  <c r="X60" i="8"/>
  <c r="M205" i="9" s="1"/>
  <c r="X65" i="8"/>
  <c r="M4" i="9" s="1"/>
  <c r="X71" i="8"/>
  <c r="X79" i="8"/>
  <c r="M11" i="9" s="1"/>
  <c r="X87" i="8"/>
  <c r="M75" i="9" s="1"/>
  <c r="X95" i="8"/>
  <c r="M83" i="9" s="1"/>
  <c r="X103" i="8"/>
  <c r="M91" i="9" s="1"/>
  <c r="X111" i="8"/>
  <c r="M66" i="9" s="1"/>
  <c r="X123" i="8"/>
  <c r="M22" i="9" s="1"/>
  <c r="X139" i="8"/>
  <c r="M38" i="9" s="1"/>
  <c r="X155" i="8"/>
  <c r="M98" i="9" s="1"/>
  <c r="X171" i="8"/>
  <c r="M103" i="9" s="1"/>
  <c r="X187" i="8"/>
  <c r="M281" i="9" s="1"/>
  <c r="X203" i="8"/>
  <c r="M104" i="9" s="1"/>
  <c r="X219" i="8"/>
  <c r="M142" i="9" s="1"/>
  <c r="X235" i="8"/>
  <c r="M243" i="9" s="1"/>
  <c r="X251" i="8"/>
  <c r="M188" i="9" s="1"/>
  <c r="X267" i="8"/>
  <c r="M117" i="9" s="1"/>
  <c r="X283" i="8"/>
  <c r="X299" i="8"/>
  <c r="M198" i="9" s="1"/>
  <c r="X3" i="8"/>
  <c r="M62" i="9" s="1"/>
  <c r="X19" i="8"/>
  <c r="M260" i="9" s="1"/>
  <c r="X35" i="8"/>
  <c r="M166" i="9" s="1"/>
  <c r="X45" i="8"/>
  <c r="M107" i="9" s="1"/>
  <c r="X80" i="8"/>
  <c r="M214" i="9" s="1"/>
  <c r="X96" i="8"/>
  <c r="M84" i="9" s="1"/>
  <c r="X104" i="8"/>
  <c r="M92" i="9" s="1"/>
  <c r="X143" i="8"/>
  <c r="M42" i="9" s="1"/>
  <c r="X223" i="8"/>
  <c r="M45" i="9" s="1"/>
  <c r="X239" i="8"/>
  <c r="M245" i="9" s="1"/>
  <c r="X255" i="8"/>
  <c r="M191" i="9" s="1"/>
  <c r="X271" i="8"/>
  <c r="M121" i="9" s="1"/>
  <c r="X287" i="8"/>
  <c r="M251" i="9" s="1"/>
  <c r="X13" i="8"/>
  <c r="M152" i="9" s="1"/>
  <c r="X40" i="8"/>
  <c r="M175" i="9" s="1"/>
  <c r="X88" i="8"/>
  <c r="M76" i="9" s="1"/>
  <c r="X127" i="8"/>
  <c r="M26" i="9" s="1"/>
  <c r="X175" i="8"/>
  <c r="M269" i="9" s="1"/>
  <c r="X191" i="8"/>
  <c r="M135" i="9" s="1"/>
  <c r="X207" i="8"/>
  <c r="M287" i="9" s="1"/>
  <c r="X4" i="8"/>
  <c r="M258" i="9" s="1"/>
  <c r="X9" i="8"/>
  <c r="M148" i="9" s="1"/>
  <c r="X20" i="8"/>
  <c r="M170" i="9" s="1"/>
  <c r="X25" i="8"/>
  <c r="M157" i="9" s="1"/>
  <c r="X31" i="8"/>
  <c r="M162" i="9" s="1"/>
  <c r="X36" i="8"/>
  <c r="M167" i="9" s="1"/>
  <c r="X41" i="8"/>
  <c r="M176" i="9" s="1"/>
  <c r="X47" i="8"/>
  <c r="M109" i="9" s="1"/>
  <c r="X52" i="8"/>
  <c r="M59" i="9" s="1"/>
  <c r="X57" i="8"/>
  <c r="M202" i="9" s="1"/>
  <c r="X63" i="8"/>
  <c r="M111" i="9" s="1"/>
  <c r="X68" i="8"/>
  <c r="M212" i="9" s="1"/>
  <c r="X75" i="8"/>
  <c r="M7" i="9" s="1"/>
  <c r="X83" i="8"/>
  <c r="M217" i="9" s="1"/>
  <c r="X91" i="8"/>
  <c r="X99" i="8"/>
  <c r="M87" i="9" s="1"/>
  <c r="X107" i="8"/>
  <c r="X115" i="8"/>
  <c r="X131" i="8"/>
  <c r="M30" i="9" s="1"/>
  <c r="X147" i="8"/>
  <c r="M222" i="9" s="1"/>
  <c r="X163" i="8"/>
  <c r="M232" i="9" s="1"/>
  <c r="X179" i="8"/>
  <c r="M273" i="9" s="1"/>
  <c r="X195" i="8"/>
  <c r="M69" i="9" s="1"/>
  <c r="X211" i="8"/>
  <c r="M241" i="9" s="1"/>
  <c r="X227" i="8"/>
  <c r="M53" i="9" s="1"/>
  <c r="X243" i="8"/>
  <c r="M248" i="9" s="1"/>
  <c r="X259" i="8"/>
  <c r="X275" i="8"/>
  <c r="X302" i="8"/>
  <c r="M201" i="9" s="1"/>
  <c r="X298" i="8"/>
  <c r="M197" i="9" s="1"/>
  <c r="X294" i="8"/>
  <c r="M265" i="9" s="1"/>
  <c r="X290" i="8"/>
  <c r="M254" i="9" s="1"/>
  <c r="X286" i="8"/>
  <c r="M250" i="9" s="1"/>
  <c r="X282" i="8"/>
  <c r="X278" i="8"/>
  <c r="X274" i="8"/>
  <c r="X270" i="8"/>
  <c r="X266" i="8"/>
  <c r="M116" i="9" s="1"/>
  <c r="X262" i="8"/>
  <c r="X258" i="8"/>
  <c r="M193" i="9" s="1"/>
  <c r="X254" i="8"/>
  <c r="M190" i="9" s="1"/>
  <c r="X250" i="8"/>
  <c r="X246" i="8"/>
  <c r="M183" i="9" s="1"/>
  <c r="X242" i="8"/>
  <c r="M247" i="9" s="1"/>
  <c r="X238" i="8"/>
  <c r="M244" i="9" s="1"/>
  <c r="X234" i="8"/>
  <c r="M209" i="9" s="1"/>
  <c r="X230" i="8"/>
  <c r="M46" i="9" s="1"/>
  <c r="X226" i="8"/>
  <c r="M52" i="9" s="1"/>
  <c r="X222" i="8"/>
  <c r="M49" i="9" s="1"/>
  <c r="X218" i="8"/>
  <c r="M242" i="9" s="1"/>
  <c r="X214" i="8"/>
  <c r="M291" i="9" s="1"/>
  <c r="X210" i="8"/>
  <c r="M240" i="9" s="1"/>
  <c r="X206" i="8"/>
  <c r="M286" i="9" s="1"/>
  <c r="X202" i="8"/>
  <c r="M137" i="9" s="1"/>
  <c r="X198" i="8"/>
  <c r="X194" i="8"/>
  <c r="M141" i="9" s="1"/>
  <c r="X190" i="8"/>
  <c r="M144" i="9" s="1"/>
  <c r="X186" i="8"/>
  <c r="M280" i="9" s="1"/>
  <c r="X182" i="8"/>
  <c r="X178" i="8"/>
  <c r="X174" i="8"/>
  <c r="M268" i="9" s="1"/>
  <c r="X170" i="8"/>
  <c r="M102" i="9" s="1"/>
  <c r="X166" i="8"/>
  <c r="M235" i="9" s="1"/>
  <c r="X162" i="8"/>
  <c r="M231" i="9" s="1"/>
  <c r="X158" i="8"/>
  <c r="M227" i="9" s="1"/>
  <c r="X154" i="8"/>
  <c r="M97" i="9" s="1"/>
  <c r="X150" i="8"/>
  <c r="M225" i="9" s="1"/>
  <c r="X146" i="8"/>
  <c r="M100" i="9" s="1"/>
  <c r="X142" i="8"/>
  <c r="X138" i="8"/>
  <c r="M37" i="9" s="1"/>
  <c r="X134" i="8"/>
  <c r="M33" i="9" s="1"/>
  <c r="X130" i="8"/>
  <c r="M29" i="9" s="1"/>
  <c r="X126" i="8"/>
  <c r="M25" i="9" s="1"/>
  <c r="X122" i="8"/>
  <c r="M21" i="9" s="1"/>
  <c r="X118" i="8"/>
  <c r="M17" i="9" s="1"/>
  <c r="X114" i="8"/>
  <c r="X110" i="8"/>
  <c r="M94" i="9" s="1"/>
  <c r="X106" i="8"/>
  <c r="M218" i="9" s="1"/>
  <c r="X102" i="8"/>
  <c r="M90" i="9" s="1"/>
  <c r="X98" i="8"/>
  <c r="M86" i="9" s="1"/>
  <c r="X94" i="8"/>
  <c r="M82" i="9" s="1"/>
  <c r="X90" i="8"/>
  <c r="M78" i="9" s="1"/>
  <c r="X86" i="8"/>
  <c r="M74" i="9" s="1"/>
  <c r="X82" i="8"/>
  <c r="M216" i="9" s="1"/>
  <c r="X78" i="8"/>
  <c r="M10" i="9" s="1"/>
  <c r="X74" i="8"/>
  <c r="M6" i="9" s="1"/>
  <c r="X70" i="8"/>
  <c r="X66" i="8"/>
  <c r="M5" i="9" s="1"/>
  <c r="X62" i="8"/>
  <c r="M207" i="9" s="1"/>
  <c r="X58" i="8"/>
  <c r="X54" i="8"/>
  <c r="M61" i="9" s="1"/>
  <c r="X50" i="8"/>
  <c r="M57" i="9" s="1"/>
  <c r="X46" i="8"/>
  <c r="M108" i="9" s="1"/>
  <c r="X42" i="8"/>
  <c r="M177" i="9" s="1"/>
  <c r="X38" i="8"/>
  <c r="M169" i="9" s="1"/>
  <c r="X34" i="8"/>
  <c r="M165" i="9" s="1"/>
  <c r="X30" i="8"/>
  <c r="M161" i="9" s="1"/>
  <c r="X26" i="8"/>
  <c r="M158" i="9" s="1"/>
  <c r="X22" i="8"/>
  <c r="M172" i="9" s="1"/>
  <c r="X18" i="8"/>
  <c r="M155" i="9" s="1"/>
  <c r="X14" i="8"/>
  <c r="M153" i="9" s="1"/>
  <c r="X10" i="8"/>
  <c r="M149" i="9" s="1"/>
  <c r="X6" i="8"/>
  <c r="M145" i="9" s="1"/>
  <c r="X129" i="8"/>
  <c r="M28" i="9" s="1"/>
  <c r="X125" i="8"/>
  <c r="M24" i="9" s="1"/>
  <c r="X113" i="8"/>
  <c r="M12" i="9" s="1"/>
  <c r="X109" i="8"/>
  <c r="M101" i="9" s="1"/>
  <c r="X105" i="8"/>
  <c r="M93" i="9" s="1"/>
  <c r="X93" i="8"/>
  <c r="X89" i="8"/>
  <c r="M77" i="9" s="1"/>
  <c r="X85" i="8"/>
  <c r="X81" i="8"/>
  <c r="M215" i="9" s="1"/>
  <c r="X73" i="8"/>
  <c r="M65" i="9" s="1"/>
  <c r="X301" i="8"/>
  <c r="M200" i="9" s="1"/>
  <c r="X297" i="8"/>
  <c r="M196" i="9" s="1"/>
  <c r="X293" i="8"/>
  <c r="X289" i="8"/>
  <c r="M253" i="9" s="1"/>
  <c r="X285" i="8"/>
  <c r="M249" i="9" s="1"/>
  <c r="X281" i="8"/>
  <c r="X277" i="8"/>
  <c r="X273" i="8"/>
  <c r="X269" i="8"/>
  <c r="X265" i="8"/>
  <c r="X261" i="8"/>
  <c r="X257" i="8"/>
  <c r="M192" i="9" s="1"/>
  <c r="X253" i="8"/>
  <c r="X249" i="8"/>
  <c r="M186" i="9" s="1"/>
  <c r="X245" i="8"/>
  <c r="M182" i="9" s="1"/>
  <c r="X241" i="8"/>
  <c r="M262" i="9" s="1"/>
  <c r="X237" i="8"/>
  <c r="X233" i="8"/>
  <c r="M208" i="9" s="1"/>
  <c r="X229" i="8"/>
  <c r="X225" i="8"/>
  <c r="M51" i="9" s="1"/>
  <c r="X221" i="8"/>
  <c r="M55" i="9" s="1"/>
  <c r="X217" i="8"/>
  <c r="M139" i="9" s="1"/>
  <c r="X213" i="8"/>
  <c r="M290" i="9" s="1"/>
  <c r="X209" i="8"/>
  <c r="M239" i="9" s="1"/>
  <c r="X205" i="8"/>
  <c r="M70" i="9" s="1"/>
  <c r="X201" i="8"/>
  <c r="M105" i="9" s="1"/>
  <c r="X197" i="8"/>
  <c r="M56" i="9" s="1"/>
  <c r="X193" i="8"/>
  <c r="M140" i="9" s="1"/>
  <c r="X189" i="8"/>
  <c r="M283" i="9" s="1"/>
  <c r="X185" i="8"/>
  <c r="M279" i="9" s="1"/>
  <c r="X181" i="8"/>
  <c r="M275" i="9" s="1"/>
  <c r="X177" i="8"/>
  <c r="X173" i="8"/>
  <c r="M267" i="9" s="1"/>
  <c r="X169" i="8"/>
  <c r="M238" i="9" s="1"/>
  <c r="X165" i="8"/>
  <c r="M234" i="9" s="1"/>
  <c r="X161" i="8"/>
  <c r="M230" i="9" s="1"/>
  <c r="X157" i="8"/>
  <c r="M226" i="9" s="1"/>
  <c r="X153" i="8"/>
  <c r="M96" i="9" s="1"/>
  <c r="X149" i="8"/>
  <c r="M224" i="9" s="1"/>
  <c r="X145" i="8"/>
  <c r="M221" i="9" s="1"/>
  <c r="X141" i="8"/>
  <c r="X137" i="8"/>
  <c r="M36" i="9" s="1"/>
  <c r="X133" i="8"/>
  <c r="M32" i="9" s="1"/>
  <c r="X121" i="8"/>
  <c r="M20" i="9" s="1"/>
  <c r="X117" i="8"/>
  <c r="M16" i="9" s="1"/>
  <c r="X101" i="8"/>
  <c r="M89" i="9" s="1"/>
  <c r="X97" i="8"/>
  <c r="M85" i="9" s="1"/>
  <c r="X77" i="8"/>
  <c r="M9" i="9" s="1"/>
  <c r="X300" i="8"/>
  <c r="M199" i="9" s="1"/>
  <c r="X296" i="8"/>
  <c r="M195" i="9" s="1"/>
  <c r="X292" i="8"/>
  <c r="M256" i="9" s="1"/>
  <c r="X288" i="8"/>
  <c r="M252" i="9" s="1"/>
  <c r="X284" i="8"/>
  <c r="M134" i="9" s="1"/>
  <c r="X280" i="8"/>
  <c r="M130" i="9" s="1"/>
  <c r="X276" i="8"/>
  <c r="M126" i="9" s="1"/>
  <c r="X272" i="8"/>
  <c r="X268" i="8"/>
  <c r="X264" i="8"/>
  <c r="M114" i="9" s="1"/>
  <c r="X260" i="8"/>
  <c r="M264" i="9" s="1"/>
  <c r="X256" i="8"/>
  <c r="X252" i="8"/>
  <c r="M189" i="9" s="1"/>
  <c r="X248" i="8"/>
  <c r="M185" i="9" s="1"/>
  <c r="X244" i="8"/>
  <c r="M181" i="9" s="1"/>
  <c r="X240" i="8"/>
  <c r="M246" i="9" s="1"/>
  <c r="X236" i="8"/>
  <c r="M210" i="9" s="1"/>
  <c r="X232" i="8"/>
  <c r="M48" i="9" s="1"/>
  <c r="X228" i="8"/>
  <c r="M54" i="9" s="1"/>
  <c r="X224" i="8"/>
  <c r="M50" i="9" s="1"/>
  <c r="X220" i="8"/>
  <c r="M143" i="9" s="1"/>
  <c r="X216" i="8"/>
  <c r="M293" i="9" s="1"/>
  <c r="X212" i="8"/>
  <c r="M289" i="9" s="1"/>
  <c r="X208" i="8"/>
  <c r="M288" i="9" s="1"/>
  <c r="X204" i="8"/>
  <c r="X200" i="8"/>
  <c r="M136" i="9" s="1"/>
  <c r="X196" i="8"/>
  <c r="X192" i="8"/>
  <c r="M284" i="9" s="1"/>
  <c r="X188" i="8"/>
  <c r="M282" i="9" s="1"/>
  <c r="X184" i="8"/>
  <c r="M278" i="9" s="1"/>
  <c r="X180" i="8"/>
  <c r="X176" i="8"/>
  <c r="M270" i="9" s="1"/>
  <c r="X172" i="8"/>
  <c r="M266" i="9" s="1"/>
  <c r="X168" i="8"/>
  <c r="M237" i="9" s="1"/>
  <c r="X164" i="8"/>
  <c r="M233" i="9" s="1"/>
  <c r="X160" i="8"/>
  <c r="M229" i="9" s="1"/>
  <c r="X156" i="8"/>
  <c r="M99" i="9" s="1"/>
  <c r="X152" i="8"/>
  <c r="M95" i="9" s="1"/>
  <c r="X148" i="8"/>
  <c r="M223" i="9" s="1"/>
  <c r="X144" i="8"/>
  <c r="M220" i="9" s="1"/>
  <c r="X140" i="8"/>
  <c r="M39" i="9" s="1"/>
  <c r="X136" i="8"/>
  <c r="M35" i="9" s="1"/>
  <c r="X132" i="8"/>
  <c r="M31" i="9" s="1"/>
  <c r="X128" i="8"/>
  <c r="M27" i="9" s="1"/>
  <c r="X124" i="8"/>
  <c r="M23" i="9" s="1"/>
  <c r="X120" i="8"/>
  <c r="M19" i="9" s="1"/>
  <c r="X116" i="8"/>
  <c r="M15" i="9" s="1"/>
  <c r="X8" i="8"/>
  <c r="M147" i="9" s="1"/>
  <c r="X24" i="8"/>
  <c r="M156" i="9" s="1"/>
  <c r="X29" i="8"/>
  <c r="X51" i="8"/>
  <c r="M58" i="9" s="1"/>
  <c r="X56" i="8"/>
  <c r="M179" i="9" s="1"/>
  <c r="X61" i="8"/>
  <c r="M206" i="9" s="1"/>
  <c r="X67" i="8"/>
  <c r="M44" i="9" s="1"/>
  <c r="X72" i="8"/>
  <c r="M64" i="9" s="1"/>
  <c r="X112" i="8"/>
  <c r="M67" i="9" s="1"/>
  <c r="X159" i="8"/>
  <c r="M228" i="9" s="1"/>
  <c r="X15" i="8"/>
  <c r="M154" i="9" s="1"/>
  <c r="X5" i="8"/>
  <c r="M68" i="9" s="1"/>
  <c r="X11" i="8"/>
  <c r="M150" i="9" s="1"/>
  <c r="X16" i="8"/>
  <c r="X21" i="8"/>
  <c r="M171" i="9" s="1"/>
  <c r="X27" i="8"/>
  <c r="M159" i="9" s="1"/>
  <c r="X32" i="8"/>
  <c r="M163" i="9" s="1"/>
  <c r="X37" i="8"/>
  <c r="M168" i="9" s="1"/>
  <c r="X43" i="8"/>
  <c r="M314" i="9" s="1"/>
  <c r="X48" i="8"/>
  <c r="M178" i="9" s="1"/>
  <c r="X53" i="8"/>
  <c r="M60" i="9" s="1"/>
  <c r="X59" i="8"/>
  <c r="M204" i="9" s="1"/>
  <c r="X64" i="8"/>
  <c r="M211" i="9" s="1"/>
  <c r="X69" i="8"/>
  <c r="M213" i="9" s="1"/>
  <c r="X76" i="8"/>
  <c r="X84" i="8"/>
  <c r="M72" i="9" s="1"/>
  <c r="X92" i="8"/>
  <c r="X100" i="8"/>
  <c r="M88" i="9" s="1"/>
  <c r="X108" i="8"/>
  <c r="M219" i="9" s="1"/>
  <c r="X119" i="8"/>
  <c r="M18" i="9" s="1"/>
  <c r="X135" i="8"/>
  <c r="M34" i="9" s="1"/>
  <c r="X151" i="8"/>
  <c r="X167" i="8"/>
  <c r="M236" i="9" s="1"/>
  <c r="X183" i="8"/>
  <c r="M277" i="9" s="1"/>
  <c r="X199" i="8"/>
  <c r="M106" i="9" s="1"/>
  <c r="X215" i="8"/>
  <c r="M292" i="9" s="1"/>
  <c r="X231" i="8"/>
  <c r="M47" i="9" s="1"/>
  <c r="X247" i="8"/>
  <c r="M184" i="9" s="1"/>
  <c r="X263" i="8"/>
  <c r="M113" i="9" s="1"/>
  <c r="X279" i="8"/>
  <c r="M129" i="9" s="1"/>
  <c r="X295" i="8"/>
  <c r="M194" i="9" s="1"/>
  <c r="M122" i="9" l="1"/>
  <c r="M8" i="21"/>
  <c r="M120" i="9"/>
  <c r="M7" i="21"/>
  <c r="M123" i="9"/>
  <c r="M9" i="21"/>
  <c r="M127" i="9"/>
  <c r="M12" i="21"/>
  <c r="M124" i="9"/>
  <c r="M10" i="21"/>
  <c r="M115" i="9"/>
  <c r="M4" i="21"/>
  <c r="M131" i="9"/>
  <c r="M14" i="21"/>
  <c r="M112" i="9"/>
  <c r="M3" i="21"/>
  <c r="M128" i="9"/>
  <c r="M13" i="21"/>
  <c r="M133" i="9"/>
  <c r="M16" i="21"/>
  <c r="M257" i="9"/>
  <c r="M17" i="21"/>
  <c r="M118" i="9"/>
  <c r="M5" i="21"/>
  <c r="M119" i="9"/>
  <c r="M6" i="21"/>
  <c r="N6" i="21" s="1"/>
  <c r="M132" i="9"/>
  <c r="M15" i="21"/>
  <c r="N15" i="21" s="1"/>
  <c r="M272" i="9"/>
  <c r="M271" i="9"/>
  <c r="M261" i="9"/>
  <c r="M259" i="9"/>
  <c r="M311" i="9"/>
  <c r="M274" i="9"/>
  <c r="M276" i="9"/>
  <c r="M13" i="9"/>
  <c r="M14" i="9"/>
  <c r="M8" i="9"/>
  <c r="M43" i="9"/>
  <c r="M3" i="9"/>
  <c r="M79" i="9"/>
  <c r="M81" i="9"/>
  <c r="M80" i="9"/>
  <c r="M296" i="9"/>
  <c r="M313" i="9"/>
  <c r="M180" i="9"/>
  <c r="M203" i="9"/>
  <c r="M138" i="9"/>
  <c r="M285" i="9"/>
  <c r="M41" i="9"/>
  <c r="M40" i="9"/>
  <c r="M263" i="9"/>
  <c r="AH1" i="7"/>
  <c r="N5" i="21" l="1"/>
  <c r="N16" i="21"/>
  <c r="N3" i="21"/>
  <c r="M18" i="21"/>
  <c r="N4" i="21"/>
  <c r="N12" i="21"/>
  <c r="N7" i="21"/>
  <c r="N17" i="21"/>
  <c r="N13" i="21"/>
  <c r="N14" i="21"/>
  <c r="N10" i="21"/>
  <c r="N9" i="21"/>
  <c r="N8" i="21"/>
  <c r="N313" i="9"/>
  <c r="N311" i="9"/>
  <c r="N263" i="9"/>
  <c r="S265" i="7"/>
  <c r="S186" i="7"/>
  <c r="S264" i="7"/>
  <c r="S206" i="7"/>
  <c r="S189" i="7"/>
  <c r="S199" i="7"/>
  <c r="S190" i="7"/>
  <c r="S180" i="7"/>
  <c r="S202" i="7"/>
  <c r="S185" i="7"/>
  <c r="S192" i="7"/>
  <c r="S203" i="7"/>
  <c r="S197" i="7"/>
  <c r="S184" i="7"/>
  <c r="S209" i="7"/>
  <c r="S173" i="7"/>
  <c r="S191" i="7"/>
  <c r="S177" i="7"/>
  <c r="S179" i="7"/>
  <c r="S174" i="7"/>
  <c r="S187" i="7"/>
  <c r="S205" i="7"/>
  <c r="C137" i="7" l="1"/>
  <c r="C138" i="7"/>
  <c r="C139" i="7"/>
  <c r="C140" i="7"/>
  <c r="C141" i="7"/>
  <c r="C142" i="7"/>
  <c r="C143" i="7"/>
  <c r="C144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13" i="7"/>
  <c r="K17" i="21" l="1"/>
  <c r="K12" i="9"/>
  <c r="K16" i="9"/>
  <c r="K20" i="9"/>
  <c r="K24" i="9"/>
  <c r="K28" i="9"/>
  <c r="K32" i="9"/>
  <c r="K36" i="9"/>
  <c r="K40" i="9"/>
  <c r="K48" i="9"/>
  <c r="K52" i="9"/>
  <c r="K56" i="9"/>
  <c r="K98" i="9"/>
  <c r="K102" i="9"/>
  <c r="K106" i="9"/>
  <c r="K135" i="9"/>
  <c r="K139" i="9"/>
  <c r="K143" i="9"/>
  <c r="K183" i="9"/>
  <c r="K188" i="9"/>
  <c r="K257" i="9"/>
  <c r="K13" i="9"/>
  <c r="K17" i="9"/>
  <c r="K21" i="9"/>
  <c r="K25" i="9"/>
  <c r="K29" i="9"/>
  <c r="K33" i="9"/>
  <c r="K37" i="9"/>
  <c r="K41" i="9"/>
  <c r="K45" i="9"/>
  <c r="K49" i="9"/>
  <c r="K53" i="9"/>
  <c r="K69" i="9"/>
  <c r="K95" i="9"/>
  <c r="K99" i="9"/>
  <c r="K103" i="9"/>
  <c r="K136" i="9"/>
  <c r="K140" i="9"/>
  <c r="K144" i="9"/>
  <c r="K184" i="9"/>
  <c r="K189" i="9"/>
  <c r="K192" i="9"/>
  <c r="K208" i="9"/>
  <c r="K220" i="9"/>
  <c r="K224" i="9"/>
  <c r="K228" i="9"/>
  <c r="K232" i="9"/>
  <c r="K236" i="9"/>
  <c r="K240" i="9"/>
  <c r="K244" i="9"/>
  <c r="K248" i="9"/>
  <c r="K269" i="9"/>
  <c r="K273" i="9"/>
  <c r="K277" i="9"/>
  <c r="K281" i="9"/>
  <c r="K285" i="9"/>
  <c r="K289" i="9"/>
  <c r="K293" i="9"/>
  <c r="K297" i="9"/>
  <c r="K301" i="9"/>
  <c r="K305" i="9"/>
  <c r="K309" i="9"/>
  <c r="K18" i="9"/>
  <c r="K22" i="9"/>
  <c r="K26" i="9"/>
  <c r="K30" i="9"/>
  <c r="K34" i="9"/>
  <c r="K38" i="9"/>
  <c r="K42" i="9"/>
  <c r="K46" i="9"/>
  <c r="K14" i="9"/>
  <c r="K3" i="9"/>
  <c r="K15" i="9"/>
  <c r="K19" i="9"/>
  <c r="K23" i="9"/>
  <c r="K27" i="9"/>
  <c r="K31" i="9"/>
  <c r="K35" i="9"/>
  <c r="K39" i="9"/>
  <c r="K47" i="9"/>
  <c r="K51" i="9"/>
  <c r="K55" i="9"/>
  <c r="K97" i="9"/>
  <c r="K105" i="9"/>
  <c r="K138" i="9"/>
  <c r="K142" i="9"/>
  <c r="K182" i="9"/>
  <c r="K186" i="9"/>
  <c r="K191" i="9"/>
  <c r="K210" i="9"/>
  <c r="K222" i="9"/>
  <c r="K226" i="9"/>
  <c r="K230" i="9"/>
  <c r="K234" i="9"/>
  <c r="K238" i="9"/>
  <c r="K242" i="9"/>
  <c r="K246" i="9"/>
  <c r="K263" i="9"/>
  <c r="K267" i="9"/>
  <c r="K271" i="9"/>
  <c r="K275" i="9"/>
  <c r="K279" i="9"/>
  <c r="K283" i="9"/>
  <c r="K287" i="9"/>
  <c r="K291" i="9"/>
  <c r="K295" i="9"/>
  <c r="K299" i="9"/>
  <c r="K303" i="9"/>
  <c r="K307" i="9"/>
  <c r="K311" i="9"/>
  <c r="K190" i="9"/>
  <c r="K223" i="9"/>
  <c r="K231" i="9"/>
  <c r="K239" i="9"/>
  <c r="K247" i="9"/>
  <c r="K264" i="9"/>
  <c r="K272" i="9"/>
  <c r="K280" i="9"/>
  <c r="K288" i="9"/>
  <c r="K296" i="9"/>
  <c r="K304" i="9"/>
  <c r="K313" i="9"/>
  <c r="K96" i="9"/>
  <c r="K141" i="9"/>
  <c r="K227" i="9"/>
  <c r="K243" i="9"/>
  <c r="K276" i="9"/>
  <c r="K292" i="9"/>
  <c r="K308" i="9"/>
  <c r="K70" i="9"/>
  <c r="K100" i="9"/>
  <c r="K237" i="9"/>
  <c r="K262" i="9"/>
  <c r="K286" i="9"/>
  <c r="K310" i="9"/>
  <c r="K104" i="9"/>
  <c r="K137" i="9"/>
  <c r="K193" i="9"/>
  <c r="K209" i="9"/>
  <c r="K225" i="9"/>
  <c r="K233" i="9"/>
  <c r="K241" i="9"/>
  <c r="K266" i="9"/>
  <c r="K274" i="9"/>
  <c r="K282" i="9"/>
  <c r="K290" i="9"/>
  <c r="K298" i="9"/>
  <c r="K306" i="9"/>
  <c r="K50" i="9"/>
  <c r="K181" i="9"/>
  <c r="K235" i="9"/>
  <c r="K268" i="9"/>
  <c r="K284" i="9"/>
  <c r="K300" i="9"/>
  <c r="K54" i="9"/>
  <c r="K229" i="9"/>
  <c r="K245" i="9"/>
  <c r="K270" i="9"/>
  <c r="K302" i="9"/>
  <c r="K185" i="9"/>
  <c r="K221" i="9"/>
  <c r="K278" i="9"/>
  <c r="K294" i="9"/>
  <c r="K315" i="9"/>
  <c r="Q315" i="9" s="1"/>
  <c r="J180" i="10"/>
  <c r="S274" i="9" s="1"/>
  <c r="K180" i="10"/>
  <c r="J181" i="10"/>
  <c r="S275" i="9" s="1"/>
  <c r="K181" i="10"/>
  <c r="R275" i="9" s="1"/>
  <c r="J182" i="10"/>
  <c r="S276" i="9" s="1"/>
  <c r="K182" i="10"/>
  <c r="J183" i="10"/>
  <c r="S277" i="9" s="1"/>
  <c r="K183" i="10"/>
  <c r="R277" i="9" s="1"/>
  <c r="J184" i="10"/>
  <c r="S278" i="9" s="1"/>
  <c r="K184" i="10"/>
  <c r="R278" i="9" s="1"/>
  <c r="J185" i="10"/>
  <c r="S279" i="9" s="1"/>
  <c r="K185" i="10"/>
  <c r="R279" i="9" s="1"/>
  <c r="J186" i="10"/>
  <c r="S280" i="9" s="1"/>
  <c r="K186" i="10"/>
  <c r="R280" i="9" s="1"/>
  <c r="J187" i="10"/>
  <c r="S281" i="9" s="1"/>
  <c r="K187" i="10"/>
  <c r="R281" i="9" s="1"/>
  <c r="J188" i="10"/>
  <c r="S282" i="9" s="1"/>
  <c r="K188" i="10"/>
  <c r="R282" i="9" s="1"/>
  <c r="J189" i="10"/>
  <c r="S283" i="9" s="1"/>
  <c r="K189" i="10"/>
  <c r="R283" i="9" s="1"/>
  <c r="J190" i="10"/>
  <c r="S144" i="9" s="1"/>
  <c r="K190" i="10"/>
  <c r="R144" i="9" s="1"/>
  <c r="J191" i="10"/>
  <c r="S135" i="9" s="1"/>
  <c r="K191" i="10"/>
  <c r="R135" i="9" s="1"/>
  <c r="J192" i="10"/>
  <c r="S284" i="9" s="1"/>
  <c r="K192" i="10"/>
  <c r="R284" i="9" s="1"/>
  <c r="J193" i="10"/>
  <c r="S140" i="9" s="1"/>
  <c r="K193" i="10"/>
  <c r="R140" i="9" s="1"/>
  <c r="J194" i="10"/>
  <c r="S141" i="9" s="1"/>
  <c r="K194" i="10"/>
  <c r="R141" i="9" s="1"/>
  <c r="J195" i="10"/>
  <c r="S69" i="9" s="1"/>
  <c r="K195" i="10"/>
  <c r="R69" i="9" s="1"/>
  <c r="J196" i="10"/>
  <c r="K196" i="10"/>
  <c r="J197" i="10"/>
  <c r="S56" i="9" s="1"/>
  <c r="K197" i="10"/>
  <c r="R56" i="9" s="1"/>
  <c r="J198" i="10"/>
  <c r="K198" i="10"/>
  <c r="J199" i="10"/>
  <c r="S106" i="9" s="1"/>
  <c r="K199" i="10"/>
  <c r="R106" i="9" s="1"/>
  <c r="J200" i="10"/>
  <c r="S136" i="9" s="1"/>
  <c r="K200" i="10"/>
  <c r="R136" i="9" s="1"/>
  <c r="J201" i="10"/>
  <c r="S105" i="9" s="1"/>
  <c r="K201" i="10"/>
  <c r="R105" i="9" s="1"/>
  <c r="J202" i="10"/>
  <c r="S137" i="9" s="1"/>
  <c r="K202" i="10"/>
  <c r="R137" i="9" s="1"/>
  <c r="J203" i="10"/>
  <c r="S104" i="9" s="1"/>
  <c r="K203" i="10"/>
  <c r="R104" i="9" s="1"/>
  <c r="J204" i="10"/>
  <c r="S138" i="9" s="1"/>
  <c r="K204" i="10"/>
  <c r="R138" i="9" s="1"/>
  <c r="J205" i="10"/>
  <c r="S70" i="9" s="1"/>
  <c r="K205" i="10"/>
  <c r="R70" i="9" s="1"/>
  <c r="J206" i="10"/>
  <c r="S286" i="9" s="1"/>
  <c r="K206" i="10"/>
  <c r="R286" i="9" s="1"/>
  <c r="J207" i="10"/>
  <c r="S287" i="9" s="1"/>
  <c r="K207" i="10"/>
  <c r="R287" i="9" s="1"/>
  <c r="J208" i="10"/>
  <c r="S288" i="9" s="1"/>
  <c r="K208" i="10"/>
  <c r="R288" i="9" s="1"/>
  <c r="J209" i="10"/>
  <c r="S239" i="9" s="1"/>
  <c r="K209" i="10"/>
  <c r="R239" i="9" s="1"/>
  <c r="J210" i="10"/>
  <c r="S240" i="9" s="1"/>
  <c r="K210" i="10"/>
  <c r="R240" i="9" s="1"/>
  <c r="J211" i="10"/>
  <c r="S241" i="9" s="1"/>
  <c r="K211" i="10"/>
  <c r="R241" i="9" s="1"/>
  <c r="J212" i="10"/>
  <c r="S289" i="9" s="1"/>
  <c r="K212" i="10"/>
  <c r="R289" i="9" s="1"/>
  <c r="J213" i="10"/>
  <c r="S290" i="9" s="1"/>
  <c r="K213" i="10"/>
  <c r="R290" i="9" s="1"/>
  <c r="J214" i="10"/>
  <c r="S291" i="9" s="1"/>
  <c r="K214" i="10"/>
  <c r="R291" i="9" s="1"/>
  <c r="J215" i="10"/>
  <c r="S292" i="9" s="1"/>
  <c r="K215" i="10"/>
  <c r="R292" i="9" s="1"/>
  <c r="J216" i="10"/>
  <c r="S293" i="9" s="1"/>
  <c r="K216" i="10"/>
  <c r="R293" i="9" s="1"/>
  <c r="J217" i="10"/>
  <c r="S139" i="9" s="1"/>
  <c r="K217" i="10"/>
  <c r="R139" i="9" s="1"/>
  <c r="J218" i="10"/>
  <c r="S242" i="9" s="1"/>
  <c r="K218" i="10"/>
  <c r="R242" i="9" s="1"/>
  <c r="J219" i="10"/>
  <c r="S142" i="9" s="1"/>
  <c r="K219" i="10"/>
  <c r="R142" i="9" s="1"/>
  <c r="J220" i="10"/>
  <c r="S143" i="9" s="1"/>
  <c r="K220" i="10"/>
  <c r="R143" i="9" s="1"/>
  <c r="J221" i="10"/>
  <c r="S55" i="9" s="1"/>
  <c r="K221" i="10"/>
  <c r="R55" i="9" s="1"/>
  <c r="J222" i="10"/>
  <c r="S49" i="9" s="1"/>
  <c r="K222" i="10"/>
  <c r="R49" i="9" s="1"/>
  <c r="J223" i="10"/>
  <c r="S45" i="9" s="1"/>
  <c r="K223" i="10"/>
  <c r="R45" i="9" s="1"/>
  <c r="J224" i="10"/>
  <c r="S50" i="9" s="1"/>
  <c r="K224" i="10"/>
  <c r="R50" i="9" s="1"/>
  <c r="J225" i="10"/>
  <c r="S51" i="9" s="1"/>
  <c r="K225" i="10"/>
  <c r="R51" i="9" s="1"/>
  <c r="J226" i="10"/>
  <c r="S52" i="9" s="1"/>
  <c r="K226" i="10"/>
  <c r="R52" i="9" s="1"/>
  <c r="J227" i="10"/>
  <c r="S53" i="9" s="1"/>
  <c r="K227" i="10"/>
  <c r="R53" i="9" s="1"/>
  <c r="J228" i="10"/>
  <c r="S54" i="9" s="1"/>
  <c r="K228" i="10"/>
  <c r="R54" i="9" s="1"/>
  <c r="J229" i="10"/>
  <c r="K229" i="10"/>
  <c r="J230" i="10"/>
  <c r="S46" i="9" s="1"/>
  <c r="K230" i="10"/>
  <c r="R46" i="9" s="1"/>
  <c r="J231" i="10"/>
  <c r="S47" i="9" s="1"/>
  <c r="K231" i="10"/>
  <c r="R47" i="9" s="1"/>
  <c r="J232" i="10"/>
  <c r="S48" i="9" s="1"/>
  <c r="K232" i="10"/>
  <c r="R48" i="9" s="1"/>
  <c r="J233" i="10"/>
  <c r="S208" i="9" s="1"/>
  <c r="K233" i="10"/>
  <c r="R208" i="9" s="1"/>
  <c r="J234" i="10"/>
  <c r="S209" i="9" s="1"/>
  <c r="K234" i="10"/>
  <c r="R209" i="9" s="1"/>
  <c r="J235" i="10"/>
  <c r="S243" i="9" s="1"/>
  <c r="K235" i="10"/>
  <c r="R243" i="9" s="1"/>
  <c r="J236" i="10"/>
  <c r="S210" i="9" s="1"/>
  <c r="K236" i="10"/>
  <c r="R210" i="9" s="1"/>
  <c r="J237" i="10"/>
  <c r="K237" i="10"/>
  <c r="J238" i="10"/>
  <c r="S244" i="9" s="1"/>
  <c r="K238" i="10"/>
  <c r="R244" i="9" s="1"/>
  <c r="J239" i="10"/>
  <c r="S245" i="9" s="1"/>
  <c r="K239" i="10"/>
  <c r="R245" i="9" s="1"/>
  <c r="J240" i="10"/>
  <c r="S246" i="9" s="1"/>
  <c r="K240" i="10"/>
  <c r="R246" i="9" s="1"/>
  <c r="J241" i="10"/>
  <c r="S262" i="9" s="1"/>
  <c r="K241" i="10"/>
  <c r="R262" i="9" s="1"/>
  <c r="J242" i="10"/>
  <c r="S247" i="9" s="1"/>
  <c r="K242" i="10"/>
  <c r="R247" i="9" s="1"/>
  <c r="J243" i="10"/>
  <c r="S248" i="9" s="1"/>
  <c r="K243" i="10"/>
  <c r="R248" i="9" s="1"/>
  <c r="J244" i="10"/>
  <c r="S181" i="9" s="1"/>
  <c r="K244" i="10"/>
  <c r="R181" i="9" s="1"/>
  <c r="J245" i="10"/>
  <c r="S182" i="9" s="1"/>
  <c r="K245" i="10"/>
  <c r="R182" i="9" s="1"/>
  <c r="J246" i="10"/>
  <c r="S183" i="9" s="1"/>
  <c r="K246" i="10"/>
  <c r="R183" i="9" s="1"/>
  <c r="J247" i="10"/>
  <c r="S184" i="9" s="1"/>
  <c r="K247" i="10"/>
  <c r="R184" i="9" s="1"/>
  <c r="J248" i="10"/>
  <c r="S185" i="9" s="1"/>
  <c r="K248" i="10"/>
  <c r="R185" i="9" s="1"/>
  <c r="J249" i="10"/>
  <c r="S186" i="9" s="1"/>
  <c r="K249" i="10"/>
  <c r="R186" i="9" s="1"/>
  <c r="J250" i="10"/>
  <c r="K250" i="10"/>
  <c r="J251" i="10"/>
  <c r="S188" i="9" s="1"/>
  <c r="K251" i="10"/>
  <c r="R188" i="9" s="1"/>
  <c r="J252" i="10"/>
  <c r="S189" i="9" s="1"/>
  <c r="K252" i="10"/>
  <c r="R189" i="9" s="1"/>
  <c r="J253" i="10"/>
  <c r="S263" i="9" s="1"/>
  <c r="K253" i="10"/>
  <c r="R263" i="9" s="1"/>
  <c r="T263" i="9" s="1"/>
  <c r="J254" i="10"/>
  <c r="S190" i="9" s="1"/>
  <c r="K254" i="10"/>
  <c r="R190" i="9" s="1"/>
  <c r="J255" i="10"/>
  <c r="S191" i="9" s="1"/>
  <c r="K255" i="10"/>
  <c r="R191" i="9" s="1"/>
  <c r="J256" i="10"/>
  <c r="K256" i="10"/>
  <c r="J257" i="10"/>
  <c r="S192" i="9" s="1"/>
  <c r="K257" i="10"/>
  <c r="R192" i="9" s="1"/>
  <c r="J258" i="10"/>
  <c r="S193" i="9" s="1"/>
  <c r="K258" i="10"/>
  <c r="R193" i="9" s="1"/>
  <c r="J259" i="10"/>
  <c r="S3" i="9" s="1"/>
  <c r="K259" i="10"/>
  <c r="R3" i="9" s="1"/>
  <c r="J260" i="10"/>
  <c r="S264" i="9" s="1"/>
  <c r="K260" i="10"/>
  <c r="R264" i="9" s="1"/>
  <c r="J261" i="10"/>
  <c r="K261" i="10"/>
  <c r="J262" i="10"/>
  <c r="K262" i="10"/>
  <c r="J263" i="10"/>
  <c r="S113" i="9" s="1"/>
  <c r="K263" i="10"/>
  <c r="R113" i="9" s="1"/>
  <c r="J264" i="10"/>
  <c r="S114" i="9" s="1"/>
  <c r="K264" i="10"/>
  <c r="R114" i="9" s="1"/>
  <c r="J265" i="10"/>
  <c r="K265" i="10"/>
  <c r="J266" i="10"/>
  <c r="S116" i="9" s="1"/>
  <c r="K266" i="10"/>
  <c r="R116" i="9" s="1"/>
  <c r="J267" i="10"/>
  <c r="S117" i="9" s="1"/>
  <c r="K267" i="10"/>
  <c r="R117" i="9" s="1"/>
  <c r="J268" i="10"/>
  <c r="K268" i="10"/>
  <c r="J269" i="10"/>
  <c r="K269" i="10"/>
  <c r="J270" i="10"/>
  <c r="K270" i="10"/>
  <c r="J271" i="10"/>
  <c r="S121" i="9" s="1"/>
  <c r="K271" i="10"/>
  <c r="R121" i="9" s="1"/>
  <c r="J272" i="10"/>
  <c r="K272" i="10"/>
  <c r="J273" i="10"/>
  <c r="K273" i="10"/>
  <c r="J274" i="10"/>
  <c r="K274" i="10"/>
  <c r="J275" i="10"/>
  <c r="K275" i="10"/>
  <c r="J276" i="10"/>
  <c r="S126" i="9" s="1"/>
  <c r="K276" i="10"/>
  <c r="R126" i="9" s="1"/>
  <c r="J277" i="10"/>
  <c r="K277" i="10"/>
  <c r="J278" i="10"/>
  <c r="K278" i="10"/>
  <c r="J279" i="10"/>
  <c r="S129" i="9" s="1"/>
  <c r="K279" i="10"/>
  <c r="R129" i="9" s="1"/>
  <c r="J280" i="10"/>
  <c r="S130" i="9" s="1"/>
  <c r="K280" i="10"/>
  <c r="R130" i="9" s="1"/>
  <c r="J281" i="10"/>
  <c r="K281" i="10"/>
  <c r="J282" i="10"/>
  <c r="K282" i="10"/>
  <c r="J283" i="10"/>
  <c r="K283" i="10"/>
  <c r="J284" i="10"/>
  <c r="S134" i="9" s="1"/>
  <c r="K284" i="10"/>
  <c r="R134" i="9" s="1"/>
  <c r="J285" i="10"/>
  <c r="S249" i="9" s="1"/>
  <c r="K285" i="10"/>
  <c r="R249" i="9" s="1"/>
  <c r="J286" i="10"/>
  <c r="S250" i="9" s="1"/>
  <c r="K286" i="10"/>
  <c r="R250" i="9" s="1"/>
  <c r="J287" i="10"/>
  <c r="S251" i="9" s="1"/>
  <c r="K287" i="10"/>
  <c r="R251" i="9" s="1"/>
  <c r="J288" i="10"/>
  <c r="S252" i="9" s="1"/>
  <c r="K288" i="10"/>
  <c r="R252" i="9" s="1"/>
  <c r="J289" i="10"/>
  <c r="S253" i="9" s="1"/>
  <c r="K289" i="10"/>
  <c r="R253" i="9" s="1"/>
  <c r="J290" i="10"/>
  <c r="S254" i="9" s="1"/>
  <c r="K290" i="10"/>
  <c r="R254" i="9" s="1"/>
  <c r="J291" i="10"/>
  <c r="S255" i="9" s="1"/>
  <c r="K291" i="10"/>
  <c r="R255" i="9" s="1"/>
  <c r="J292" i="10"/>
  <c r="S256" i="9" s="1"/>
  <c r="K292" i="10"/>
  <c r="R256" i="9" s="1"/>
  <c r="J293" i="10"/>
  <c r="K293" i="10"/>
  <c r="J294" i="10"/>
  <c r="S265" i="9" s="1"/>
  <c r="K294" i="10"/>
  <c r="R265" i="9" s="1"/>
  <c r="J295" i="10"/>
  <c r="S194" i="9" s="1"/>
  <c r="K295" i="10"/>
  <c r="R194" i="9" s="1"/>
  <c r="J296" i="10"/>
  <c r="S195" i="9" s="1"/>
  <c r="K296" i="10"/>
  <c r="R195" i="9" s="1"/>
  <c r="J297" i="10"/>
  <c r="S196" i="9" s="1"/>
  <c r="K297" i="10"/>
  <c r="R196" i="9" s="1"/>
  <c r="J298" i="10"/>
  <c r="S197" i="9" s="1"/>
  <c r="K298" i="10"/>
  <c r="R197" i="9" s="1"/>
  <c r="J299" i="10"/>
  <c r="S198" i="9" s="1"/>
  <c r="K299" i="10"/>
  <c r="R198" i="9" s="1"/>
  <c r="J300" i="10"/>
  <c r="S199" i="9" s="1"/>
  <c r="K300" i="10"/>
  <c r="R199" i="9" s="1"/>
  <c r="J301" i="10"/>
  <c r="S200" i="9" s="1"/>
  <c r="K301" i="10"/>
  <c r="R200" i="9" s="1"/>
  <c r="J302" i="10"/>
  <c r="S201" i="9" s="1"/>
  <c r="K302" i="10"/>
  <c r="R201" i="9" s="1"/>
  <c r="R133" i="9" l="1"/>
  <c r="R16" i="21"/>
  <c r="R131" i="9"/>
  <c r="R14" i="21"/>
  <c r="R127" i="9"/>
  <c r="R12" i="21"/>
  <c r="R119" i="9"/>
  <c r="R6" i="21"/>
  <c r="T6" i="21" s="1"/>
  <c r="S133" i="9"/>
  <c r="S16" i="21"/>
  <c r="S131" i="9"/>
  <c r="S14" i="21"/>
  <c r="S127" i="9"/>
  <c r="S12" i="21"/>
  <c r="R132" i="9"/>
  <c r="R15" i="21"/>
  <c r="T15" i="21" s="1"/>
  <c r="R122" i="9"/>
  <c r="R8" i="21"/>
  <c r="R118" i="9"/>
  <c r="R5" i="21"/>
  <c r="T5" i="21" s="1"/>
  <c r="R285" i="9"/>
  <c r="R123" i="9"/>
  <c r="R9" i="21"/>
  <c r="T9" i="21" s="1"/>
  <c r="R115" i="9"/>
  <c r="T115" i="9" s="1"/>
  <c r="R4" i="21"/>
  <c r="S123" i="9"/>
  <c r="S9" i="21"/>
  <c r="S119" i="9"/>
  <c r="S6" i="21"/>
  <c r="S115" i="9"/>
  <c r="S4" i="21"/>
  <c r="R128" i="9"/>
  <c r="R13" i="21"/>
  <c r="R124" i="9"/>
  <c r="R10" i="21"/>
  <c r="R120" i="9"/>
  <c r="R7" i="21"/>
  <c r="R112" i="9"/>
  <c r="R3" i="21"/>
  <c r="T3" i="21" s="1"/>
  <c r="R257" i="9"/>
  <c r="R17" i="21"/>
  <c r="S132" i="9"/>
  <c r="S15" i="21"/>
  <c r="S128" i="9"/>
  <c r="T128" i="9" s="1"/>
  <c r="S13" i="21"/>
  <c r="S124" i="9"/>
  <c r="S10" i="21"/>
  <c r="S122" i="9"/>
  <c r="T122" i="9" s="1"/>
  <c r="S8" i="21"/>
  <c r="S120" i="9"/>
  <c r="S7" i="21"/>
  <c r="S118" i="9"/>
  <c r="S5" i="21"/>
  <c r="S112" i="9"/>
  <c r="S3" i="21"/>
  <c r="S257" i="9"/>
  <c r="S17" i="21"/>
  <c r="S285" i="9"/>
  <c r="T201" i="9"/>
  <c r="T199" i="9"/>
  <c r="T197" i="9"/>
  <c r="T195" i="9"/>
  <c r="T265" i="9"/>
  <c r="T256" i="9"/>
  <c r="T254" i="9"/>
  <c r="T252" i="9"/>
  <c r="T250" i="9"/>
  <c r="T134" i="9"/>
  <c r="T130" i="9"/>
  <c r="T126" i="9"/>
  <c r="T124" i="9"/>
  <c r="T120" i="9"/>
  <c r="T116" i="9"/>
  <c r="T114" i="9"/>
  <c r="T112" i="9"/>
  <c r="T264" i="9"/>
  <c r="T193" i="9"/>
  <c r="T190" i="9"/>
  <c r="T189" i="9"/>
  <c r="T185" i="9"/>
  <c r="T183" i="9"/>
  <c r="T181" i="9"/>
  <c r="T247" i="9"/>
  <c r="T246" i="9"/>
  <c r="T244" i="9"/>
  <c r="T210" i="9"/>
  <c r="T209" i="9"/>
  <c r="T48" i="9"/>
  <c r="T137" i="9"/>
  <c r="T136" i="9"/>
  <c r="T285" i="9"/>
  <c r="T141" i="9"/>
  <c r="T284" i="9"/>
  <c r="T144" i="9"/>
  <c r="T46" i="9"/>
  <c r="T54" i="9"/>
  <c r="T52" i="9"/>
  <c r="T50" i="9"/>
  <c r="T49" i="9"/>
  <c r="T143" i="9"/>
  <c r="T242" i="9"/>
  <c r="T293" i="9"/>
  <c r="T291" i="9"/>
  <c r="T289" i="9"/>
  <c r="T240" i="9"/>
  <c r="T288" i="9"/>
  <c r="T286" i="9"/>
  <c r="T138" i="9"/>
  <c r="T200" i="9"/>
  <c r="T198" i="9"/>
  <c r="T196" i="9"/>
  <c r="T194" i="9"/>
  <c r="T255" i="9"/>
  <c r="T253" i="9"/>
  <c r="T251" i="9"/>
  <c r="T249" i="9"/>
  <c r="T133" i="9"/>
  <c r="T131" i="9"/>
  <c r="T129" i="9"/>
  <c r="T127" i="9"/>
  <c r="T123" i="9"/>
  <c r="T121" i="9"/>
  <c r="T117" i="9"/>
  <c r="T113" i="9"/>
  <c r="T3" i="9"/>
  <c r="T192" i="9"/>
  <c r="T191" i="9"/>
  <c r="T188" i="9"/>
  <c r="T186" i="9"/>
  <c r="T184" i="9"/>
  <c r="T182" i="9"/>
  <c r="T248" i="9"/>
  <c r="T262" i="9"/>
  <c r="T245" i="9"/>
  <c r="T243" i="9"/>
  <c r="T208" i="9"/>
  <c r="T47" i="9"/>
  <c r="T53" i="9"/>
  <c r="T51" i="9"/>
  <c r="T45" i="9"/>
  <c r="T55" i="9"/>
  <c r="T142" i="9"/>
  <c r="T139" i="9"/>
  <c r="T292" i="9"/>
  <c r="T290" i="9"/>
  <c r="T241" i="9"/>
  <c r="T239" i="9"/>
  <c r="T287" i="9"/>
  <c r="T70" i="9"/>
  <c r="T104" i="9"/>
  <c r="T105" i="9"/>
  <c r="T106" i="9"/>
  <c r="T56" i="9"/>
  <c r="T69" i="9"/>
  <c r="T140" i="9"/>
  <c r="T135" i="9"/>
  <c r="T283" i="9"/>
  <c r="T281" i="9"/>
  <c r="L315" i="9"/>
  <c r="T279" i="9"/>
  <c r="T277" i="9"/>
  <c r="T275" i="9"/>
  <c r="T282" i="9"/>
  <c r="T280" i="9"/>
  <c r="T278" i="9"/>
  <c r="R274" i="9"/>
  <c r="T274" i="9" s="1"/>
  <c r="R276" i="9"/>
  <c r="T276" i="9" s="1"/>
  <c r="T119" i="9" l="1"/>
  <c r="T257" i="9"/>
  <c r="T118" i="9"/>
  <c r="T132" i="9"/>
  <c r="T8" i="21"/>
  <c r="T12" i="21"/>
  <c r="T16" i="21"/>
  <c r="T14" i="21"/>
  <c r="T10" i="21"/>
  <c r="T17" i="21"/>
  <c r="T7" i="21"/>
  <c r="U7" i="21" s="1"/>
  <c r="T13" i="21"/>
  <c r="T4" i="21"/>
  <c r="Q308" i="2"/>
  <c r="R308" i="2"/>
  <c r="S308" i="2"/>
  <c r="T308" i="2"/>
  <c r="U308" i="2"/>
  <c r="V308" i="2"/>
  <c r="W308" i="2"/>
  <c r="X308" i="2"/>
  <c r="Y308" i="2"/>
  <c r="Z308" i="2"/>
  <c r="AA308" i="2"/>
  <c r="Q309" i="2"/>
  <c r="R309" i="2"/>
  <c r="S309" i="2"/>
  <c r="T309" i="2"/>
  <c r="U309" i="2"/>
  <c r="V309" i="2"/>
  <c r="W309" i="2"/>
  <c r="X309" i="2"/>
  <c r="Y309" i="2"/>
  <c r="Z309" i="2"/>
  <c r="AA309" i="2"/>
  <c r="U14" i="21" l="1"/>
  <c r="U8" i="21"/>
  <c r="U17" i="21"/>
  <c r="U15" i="21"/>
  <c r="U9" i="21"/>
  <c r="U4" i="21"/>
  <c r="U10" i="21"/>
  <c r="U16" i="21"/>
  <c r="U6" i="21"/>
  <c r="U13" i="21"/>
  <c r="U3" i="21"/>
  <c r="U12" i="21"/>
  <c r="U5" i="21"/>
  <c r="E273" i="9"/>
  <c r="E274" i="9"/>
  <c r="E276" i="9"/>
  <c r="E277" i="9"/>
  <c r="E278" i="9"/>
  <c r="E279" i="9"/>
  <c r="E280" i="9"/>
  <c r="E281" i="9"/>
  <c r="E282" i="9"/>
  <c r="E283" i="9"/>
  <c r="E284" i="9"/>
  <c r="E286" i="9"/>
  <c r="E289" i="9"/>
  <c r="E290" i="9"/>
  <c r="E291" i="9"/>
  <c r="E292" i="9"/>
  <c r="E293" i="9"/>
  <c r="E139" i="9"/>
  <c r="E242" i="9"/>
  <c r="E142" i="9"/>
  <c r="E143" i="9"/>
  <c r="E46" i="9"/>
  <c r="E181" i="9"/>
  <c r="E182" i="9"/>
  <c r="E183" i="9"/>
  <c r="E184" i="9"/>
  <c r="E185" i="9"/>
  <c r="E186" i="9"/>
  <c r="E188" i="9"/>
  <c r="E189" i="9"/>
  <c r="E191" i="9"/>
  <c r="E113" i="9"/>
  <c r="E116" i="9"/>
  <c r="E117" i="9"/>
  <c r="E121" i="9"/>
  <c r="E126" i="9"/>
  <c r="E129" i="9"/>
  <c r="E251" i="9"/>
  <c r="E254" i="9"/>
  <c r="E255" i="9"/>
  <c r="E256" i="9"/>
  <c r="E194" i="9"/>
  <c r="E195" i="9"/>
  <c r="E196" i="9"/>
  <c r="E197" i="9"/>
  <c r="E198" i="9"/>
  <c r="E199" i="9"/>
  <c r="E200" i="9"/>
  <c r="O8" i="2"/>
  <c r="O307" i="2"/>
  <c r="AA307" i="2" s="1"/>
  <c r="Q307" i="2"/>
  <c r="R307" i="2"/>
  <c r="S307" i="2"/>
  <c r="T307" i="2"/>
  <c r="U307" i="2"/>
  <c r="V307" i="2"/>
  <c r="W307" i="2"/>
  <c r="X307" i="2"/>
  <c r="Y307" i="2"/>
  <c r="Z307" i="2"/>
  <c r="O9" i="2"/>
  <c r="AA9" i="2" s="1"/>
  <c r="Q9" i="2"/>
  <c r="R9" i="2"/>
  <c r="S9" i="2"/>
  <c r="T9" i="2"/>
  <c r="U9" i="2"/>
  <c r="V9" i="2"/>
  <c r="W9" i="2"/>
  <c r="X9" i="2"/>
  <c r="Y9" i="2"/>
  <c r="Z9" i="2"/>
  <c r="O10" i="2"/>
  <c r="AA10" i="2" s="1"/>
  <c r="Q10" i="2"/>
  <c r="R10" i="2"/>
  <c r="S10" i="2"/>
  <c r="T10" i="2"/>
  <c r="U10" i="2"/>
  <c r="V10" i="2"/>
  <c r="W10" i="2"/>
  <c r="X10" i="2"/>
  <c r="Y10" i="2"/>
  <c r="Z10" i="2"/>
  <c r="O11" i="2"/>
  <c r="AA11" i="2" s="1"/>
  <c r="Q11" i="2"/>
  <c r="R11" i="2"/>
  <c r="S11" i="2"/>
  <c r="T11" i="2"/>
  <c r="U11" i="2"/>
  <c r="V11" i="2"/>
  <c r="W11" i="2"/>
  <c r="X11" i="2"/>
  <c r="Y11" i="2"/>
  <c r="Z11" i="2"/>
  <c r="O12" i="2"/>
  <c r="AA12" i="2" s="1"/>
  <c r="Q12" i="2"/>
  <c r="R12" i="2"/>
  <c r="S12" i="2"/>
  <c r="T12" i="2"/>
  <c r="U12" i="2"/>
  <c r="V12" i="2"/>
  <c r="W12" i="2"/>
  <c r="X12" i="2"/>
  <c r="Y12" i="2"/>
  <c r="Z12" i="2"/>
  <c r="O13" i="2"/>
  <c r="AA13" i="2" s="1"/>
  <c r="Q13" i="2"/>
  <c r="R13" i="2"/>
  <c r="S13" i="2"/>
  <c r="T13" i="2"/>
  <c r="U13" i="2"/>
  <c r="V13" i="2"/>
  <c r="W13" i="2"/>
  <c r="X13" i="2"/>
  <c r="Y13" i="2"/>
  <c r="Z13" i="2"/>
  <c r="O14" i="2"/>
  <c r="AA14" i="2" s="1"/>
  <c r="Q14" i="2"/>
  <c r="R14" i="2"/>
  <c r="S14" i="2"/>
  <c r="T14" i="2"/>
  <c r="U14" i="2"/>
  <c r="V14" i="2"/>
  <c r="W14" i="2"/>
  <c r="X14" i="2"/>
  <c r="Y14" i="2"/>
  <c r="Z14" i="2"/>
  <c r="O15" i="2"/>
  <c r="AA15" i="2" s="1"/>
  <c r="Q15" i="2"/>
  <c r="R15" i="2"/>
  <c r="S15" i="2"/>
  <c r="T15" i="2"/>
  <c r="U15" i="2"/>
  <c r="V15" i="2"/>
  <c r="W15" i="2"/>
  <c r="X15" i="2"/>
  <c r="Y15" i="2"/>
  <c r="Z15" i="2"/>
  <c r="O16" i="2"/>
  <c r="AA16" i="2" s="1"/>
  <c r="Q16" i="2"/>
  <c r="R16" i="2"/>
  <c r="S16" i="2"/>
  <c r="T16" i="2"/>
  <c r="U16" i="2"/>
  <c r="V16" i="2"/>
  <c r="W16" i="2"/>
  <c r="X16" i="2"/>
  <c r="Y16" i="2"/>
  <c r="Z16" i="2"/>
  <c r="O17" i="2"/>
  <c r="AA17" i="2" s="1"/>
  <c r="Q17" i="2"/>
  <c r="R17" i="2"/>
  <c r="S17" i="2"/>
  <c r="T17" i="2"/>
  <c r="U17" i="2"/>
  <c r="V17" i="2"/>
  <c r="W17" i="2"/>
  <c r="X17" i="2"/>
  <c r="Y17" i="2"/>
  <c r="Z17" i="2"/>
  <c r="O18" i="2"/>
  <c r="AA18" i="2" s="1"/>
  <c r="Q18" i="2"/>
  <c r="R18" i="2"/>
  <c r="S18" i="2"/>
  <c r="T18" i="2"/>
  <c r="U18" i="2"/>
  <c r="V18" i="2"/>
  <c r="W18" i="2"/>
  <c r="X18" i="2"/>
  <c r="Y18" i="2"/>
  <c r="Z18" i="2"/>
  <c r="O19" i="2"/>
  <c r="AA19" i="2" s="1"/>
  <c r="Q19" i="2"/>
  <c r="R19" i="2"/>
  <c r="S19" i="2"/>
  <c r="T19" i="2"/>
  <c r="U19" i="2"/>
  <c r="V19" i="2"/>
  <c r="W19" i="2"/>
  <c r="X19" i="2"/>
  <c r="Y19" i="2"/>
  <c r="Z19" i="2"/>
  <c r="O20" i="2"/>
  <c r="AA20" i="2" s="1"/>
  <c r="Q20" i="2"/>
  <c r="R20" i="2"/>
  <c r="S20" i="2"/>
  <c r="T20" i="2"/>
  <c r="U20" i="2"/>
  <c r="V20" i="2"/>
  <c r="W20" i="2"/>
  <c r="X20" i="2"/>
  <c r="Y20" i="2"/>
  <c r="Z20" i="2"/>
  <c r="O21" i="2"/>
  <c r="AA21" i="2" s="1"/>
  <c r="Q21" i="2"/>
  <c r="R21" i="2"/>
  <c r="S21" i="2"/>
  <c r="T21" i="2"/>
  <c r="U21" i="2"/>
  <c r="V21" i="2"/>
  <c r="W21" i="2"/>
  <c r="X21" i="2"/>
  <c r="Y21" i="2"/>
  <c r="Z21" i="2"/>
  <c r="O22" i="2"/>
  <c r="AA22" i="2" s="1"/>
  <c r="Q22" i="2"/>
  <c r="R22" i="2"/>
  <c r="S22" i="2"/>
  <c r="T22" i="2"/>
  <c r="U22" i="2"/>
  <c r="V22" i="2"/>
  <c r="W22" i="2"/>
  <c r="X22" i="2"/>
  <c r="Y22" i="2"/>
  <c r="Z22" i="2"/>
  <c r="O23" i="2"/>
  <c r="AA23" i="2" s="1"/>
  <c r="Q23" i="2"/>
  <c r="R23" i="2"/>
  <c r="S23" i="2"/>
  <c r="T23" i="2"/>
  <c r="U23" i="2"/>
  <c r="V23" i="2"/>
  <c r="W23" i="2"/>
  <c r="X23" i="2"/>
  <c r="Y23" i="2"/>
  <c r="Z23" i="2"/>
  <c r="O24" i="2"/>
  <c r="AA24" i="2" s="1"/>
  <c r="Q24" i="2"/>
  <c r="R24" i="2"/>
  <c r="S24" i="2"/>
  <c r="T24" i="2"/>
  <c r="U24" i="2"/>
  <c r="V24" i="2"/>
  <c r="W24" i="2"/>
  <c r="X24" i="2"/>
  <c r="Y24" i="2"/>
  <c r="Z24" i="2"/>
  <c r="O25" i="2"/>
  <c r="AA25" i="2" s="1"/>
  <c r="Q25" i="2"/>
  <c r="R25" i="2"/>
  <c r="S25" i="2"/>
  <c r="T25" i="2"/>
  <c r="U25" i="2"/>
  <c r="V25" i="2"/>
  <c r="W25" i="2"/>
  <c r="X25" i="2"/>
  <c r="Y25" i="2"/>
  <c r="Z25" i="2"/>
  <c r="O26" i="2"/>
  <c r="AA26" i="2" s="1"/>
  <c r="Q26" i="2"/>
  <c r="R26" i="2"/>
  <c r="S26" i="2"/>
  <c r="T26" i="2"/>
  <c r="U26" i="2"/>
  <c r="V26" i="2"/>
  <c r="W26" i="2"/>
  <c r="X26" i="2"/>
  <c r="Y26" i="2"/>
  <c r="Z26" i="2"/>
  <c r="O27" i="2"/>
  <c r="AA27" i="2" s="1"/>
  <c r="Q27" i="2"/>
  <c r="R27" i="2"/>
  <c r="S27" i="2"/>
  <c r="T27" i="2"/>
  <c r="U27" i="2"/>
  <c r="V27" i="2"/>
  <c r="W27" i="2"/>
  <c r="X27" i="2"/>
  <c r="Y27" i="2"/>
  <c r="Z27" i="2"/>
  <c r="O28" i="2"/>
  <c r="AA28" i="2" s="1"/>
  <c r="Q28" i="2"/>
  <c r="R28" i="2"/>
  <c r="S28" i="2"/>
  <c r="T28" i="2"/>
  <c r="U28" i="2"/>
  <c r="V28" i="2"/>
  <c r="W28" i="2"/>
  <c r="X28" i="2"/>
  <c r="Y28" i="2"/>
  <c r="Z28" i="2"/>
  <c r="O29" i="2"/>
  <c r="AA29" i="2" s="1"/>
  <c r="Q29" i="2"/>
  <c r="R29" i="2"/>
  <c r="S29" i="2"/>
  <c r="T29" i="2"/>
  <c r="U29" i="2"/>
  <c r="V29" i="2"/>
  <c r="W29" i="2"/>
  <c r="X29" i="2"/>
  <c r="Y29" i="2"/>
  <c r="Z29" i="2"/>
  <c r="O30" i="2"/>
  <c r="AA30" i="2" s="1"/>
  <c r="Q30" i="2"/>
  <c r="R30" i="2"/>
  <c r="S30" i="2"/>
  <c r="T30" i="2"/>
  <c r="U30" i="2"/>
  <c r="V30" i="2"/>
  <c r="W30" i="2"/>
  <c r="X30" i="2"/>
  <c r="Y30" i="2"/>
  <c r="Z30" i="2"/>
  <c r="O31" i="2"/>
  <c r="AA31" i="2" s="1"/>
  <c r="Q31" i="2"/>
  <c r="R31" i="2"/>
  <c r="S31" i="2"/>
  <c r="T31" i="2"/>
  <c r="U31" i="2"/>
  <c r="V31" i="2"/>
  <c r="W31" i="2"/>
  <c r="X31" i="2"/>
  <c r="Y31" i="2"/>
  <c r="Z31" i="2"/>
  <c r="O32" i="2"/>
  <c r="AA32" i="2" s="1"/>
  <c r="Q32" i="2"/>
  <c r="R32" i="2"/>
  <c r="S32" i="2"/>
  <c r="T32" i="2"/>
  <c r="U32" i="2"/>
  <c r="V32" i="2"/>
  <c r="W32" i="2"/>
  <c r="X32" i="2"/>
  <c r="Y32" i="2"/>
  <c r="Z32" i="2"/>
  <c r="O33" i="2"/>
  <c r="AA33" i="2" s="1"/>
  <c r="Q33" i="2"/>
  <c r="R33" i="2"/>
  <c r="S33" i="2"/>
  <c r="T33" i="2"/>
  <c r="U33" i="2"/>
  <c r="V33" i="2"/>
  <c r="W33" i="2"/>
  <c r="X33" i="2"/>
  <c r="Y33" i="2"/>
  <c r="Z33" i="2"/>
  <c r="O34" i="2"/>
  <c r="AA34" i="2" s="1"/>
  <c r="Q34" i="2"/>
  <c r="R34" i="2"/>
  <c r="S34" i="2"/>
  <c r="T34" i="2"/>
  <c r="U34" i="2"/>
  <c r="V34" i="2"/>
  <c r="W34" i="2"/>
  <c r="X34" i="2"/>
  <c r="Y34" i="2"/>
  <c r="Z34" i="2"/>
  <c r="O35" i="2"/>
  <c r="AA35" i="2" s="1"/>
  <c r="Q35" i="2"/>
  <c r="R35" i="2"/>
  <c r="S35" i="2"/>
  <c r="T35" i="2"/>
  <c r="U35" i="2"/>
  <c r="V35" i="2"/>
  <c r="W35" i="2"/>
  <c r="X35" i="2"/>
  <c r="Y35" i="2"/>
  <c r="Z35" i="2"/>
  <c r="O36" i="2"/>
  <c r="AA36" i="2" s="1"/>
  <c r="Q36" i="2"/>
  <c r="R36" i="2"/>
  <c r="S36" i="2"/>
  <c r="T36" i="2"/>
  <c r="U36" i="2"/>
  <c r="V36" i="2"/>
  <c r="W36" i="2"/>
  <c r="X36" i="2"/>
  <c r="Y36" i="2"/>
  <c r="Z36" i="2"/>
  <c r="O37" i="2"/>
  <c r="AA37" i="2" s="1"/>
  <c r="Q37" i="2"/>
  <c r="R37" i="2"/>
  <c r="S37" i="2"/>
  <c r="T37" i="2"/>
  <c r="U37" i="2"/>
  <c r="V37" i="2"/>
  <c r="W37" i="2"/>
  <c r="X37" i="2"/>
  <c r="Y37" i="2"/>
  <c r="Z37" i="2"/>
  <c r="O38" i="2"/>
  <c r="AA38" i="2" s="1"/>
  <c r="Q38" i="2"/>
  <c r="R38" i="2"/>
  <c r="S38" i="2"/>
  <c r="T38" i="2"/>
  <c r="U38" i="2"/>
  <c r="V38" i="2"/>
  <c r="W38" i="2"/>
  <c r="X38" i="2"/>
  <c r="Y38" i="2"/>
  <c r="Z38" i="2"/>
  <c r="O39" i="2"/>
  <c r="AA39" i="2" s="1"/>
  <c r="Q39" i="2"/>
  <c r="R39" i="2"/>
  <c r="S39" i="2"/>
  <c r="T39" i="2"/>
  <c r="U39" i="2"/>
  <c r="V39" i="2"/>
  <c r="W39" i="2"/>
  <c r="X39" i="2"/>
  <c r="Y39" i="2"/>
  <c r="Z39" i="2"/>
  <c r="O40" i="2"/>
  <c r="AA40" i="2" s="1"/>
  <c r="Q40" i="2"/>
  <c r="R40" i="2"/>
  <c r="S40" i="2"/>
  <c r="T40" i="2"/>
  <c r="U40" i="2"/>
  <c r="V40" i="2"/>
  <c r="W40" i="2"/>
  <c r="X40" i="2"/>
  <c r="Y40" i="2"/>
  <c r="Z40" i="2"/>
  <c r="O41" i="2"/>
  <c r="AA41" i="2" s="1"/>
  <c r="Q41" i="2"/>
  <c r="R41" i="2"/>
  <c r="S41" i="2"/>
  <c r="T41" i="2"/>
  <c r="U41" i="2"/>
  <c r="V41" i="2"/>
  <c r="W41" i="2"/>
  <c r="X41" i="2"/>
  <c r="Y41" i="2"/>
  <c r="Z41" i="2"/>
  <c r="O42" i="2"/>
  <c r="AA42" i="2" s="1"/>
  <c r="Q42" i="2"/>
  <c r="R42" i="2"/>
  <c r="S42" i="2"/>
  <c r="T42" i="2"/>
  <c r="U42" i="2"/>
  <c r="V42" i="2"/>
  <c r="W42" i="2"/>
  <c r="X42" i="2"/>
  <c r="Y42" i="2"/>
  <c r="Z42" i="2"/>
  <c r="O43" i="2"/>
  <c r="AA43" i="2" s="1"/>
  <c r="Q43" i="2"/>
  <c r="R43" i="2"/>
  <c r="S43" i="2"/>
  <c r="T43" i="2"/>
  <c r="U43" i="2"/>
  <c r="V43" i="2"/>
  <c r="W43" i="2"/>
  <c r="X43" i="2"/>
  <c r="Y43" i="2"/>
  <c r="Z43" i="2"/>
  <c r="O44" i="2"/>
  <c r="AA44" i="2" s="1"/>
  <c r="Q44" i="2"/>
  <c r="R44" i="2"/>
  <c r="S44" i="2"/>
  <c r="T44" i="2"/>
  <c r="U44" i="2"/>
  <c r="V44" i="2"/>
  <c r="W44" i="2"/>
  <c r="X44" i="2"/>
  <c r="Y44" i="2"/>
  <c r="Z44" i="2"/>
  <c r="O45" i="2"/>
  <c r="AA45" i="2" s="1"/>
  <c r="Q45" i="2"/>
  <c r="R45" i="2"/>
  <c r="S45" i="2"/>
  <c r="T45" i="2"/>
  <c r="U45" i="2"/>
  <c r="V45" i="2"/>
  <c r="W45" i="2"/>
  <c r="X45" i="2"/>
  <c r="Y45" i="2"/>
  <c r="Z45" i="2"/>
  <c r="O46" i="2"/>
  <c r="AA46" i="2" s="1"/>
  <c r="Q46" i="2"/>
  <c r="R46" i="2"/>
  <c r="S46" i="2"/>
  <c r="T46" i="2"/>
  <c r="U46" i="2"/>
  <c r="V46" i="2"/>
  <c r="W46" i="2"/>
  <c r="X46" i="2"/>
  <c r="Y46" i="2"/>
  <c r="Z46" i="2"/>
  <c r="O47" i="2"/>
  <c r="AA47" i="2" s="1"/>
  <c r="Q47" i="2"/>
  <c r="R47" i="2"/>
  <c r="S47" i="2"/>
  <c r="T47" i="2"/>
  <c r="U47" i="2"/>
  <c r="V47" i="2"/>
  <c r="W47" i="2"/>
  <c r="X47" i="2"/>
  <c r="Y47" i="2"/>
  <c r="Z47" i="2"/>
  <c r="O48" i="2"/>
  <c r="AA48" i="2" s="1"/>
  <c r="Q48" i="2"/>
  <c r="R48" i="2"/>
  <c r="S48" i="2"/>
  <c r="T48" i="2"/>
  <c r="U48" i="2"/>
  <c r="V48" i="2"/>
  <c r="W48" i="2"/>
  <c r="X48" i="2"/>
  <c r="Y48" i="2"/>
  <c r="Z48" i="2"/>
  <c r="O49" i="2"/>
  <c r="AA49" i="2" s="1"/>
  <c r="Q49" i="2"/>
  <c r="R49" i="2"/>
  <c r="S49" i="2"/>
  <c r="T49" i="2"/>
  <c r="U49" i="2"/>
  <c r="V49" i="2"/>
  <c r="W49" i="2"/>
  <c r="X49" i="2"/>
  <c r="Y49" i="2"/>
  <c r="Z49" i="2"/>
  <c r="O50" i="2"/>
  <c r="AA50" i="2" s="1"/>
  <c r="Q50" i="2"/>
  <c r="R50" i="2"/>
  <c r="S50" i="2"/>
  <c r="T50" i="2"/>
  <c r="U50" i="2"/>
  <c r="V50" i="2"/>
  <c r="W50" i="2"/>
  <c r="X50" i="2"/>
  <c r="Y50" i="2"/>
  <c r="Z50" i="2"/>
  <c r="O51" i="2"/>
  <c r="AA51" i="2" s="1"/>
  <c r="Q51" i="2"/>
  <c r="R51" i="2"/>
  <c r="S51" i="2"/>
  <c r="T51" i="2"/>
  <c r="U51" i="2"/>
  <c r="V51" i="2"/>
  <c r="W51" i="2"/>
  <c r="X51" i="2"/>
  <c r="Y51" i="2"/>
  <c r="Z51" i="2"/>
  <c r="O52" i="2"/>
  <c r="AA52" i="2" s="1"/>
  <c r="Q52" i="2"/>
  <c r="R52" i="2"/>
  <c r="S52" i="2"/>
  <c r="T52" i="2"/>
  <c r="U52" i="2"/>
  <c r="V52" i="2"/>
  <c r="W52" i="2"/>
  <c r="X52" i="2"/>
  <c r="Y52" i="2"/>
  <c r="Z52" i="2"/>
  <c r="O53" i="2"/>
  <c r="AA53" i="2" s="1"/>
  <c r="Q53" i="2"/>
  <c r="R53" i="2"/>
  <c r="S53" i="2"/>
  <c r="T53" i="2"/>
  <c r="U53" i="2"/>
  <c r="V53" i="2"/>
  <c r="W53" i="2"/>
  <c r="X53" i="2"/>
  <c r="Y53" i="2"/>
  <c r="Z53" i="2"/>
  <c r="O54" i="2"/>
  <c r="AA54" i="2" s="1"/>
  <c r="Q54" i="2"/>
  <c r="R54" i="2"/>
  <c r="S54" i="2"/>
  <c r="T54" i="2"/>
  <c r="U54" i="2"/>
  <c r="V54" i="2"/>
  <c r="W54" i="2"/>
  <c r="X54" i="2"/>
  <c r="Y54" i="2"/>
  <c r="Z54" i="2"/>
  <c r="O55" i="2"/>
  <c r="AA55" i="2" s="1"/>
  <c r="Q55" i="2"/>
  <c r="R55" i="2"/>
  <c r="S55" i="2"/>
  <c r="T55" i="2"/>
  <c r="U55" i="2"/>
  <c r="V55" i="2"/>
  <c r="W55" i="2"/>
  <c r="X55" i="2"/>
  <c r="Y55" i="2"/>
  <c r="Z55" i="2"/>
  <c r="O56" i="2"/>
  <c r="AA56" i="2" s="1"/>
  <c r="Q56" i="2"/>
  <c r="R56" i="2"/>
  <c r="S56" i="2"/>
  <c r="T56" i="2"/>
  <c r="U56" i="2"/>
  <c r="V56" i="2"/>
  <c r="W56" i="2"/>
  <c r="X56" i="2"/>
  <c r="Y56" i="2"/>
  <c r="Z56" i="2"/>
  <c r="O57" i="2"/>
  <c r="AA57" i="2" s="1"/>
  <c r="Q57" i="2"/>
  <c r="R57" i="2"/>
  <c r="S57" i="2"/>
  <c r="T57" i="2"/>
  <c r="U57" i="2"/>
  <c r="V57" i="2"/>
  <c r="W57" i="2"/>
  <c r="X57" i="2"/>
  <c r="Y57" i="2"/>
  <c r="Z57" i="2"/>
  <c r="O58" i="2"/>
  <c r="AA58" i="2" s="1"/>
  <c r="Q58" i="2"/>
  <c r="R58" i="2"/>
  <c r="S58" i="2"/>
  <c r="T58" i="2"/>
  <c r="U58" i="2"/>
  <c r="V58" i="2"/>
  <c r="W58" i="2"/>
  <c r="X58" i="2"/>
  <c r="Y58" i="2"/>
  <c r="Z58" i="2"/>
  <c r="O59" i="2"/>
  <c r="AA59" i="2" s="1"/>
  <c r="Q59" i="2"/>
  <c r="R59" i="2"/>
  <c r="S59" i="2"/>
  <c r="T59" i="2"/>
  <c r="U59" i="2"/>
  <c r="V59" i="2"/>
  <c r="W59" i="2"/>
  <c r="X59" i="2"/>
  <c r="Y59" i="2"/>
  <c r="Z59" i="2"/>
  <c r="O60" i="2"/>
  <c r="AA60" i="2" s="1"/>
  <c r="Q60" i="2"/>
  <c r="R60" i="2"/>
  <c r="S60" i="2"/>
  <c r="T60" i="2"/>
  <c r="U60" i="2"/>
  <c r="V60" i="2"/>
  <c r="W60" i="2"/>
  <c r="X60" i="2"/>
  <c r="Y60" i="2"/>
  <c r="Z60" i="2"/>
  <c r="O61" i="2"/>
  <c r="AA61" i="2" s="1"/>
  <c r="Q61" i="2"/>
  <c r="R61" i="2"/>
  <c r="S61" i="2"/>
  <c r="T61" i="2"/>
  <c r="U61" i="2"/>
  <c r="V61" i="2"/>
  <c r="W61" i="2"/>
  <c r="X61" i="2"/>
  <c r="Y61" i="2"/>
  <c r="Z61" i="2"/>
  <c r="O62" i="2"/>
  <c r="AA62" i="2" s="1"/>
  <c r="Q62" i="2"/>
  <c r="R62" i="2"/>
  <c r="S62" i="2"/>
  <c r="T62" i="2"/>
  <c r="U62" i="2"/>
  <c r="V62" i="2"/>
  <c r="W62" i="2"/>
  <c r="X62" i="2"/>
  <c r="Y62" i="2"/>
  <c r="Z62" i="2"/>
  <c r="O63" i="2"/>
  <c r="AA63" i="2" s="1"/>
  <c r="Q63" i="2"/>
  <c r="R63" i="2"/>
  <c r="S63" i="2"/>
  <c r="T63" i="2"/>
  <c r="U63" i="2"/>
  <c r="V63" i="2"/>
  <c r="W63" i="2"/>
  <c r="X63" i="2"/>
  <c r="Y63" i="2"/>
  <c r="Z63" i="2"/>
  <c r="O64" i="2"/>
  <c r="AA64" i="2" s="1"/>
  <c r="Q64" i="2"/>
  <c r="R64" i="2"/>
  <c r="S64" i="2"/>
  <c r="T64" i="2"/>
  <c r="U64" i="2"/>
  <c r="V64" i="2"/>
  <c r="W64" i="2"/>
  <c r="X64" i="2"/>
  <c r="Y64" i="2"/>
  <c r="Z64" i="2"/>
  <c r="O65" i="2"/>
  <c r="AA65" i="2" s="1"/>
  <c r="Q65" i="2"/>
  <c r="R65" i="2"/>
  <c r="S65" i="2"/>
  <c r="T65" i="2"/>
  <c r="U65" i="2"/>
  <c r="V65" i="2"/>
  <c r="W65" i="2"/>
  <c r="X65" i="2"/>
  <c r="Y65" i="2"/>
  <c r="Z65" i="2"/>
  <c r="O66" i="2"/>
  <c r="AA66" i="2" s="1"/>
  <c r="Q66" i="2"/>
  <c r="R66" i="2"/>
  <c r="S66" i="2"/>
  <c r="T66" i="2"/>
  <c r="U66" i="2"/>
  <c r="V66" i="2"/>
  <c r="W66" i="2"/>
  <c r="X66" i="2"/>
  <c r="Y66" i="2"/>
  <c r="Z66" i="2"/>
  <c r="O67" i="2"/>
  <c r="AA67" i="2" s="1"/>
  <c r="Q67" i="2"/>
  <c r="R67" i="2"/>
  <c r="S67" i="2"/>
  <c r="T67" i="2"/>
  <c r="U67" i="2"/>
  <c r="V67" i="2"/>
  <c r="W67" i="2"/>
  <c r="X67" i="2"/>
  <c r="Y67" i="2"/>
  <c r="Z67" i="2"/>
  <c r="O68" i="2"/>
  <c r="AA68" i="2" s="1"/>
  <c r="Q68" i="2"/>
  <c r="R68" i="2"/>
  <c r="S68" i="2"/>
  <c r="T68" i="2"/>
  <c r="U68" i="2"/>
  <c r="V68" i="2"/>
  <c r="W68" i="2"/>
  <c r="X68" i="2"/>
  <c r="Y68" i="2"/>
  <c r="Z68" i="2"/>
  <c r="O69" i="2"/>
  <c r="AA69" i="2" s="1"/>
  <c r="Q69" i="2"/>
  <c r="R69" i="2"/>
  <c r="S69" i="2"/>
  <c r="T69" i="2"/>
  <c r="U69" i="2"/>
  <c r="V69" i="2"/>
  <c r="W69" i="2"/>
  <c r="X69" i="2"/>
  <c r="Y69" i="2"/>
  <c r="Z69" i="2"/>
  <c r="O70" i="2"/>
  <c r="AA70" i="2" s="1"/>
  <c r="Q70" i="2"/>
  <c r="R70" i="2"/>
  <c r="S70" i="2"/>
  <c r="T70" i="2"/>
  <c r="U70" i="2"/>
  <c r="V70" i="2"/>
  <c r="W70" i="2"/>
  <c r="X70" i="2"/>
  <c r="Y70" i="2"/>
  <c r="Z70" i="2"/>
  <c r="O71" i="2"/>
  <c r="AA71" i="2" s="1"/>
  <c r="Q71" i="2"/>
  <c r="R71" i="2"/>
  <c r="S71" i="2"/>
  <c r="T71" i="2"/>
  <c r="U71" i="2"/>
  <c r="V71" i="2"/>
  <c r="W71" i="2"/>
  <c r="X71" i="2"/>
  <c r="Y71" i="2"/>
  <c r="Z71" i="2"/>
  <c r="O72" i="2"/>
  <c r="AA72" i="2" s="1"/>
  <c r="Q72" i="2"/>
  <c r="R72" i="2"/>
  <c r="S72" i="2"/>
  <c r="T72" i="2"/>
  <c r="U72" i="2"/>
  <c r="V72" i="2"/>
  <c r="W72" i="2"/>
  <c r="X72" i="2"/>
  <c r="Y72" i="2"/>
  <c r="Z72" i="2"/>
  <c r="O73" i="2"/>
  <c r="AA73" i="2" s="1"/>
  <c r="Q73" i="2"/>
  <c r="R73" i="2"/>
  <c r="S73" i="2"/>
  <c r="T73" i="2"/>
  <c r="U73" i="2"/>
  <c r="V73" i="2"/>
  <c r="W73" i="2"/>
  <c r="X73" i="2"/>
  <c r="Y73" i="2"/>
  <c r="Z73" i="2"/>
  <c r="O74" i="2"/>
  <c r="AA74" i="2" s="1"/>
  <c r="Q74" i="2"/>
  <c r="R74" i="2"/>
  <c r="S74" i="2"/>
  <c r="T74" i="2"/>
  <c r="U74" i="2"/>
  <c r="V74" i="2"/>
  <c r="W74" i="2"/>
  <c r="X74" i="2"/>
  <c r="Y74" i="2"/>
  <c r="Z74" i="2"/>
  <c r="O75" i="2"/>
  <c r="AA75" i="2" s="1"/>
  <c r="Q75" i="2"/>
  <c r="R75" i="2"/>
  <c r="S75" i="2"/>
  <c r="T75" i="2"/>
  <c r="U75" i="2"/>
  <c r="V75" i="2"/>
  <c r="W75" i="2"/>
  <c r="X75" i="2"/>
  <c r="Y75" i="2"/>
  <c r="Z75" i="2"/>
  <c r="O76" i="2"/>
  <c r="AA76" i="2" s="1"/>
  <c r="Q76" i="2"/>
  <c r="R76" i="2"/>
  <c r="S76" i="2"/>
  <c r="T76" i="2"/>
  <c r="U76" i="2"/>
  <c r="V76" i="2"/>
  <c r="W76" i="2"/>
  <c r="X76" i="2"/>
  <c r="Y76" i="2"/>
  <c r="Z76" i="2"/>
  <c r="O77" i="2"/>
  <c r="AA77" i="2" s="1"/>
  <c r="Q77" i="2"/>
  <c r="R77" i="2"/>
  <c r="S77" i="2"/>
  <c r="T77" i="2"/>
  <c r="U77" i="2"/>
  <c r="V77" i="2"/>
  <c r="W77" i="2"/>
  <c r="X77" i="2"/>
  <c r="Y77" i="2"/>
  <c r="Z77" i="2"/>
  <c r="O78" i="2"/>
  <c r="AA78" i="2" s="1"/>
  <c r="Q78" i="2"/>
  <c r="R78" i="2"/>
  <c r="S78" i="2"/>
  <c r="T78" i="2"/>
  <c r="U78" i="2"/>
  <c r="V78" i="2"/>
  <c r="W78" i="2"/>
  <c r="X78" i="2"/>
  <c r="Y78" i="2"/>
  <c r="Z78" i="2"/>
  <c r="O79" i="2"/>
  <c r="AA79" i="2" s="1"/>
  <c r="Q79" i="2"/>
  <c r="R79" i="2"/>
  <c r="S79" i="2"/>
  <c r="T79" i="2"/>
  <c r="U79" i="2"/>
  <c r="V79" i="2"/>
  <c r="W79" i="2"/>
  <c r="X79" i="2"/>
  <c r="Y79" i="2"/>
  <c r="Z79" i="2"/>
  <c r="O80" i="2"/>
  <c r="AA80" i="2" s="1"/>
  <c r="Q80" i="2"/>
  <c r="R80" i="2"/>
  <c r="S80" i="2"/>
  <c r="T80" i="2"/>
  <c r="U80" i="2"/>
  <c r="V80" i="2"/>
  <c r="W80" i="2"/>
  <c r="X80" i="2"/>
  <c r="Y80" i="2"/>
  <c r="Z80" i="2"/>
  <c r="O81" i="2"/>
  <c r="AA81" i="2" s="1"/>
  <c r="Q81" i="2"/>
  <c r="R81" i="2"/>
  <c r="S81" i="2"/>
  <c r="T81" i="2"/>
  <c r="U81" i="2"/>
  <c r="V81" i="2"/>
  <c r="W81" i="2"/>
  <c r="X81" i="2"/>
  <c r="Y81" i="2"/>
  <c r="Z81" i="2"/>
  <c r="O82" i="2"/>
  <c r="AA82" i="2" s="1"/>
  <c r="Q82" i="2"/>
  <c r="R82" i="2"/>
  <c r="S82" i="2"/>
  <c r="T82" i="2"/>
  <c r="U82" i="2"/>
  <c r="V82" i="2"/>
  <c r="W82" i="2"/>
  <c r="X82" i="2"/>
  <c r="Y82" i="2"/>
  <c r="Z82" i="2"/>
  <c r="O83" i="2"/>
  <c r="AA83" i="2" s="1"/>
  <c r="Q83" i="2"/>
  <c r="R83" i="2"/>
  <c r="S83" i="2"/>
  <c r="T83" i="2"/>
  <c r="U83" i="2"/>
  <c r="V83" i="2"/>
  <c r="W83" i="2"/>
  <c r="X83" i="2"/>
  <c r="Y83" i="2"/>
  <c r="Z83" i="2"/>
  <c r="O84" i="2"/>
  <c r="AA84" i="2" s="1"/>
  <c r="Q84" i="2"/>
  <c r="R84" i="2"/>
  <c r="S84" i="2"/>
  <c r="T84" i="2"/>
  <c r="U84" i="2"/>
  <c r="V84" i="2"/>
  <c r="W84" i="2"/>
  <c r="X84" i="2"/>
  <c r="Y84" i="2"/>
  <c r="Z84" i="2"/>
  <c r="O85" i="2"/>
  <c r="AA85" i="2" s="1"/>
  <c r="Q85" i="2"/>
  <c r="R85" i="2"/>
  <c r="S85" i="2"/>
  <c r="T85" i="2"/>
  <c r="U85" i="2"/>
  <c r="V85" i="2"/>
  <c r="W85" i="2"/>
  <c r="X85" i="2"/>
  <c r="Y85" i="2"/>
  <c r="Z85" i="2"/>
  <c r="O86" i="2"/>
  <c r="AA86" i="2" s="1"/>
  <c r="Q86" i="2"/>
  <c r="R86" i="2"/>
  <c r="S86" i="2"/>
  <c r="T86" i="2"/>
  <c r="U86" i="2"/>
  <c r="V86" i="2"/>
  <c r="W86" i="2"/>
  <c r="X86" i="2"/>
  <c r="Y86" i="2"/>
  <c r="Z86" i="2"/>
  <c r="O87" i="2"/>
  <c r="AA87" i="2" s="1"/>
  <c r="Q87" i="2"/>
  <c r="R87" i="2"/>
  <c r="S87" i="2"/>
  <c r="T87" i="2"/>
  <c r="U87" i="2"/>
  <c r="V87" i="2"/>
  <c r="W87" i="2"/>
  <c r="X87" i="2"/>
  <c r="Y87" i="2"/>
  <c r="Z87" i="2"/>
  <c r="O88" i="2"/>
  <c r="AA88" i="2" s="1"/>
  <c r="Q88" i="2"/>
  <c r="R88" i="2"/>
  <c r="S88" i="2"/>
  <c r="T88" i="2"/>
  <c r="U88" i="2"/>
  <c r="V88" i="2"/>
  <c r="W88" i="2"/>
  <c r="X88" i="2"/>
  <c r="Y88" i="2"/>
  <c r="Z88" i="2"/>
  <c r="O89" i="2"/>
  <c r="AA89" i="2" s="1"/>
  <c r="Q89" i="2"/>
  <c r="R89" i="2"/>
  <c r="S89" i="2"/>
  <c r="T89" i="2"/>
  <c r="U89" i="2"/>
  <c r="V89" i="2"/>
  <c r="W89" i="2"/>
  <c r="X89" i="2"/>
  <c r="Y89" i="2"/>
  <c r="Z89" i="2"/>
  <c r="O90" i="2"/>
  <c r="AA90" i="2" s="1"/>
  <c r="Q90" i="2"/>
  <c r="R90" i="2"/>
  <c r="S90" i="2"/>
  <c r="T90" i="2"/>
  <c r="U90" i="2"/>
  <c r="V90" i="2"/>
  <c r="W90" i="2"/>
  <c r="X90" i="2"/>
  <c r="Y90" i="2"/>
  <c r="Z90" i="2"/>
  <c r="O91" i="2"/>
  <c r="AA91" i="2" s="1"/>
  <c r="Q91" i="2"/>
  <c r="R91" i="2"/>
  <c r="S91" i="2"/>
  <c r="T91" i="2"/>
  <c r="U91" i="2"/>
  <c r="V91" i="2"/>
  <c r="W91" i="2"/>
  <c r="X91" i="2"/>
  <c r="Y91" i="2"/>
  <c r="Z91" i="2"/>
  <c r="O92" i="2"/>
  <c r="AA92" i="2" s="1"/>
  <c r="Q92" i="2"/>
  <c r="R92" i="2"/>
  <c r="S92" i="2"/>
  <c r="T92" i="2"/>
  <c r="U92" i="2"/>
  <c r="V92" i="2"/>
  <c r="W92" i="2"/>
  <c r="X92" i="2"/>
  <c r="Y92" i="2"/>
  <c r="Z92" i="2"/>
  <c r="O93" i="2"/>
  <c r="AA93" i="2" s="1"/>
  <c r="Q93" i="2"/>
  <c r="R93" i="2"/>
  <c r="S93" i="2"/>
  <c r="T93" i="2"/>
  <c r="U93" i="2"/>
  <c r="V93" i="2"/>
  <c r="W93" i="2"/>
  <c r="X93" i="2"/>
  <c r="Y93" i="2"/>
  <c r="Z93" i="2"/>
  <c r="O94" i="2"/>
  <c r="AA94" i="2" s="1"/>
  <c r="Q94" i="2"/>
  <c r="R94" i="2"/>
  <c r="S94" i="2"/>
  <c r="T94" i="2"/>
  <c r="U94" i="2"/>
  <c r="V94" i="2"/>
  <c r="W94" i="2"/>
  <c r="X94" i="2"/>
  <c r="Y94" i="2"/>
  <c r="Z94" i="2"/>
  <c r="O95" i="2"/>
  <c r="AA95" i="2" s="1"/>
  <c r="Q95" i="2"/>
  <c r="R95" i="2"/>
  <c r="S95" i="2"/>
  <c r="T95" i="2"/>
  <c r="U95" i="2"/>
  <c r="V95" i="2"/>
  <c r="W95" i="2"/>
  <c r="X95" i="2"/>
  <c r="Y95" i="2"/>
  <c r="Z95" i="2"/>
  <c r="O96" i="2"/>
  <c r="AA96" i="2" s="1"/>
  <c r="Q96" i="2"/>
  <c r="R96" i="2"/>
  <c r="S96" i="2"/>
  <c r="T96" i="2"/>
  <c r="U96" i="2"/>
  <c r="V96" i="2"/>
  <c r="W96" i="2"/>
  <c r="X96" i="2"/>
  <c r="Y96" i="2"/>
  <c r="Z96" i="2"/>
  <c r="O97" i="2"/>
  <c r="AA97" i="2" s="1"/>
  <c r="Q97" i="2"/>
  <c r="R97" i="2"/>
  <c r="S97" i="2"/>
  <c r="T97" i="2"/>
  <c r="U97" i="2"/>
  <c r="V97" i="2"/>
  <c r="W97" i="2"/>
  <c r="X97" i="2"/>
  <c r="Y97" i="2"/>
  <c r="Z97" i="2"/>
  <c r="O98" i="2"/>
  <c r="AA98" i="2" s="1"/>
  <c r="Q98" i="2"/>
  <c r="R98" i="2"/>
  <c r="S98" i="2"/>
  <c r="T98" i="2"/>
  <c r="U98" i="2"/>
  <c r="V98" i="2"/>
  <c r="W98" i="2"/>
  <c r="X98" i="2"/>
  <c r="Y98" i="2"/>
  <c r="Z98" i="2"/>
  <c r="O99" i="2"/>
  <c r="AA99" i="2" s="1"/>
  <c r="Q99" i="2"/>
  <c r="R99" i="2"/>
  <c r="S99" i="2"/>
  <c r="T99" i="2"/>
  <c r="U99" i="2"/>
  <c r="V99" i="2"/>
  <c r="W99" i="2"/>
  <c r="X99" i="2"/>
  <c r="Y99" i="2"/>
  <c r="Z99" i="2"/>
  <c r="O100" i="2"/>
  <c r="AA100" i="2" s="1"/>
  <c r="Q100" i="2"/>
  <c r="R100" i="2"/>
  <c r="S100" i="2"/>
  <c r="T100" i="2"/>
  <c r="U100" i="2"/>
  <c r="V100" i="2"/>
  <c r="W100" i="2"/>
  <c r="X100" i="2"/>
  <c r="Y100" i="2"/>
  <c r="Z100" i="2"/>
  <c r="O101" i="2"/>
  <c r="AA101" i="2" s="1"/>
  <c r="Q101" i="2"/>
  <c r="R101" i="2"/>
  <c r="S101" i="2"/>
  <c r="T101" i="2"/>
  <c r="U101" i="2"/>
  <c r="V101" i="2"/>
  <c r="W101" i="2"/>
  <c r="X101" i="2"/>
  <c r="Y101" i="2"/>
  <c r="Z101" i="2"/>
  <c r="O102" i="2"/>
  <c r="AA102" i="2" s="1"/>
  <c r="Q102" i="2"/>
  <c r="R102" i="2"/>
  <c r="S102" i="2"/>
  <c r="T102" i="2"/>
  <c r="U102" i="2"/>
  <c r="V102" i="2"/>
  <c r="W102" i="2"/>
  <c r="X102" i="2"/>
  <c r="Y102" i="2"/>
  <c r="Z102" i="2"/>
  <c r="O103" i="2"/>
  <c r="AA103" i="2" s="1"/>
  <c r="Q103" i="2"/>
  <c r="R103" i="2"/>
  <c r="S103" i="2"/>
  <c r="T103" i="2"/>
  <c r="U103" i="2"/>
  <c r="V103" i="2"/>
  <c r="W103" i="2"/>
  <c r="X103" i="2"/>
  <c r="Y103" i="2"/>
  <c r="Z103" i="2"/>
  <c r="O104" i="2"/>
  <c r="AA104" i="2" s="1"/>
  <c r="Q104" i="2"/>
  <c r="R104" i="2"/>
  <c r="S104" i="2"/>
  <c r="T104" i="2"/>
  <c r="U104" i="2"/>
  <c r="V104" i="2"/>
  <c r="W104" i="2"/>
  <c r="X104" i="2"/>
  <c r="Y104" i="2"/>
  <c r="Z104" i="2"/>
  <c r="O105" i="2"/>
  <c r="AA105" i="2" s="1"/>
  <c r="Q105" i="2"/>
  <c r="R105" i="2"/>
  <c r="S105" i="2"/>
  <c r="T105" i="2"/>
  <c r="U105" i="2"/>
  <c r="V105" i="2"/>
  <c r="W105" i="2"/>
  <c r="X105" i="2"/>
  <c r="Y105" i="2"/>
  <c r="Z105" i="2"/>
  <c r="O106" i="2"/>
  <c r="AA106" i="2" s="1"/>
  <c r="Q106" i="2"/>
  <c r="R106" i="2"/>
  <c r="S106" i="2"/>
  <c r="T106" i="2"/>
  <c r="U106" i="2"/>
  <c r="V106" i="2"/>
  <c r="W106" i="2"/>
  <c r="X106" i="2"/>
  <c r="Y106" i="2"/>
  <c r="Z106" i="2"/>
  <c r="O107" i="2"/>
  <c r="AA107" i="2" s="1"/>
  <c r="Q107" i="2"/>
  <c r="R107" i="2"/>
  <c r="S107" i="2"/>
  <c r="T107" i="2"/>
  <c r="U107" i="2"/>
  <c r="V107" i="2"/>
  <c r="W107" i="2"/>
  <c r="X107" i="2"/>
  <c r="Y107" i="2"/>
  <c r="Z107" i="2"/>
  <c r="O108" i="2"/>
  <c r="AA108" i="2" s="1"/>
  <c r="Q108" i="2"/>
  <c r="R108" i="2"/>
  <c r="S108" i="2"/>
  <c r="T108" i="2"/>
  <c r="U108" i="2"/>
  <c r="V108" i="2"/>
  <c r="W108" i="2"/>
  <c r="X108" i="2"/>
  <c r="Y108" i="2"/>
  <c r="Z108" i="2"/>
  <c r="O109" i="2"/>
  <c r="AA109" i="2" s="1"/>
  <c r="Q109" i="2"/>
  <c r="R109" i="2"/>
  <c r="S109" i="2"/>
  <c r="T109" i="2"/>
  <c r="U109" i="2"/>
  <c r="V109" i="2"/>
  <c r="W109" i="2"/>
  <c r="X109" i="2"/>
  <c r="Y109" i="2"/>
  <c r="Z109" i="2"/>
  <c r="O110" i="2"/>
  <c r="AA110" i="2" s="1"/>
  <c r="Q110" i="2"/>
  <c r="R110" i="2"/>
  <c r="S110" i="2"/>
  <c r="T110" i="2"/>
  <c r="U110" i="2"/>
  <c r="V110" i="2"/>
  <c r="W110" i="2"/>
  <c r="X110" i="2"/>
  <c r="Y110" i="2"/>
  <c r="Z110" i="2"/>
  <c r="O111" i="2"/>
  <c r="AA111" i="2" s="1"/>
  <c r="Q111" i="2"/>
  <c r="R111" i="2"/>
  <c r="S111" i="2"/>
  <c r="T111" i="2"/>
  <c r="U111" i="2"/>
  <c r="V111" i="2"/>
  <c r="W111" i="2"/>
  <c r="X111" i="2"/>
  <c r="Y111" i="2"/>
  <c r="Z111" i="2"/>
  <c r="O112" i="2"/>
  <c r="AA112" i="2" s="1"/>
  <c r="Q112" i="2"/>
  <c r="R112" i="2"/>
  <c r="S112" i="2"/>
  <c r="T112" i="2"/>
  <c r="U112" i="2"/>
  <c r="V112" i="2"/>
  <c r="W112" i="2"/>
  <c r="X112" i="2"/>
  <c r="Y112" i="2"/>
  <c r="Z112" i="2"/>
  <c r="O113" i="2"/>
  <c r="AA113" i="2" s="1"/>
  <c r="Q113" i="2"/>
  <c r="R113" i="2"/>
  <c r="S113" i="2"/>
  <c r="T113" i="2"/>
  <c r="U113" i="2"/>
  <c r="V113" i="2"/>
  <c r="W113" i="2"/>
  <c r="X113" i="2"/>
  <c r="Y113" i="2"/>
  <c r="Z113" i="2"/>
  <c r="O114" i="2"/>
  <c r="AA114" i="2" s="1"/>
  <c r="Q114" i="2"/>
  <c r="R114" i="2"/>
  <c r="S114" i="2"/>
  <c r="T114" i="2"/>
  <c r="U114" i="2"/>
  <c r="V114" i="2"/>
  <c r="W114" i="2"/>
  <c r="X114" i="2"/>
  <c r="Y114" i="2"/>
  <c r="Z114" i="2"/>
  <c r="O115" i="2"/>
  <c r="AA115" i="2" s="1"/>
  <c r="Q115" i="2"/>
  <c r="R115" i="2"/>
  <c r="S115" i="2"/>
  <c r="T115" i="2"/>
  <c r="U115" i="2"/>
  <c r="V115" i="2"/>
  <c r="W115" i="2"/>
  <c r="X115" i="2"/>
  <c r="Y115" i="2"/>
  <c r="Z115" i="2"/>
  <c r="O116" i="2"/>
  <c r="AA116" i="2" s="1"/>
  <c r="Q116" i="2"/>
  <c r="R116" i="2"/>
  <c r="S116" i="2"/>
  <c r="T116" i="2"/>
  <c r="U116" i="2"/>
  <c r="V116" i="2"/>
  <c r="W116" i="2"/>
  <c r="X116" i="2"/>
  <c r="Y116" i="2"/>
  <c r="Z116" i="2"/>
  <c r="O117" i="2"/>
  <c r="AA117" i="2" s="1"/>
  <c r="Q117" i="2"/>
  <c r="R117" i="2"/>
  <c r="S117" i="2"/>
  <c r="T117" i="2"/>
  <c r="U117" i="2"/>
  <c r="V117" i="2"/>
  <c r="W117" i="2"/>
  <c r="X117" i="2"/>
  <c r="Y117" i="2"/>
  <c r="Z117" i="2"/>
  <c r="O118" i="2"/>
  <c r="AA118" i="2" s="1"/>
  <c r="Q118" i="2"/>
  <c r="R118" i="2"/>
  <c r="S118" i="2"/>
  <c r="T118" i="2"/>
  <c r="U118" i="2"/>
  <c r="V118" i="2"/>
  <c r="W118" i="2"/>
  <c r="X118" i="2"/>
  <c r="Y118" i="2"/>
  <c r="Z118" i="2"/>
  <c r="O119" i="2"/>
  <c r="AA119" i="2" s="1"/>
  <c r="Q119" i="2"/>
  <c r="R119" i="2"/>
  <c r="S119" i="2"/>
  <c r="T119" i="2"/>
  <c r="U119" i="2"/>
  <c r="V119" i="2"/>
  <c r="W119" i="2"/>
  <c r="X119" i="2"/>
  <c r="Y119" i="2"/>
  <c r="Z119" i="2"/>
  <c r="O120" i="2"/>
  <c r="AA120" i="2" s="1"/>
  <c r="Q120" i="2"/>
  <c r="R120" i="2"/>
  <c r="S120" i="2"/>
  <c r="T120" i="2"/>
  <c r="U120" i="2"/>
  <c r="V120" i="2"/>
  <c r="W120" i="2"/>
  <c r="X120" i="2"/>
  <c r="Y120" i="2"/>
  <c r="Z120" i="2"/>
  <c r="O121" i="2"/>
  <c r="AA121" i="2" s="1"/>
  <c r="Q121" i="2"/>
  <c r="R121" i="2"/>
  <c r="S121" i="2"/>
  <c r="T121" i="2"/>
  <c r="U121" i="2"/>
  <c r="V121" i="2"/>
  <c r="W121" i="2"/>
  <c r="X121" i="2"/>
  <c r="Y121" i="2"/>
  <c r="Z121" i="2"/>
  <c r="O122" i="2"/>
  <c r="AA122" i="2" s="1"/>
  <c r="Q122" i="2"/>
  <c r="R122" i="2"/>
  <c r="S122" i="2"/>
  <c r="T122" i="2"/>
  <c r="U122" i="2"/>
  <c r="V122" i="2"/>
  <c r="W122" i="2"/>
  <c r="X122" i="2"/>
  <c r="Y122" i="2"/>
  <c r="Z122" i="2"/>
  <c r="O123" i="2"/>
  <c r="AA123" i="2" s="1"/>
  <c r="Q123" i="2"/>
  <c r="R123" i="2"/>
  <c r="S123" i="2"/>
  <c r="T123" i="2"/>
  <c r="U123" i="2"/>
  <c r="V123" i="2"/>
  <c r="W123" i="2"/>
  <c r="X123" i="2"/>
  <c r="Y123" i="2"/>
  <c r="Z123" i="2"/>
  <c r="O124" i="2"/>
  <c r="AA124" i="2" s="1"/>
  <c r="Q124" i="2"/>
  <c r="R124" i="2"/>
  <c r="S124" i="2"/>
  <c r="T124" i="2"/>
  <c r="U124" i="2"/>
  <c r="V124" i="2"/>
  <c r="W124" i="2"/>
  <c r="X124" i="2"/>
  <c r="Y124" i="2"/>
  <c r="Z124" i="2"/>
  <c r="O125" i="2"/>
  <c r="AA125" i="2" s="1"/>
  <c r="Q125" i="2"/>
  <c r="R125" i="2"/>
  <c r="S125" i="2"/>
  <c r="T125" i="2"/>
  <c r="U125" i="2"/>
  <c r="V125" i="2"/>
  <c r="W125" i="2"/>
  <c r="X125" i="2"/>
  <c r="Y125" i="2"/>
  <c r="Z125" i="2"/>
  <c r="O126" i="2"/>
  <c r="AA126" i="2" s="1"/>
  <c r="Q126" i="2"/>
  <c r="R126" i="2"/>
  <c r="S126" i="2"/>
  <c r="T126" i="2"/>
  <c r="U126" i="2"/>
  <c r="V126" i="2"/>
  <c r="W126" i="2"/>
  <c r="X126" i="2"/>
  <c r="Y126" i="2"/>
  <c r="Z126" i="2"/>
  <c r="O127" i="2"/>
  <c r="AA127" i="2" s="1"/>
  <c r="Q127" i="2"/>
  <c r="R127" i="2"/>
  <c r="S127" i="2"/>
  <c r="T127" i="2"/>
  <c r="U127" i="2"/>
  <c r="V127" i="2"/>
  <c r="W127" i="2"/>
  <c r="X127" i="2"/>
  <c r="Y127" i="2"/>
  <c r="Z127" i="2"/>
  <c r="O128" i="2"/>
  <c r="AA128" i="2" s="1"/>
  <c r="Q128" i="2"/>
  <c r="R128" i="2"/>
  <c r="S128" i="2"/>
  <c r="T128" i="2"/>
  <c r="U128" i="2"/>
  <c r="V128" i="2"/>
  <c r="W128" i="2"/>
  <c r="X128" i="2"/>
  <c r="Y128" i="2"/>
  <c r="Z128" i="2"/>
  <c r="O129" i="2"/>
  <c r="AA129" i="2" s="1"/>
  <c r="Q129" i="2"/>
  <c r="R129" i="2"/>
  <c r="S129" i="2"/>
  <c r="T129" i="2"/>
  <c r="U129" i="2"/>
  <c r="V129" i="2"/>
  <c r="W129" i="2"/>
  <c r="X129" i="2"/>
  <c r="Y129" i="2"/>
  <c r="Z129" i="2"/>
  <c r="O130" i="2"/>
  <c r="AA130" i="2" s="1"/>
  <c r="Q130" i="2"/>
  <c r="R130" i="2"/>
  <c r="S130" i="2"/>
  <c r="T130" i="2"/>
  <c r="U130" i="2"/>
  <c r="V130" i="2"/>
  <c r="W130" i="2"/>
  <c r="X130" i="2"/>
  <c r="Y130" i="2"/>
  <c r="Z130" i="2"/>
  <c r="O131" i="2"/>
  <c r="AA131" i="2" s="1"/>
  <c r="Q131" i="2"/>
  <c r="R131" i="2"/>
  <c r="S131" i="2"/>
  <c r="T131" i="2"/>
  <c r="U131" i="2"/>
  <c r="V131" i="2"/>
  <c r="W131" i="2"/>
  <c r="X131" i="2"/>
  <c r="Y131" i="2"/>
  <c r="Z131" i="2"/>
  <c r="O132" i="2"/>
  <c r="AA132" i="2" s="1"/>
  <c r="Q132" i="2"/>
  <c r="R132" i="2"/>
  <c r="S132" i="2"/>
  <c r="T132" i="2"/>
  <c r="U132" i="2"/>
  <c r="V132" i="2"/>
  <c r="W132" i="2"/>
  <c r="X132" i="2"/>
  <c r="Y132" i="2"/>
  <c r="Z132" i="2"/>
  <c r="O133" i="2"/>
  <c r="AA133" i="2" s="1"/>
  <c r="Q133" i="2"/>
  <c r="R133" i="2"/>
  <c r="S133" i="2"/>
  <c r="T133" i="2"/>
  <c r="U133" i="2"/>
  <c r="V133" i="2"/>
  <c r="W133" i="2"/>
  <c r="X133" i="2"/>
  <c r="Y133" i="2"/>
  <c r="Z133" i="2"/>
  <c r="O134" i="2"/>
  <c r="AA134" i="2" s="1"/>
  <c r="Q134" i="2"/>
  <c r="R134" i="2"/>
  <c r="S134" i="2"/>
  <c r="T134" i="2"/>
  <c r="U134" i="2"/>
  <c r="V134" i="2"/>
  <c r="W134" i="2"/>
  <c r="X134" i="2"/>
  <c r="Y134" i="2"/>
  <c r="Z134" i="2"/>
  <c r="O135" i="2"/>
  <c r="AA135" i="2" s="1"/>
  <c r="Q135" i="2"/>
  <c r="R135" i="2"/>
  <c r="S135" i="2"/>
  <c r="T135" i="2"/>
  <c r="U135" i="2"/>
  <c r="V135" i="2"/>
  <c r="W135" i="2"/>
  <c r="X135" i="2"/>
  <c r="Y135" i="2"/>
  <c r="Z135" i="2"/>
  <c r="O136" i="2"/>
  <c r="AA136" i="2" s="1"/>
  <c r="Q136" i="2"/>
  <c r="R136" i="2"/>
  <c r="S136" i="2"/>
  <c r="T136" i="2"/>
  <c r="U136" i="2"/>
  <c r="V136" i="2"/>
  <c r="W136" i="2"/>
  <c r="X136" i="2"/>
  <c r="Y136" i="2"/>
  <c r="Z136" i="2"/>
  <c r="O137" i="2"/>
  <c r="AA137" i="2" s="1"/>
  <c r="Q137" i="2"/>
  <c r="R137" i="2"/>
  <c r="S137" i="2"/>
  <c r="T137" i="2"/>
  <c r="U137" i="2"/>
  <c r="V137" i="2"/>
  <c r="W137" i="2"/>
  <c r="X137" i="2"/>
  <c r="Y137" i="2"/>
  <c r="Z137" i="2"/>
  <c r="O138" i="2"/>
  <c r="AA138" i="2" s="1"/>
  <c r="Q138" i="2"/>
  <c r="R138" i="2"/>
  <c r="S138" i="2"/>
  <c r="T138" i="2"/>
  <c r="U138" i="2"/>
  <c r="V138" i="2"/>
  <c r="W138" i="2"/>
  <c r="X138" i="2"/>
  <c r="Y138" i="2"/>
  <c r="Z138" i="2"/>
  <c r="O139" i="2"/>
  <c r="AA139" i="2" s="1"/>
  <c r="Q139" i="2"/>
  <c r="R139" i="2"/>
  <c r="S139" i="2"/>
  <c r="T139" i="2"/>
  <c r="U139" i="2"/>
  <c r="V139" i="2"/>
  <c r="W139" i="2"/>
  <c r="X139" i="2"/>
  <c r="Y139" i="2"/>
  <c r="Z139" i="2"/>
  <c r="O140" i="2"/>
  <c r="AA140" i="2" s="1"/>
  <c r="Q140" i="2"/>
  <c r="R140" i="2"/>
  <c r="S140" i="2"/>
  <c r="T140" i="2"/>
  <c r="U140" i="2"/>
  <c r="V140" i="2"/>
  <c r="W140" i="2"/>
  <c r="X140" i="2"/>
  <c r="Y140" i="2"/>
  <c r="Z140" i="2"/>
  <c r="O141" i="2"/>
  <c r="AA141" i="2" s="1"/>
  <c r="Q141" i="2"/>
  <c r="R141" i="2"/>
  <c r="S141" i="2"/>
  <c r="T141" i="2"/>
  <c r="U141" i="2"/>
  <c r="V141" i="2"/>
  <c r="W141" i="2"/>
  <c r="X141" i="2"/>
  <c r="Y141" i="2"/>
  <c r="Z141" i="2"/>
  <c r="O142" i="2"/>
  <c r="AA142" i="2" s="1"/>
  <c r="Q142" i="2"/>
  <c r="R142" i="2"/>
  <c r="S142" i="2"/>
  <c r="T142" i="2"/>
  <c r="U142" i="2"/>
  <c r="V142" i="2"/>
  <c r="W142" i="2"/>
  <c r="X142" i="2"/>
  <c r="Y142" i="2"/>
  <c r="Z142" i="2"/>
  <c r="O143" i="2"/>
  <c r="AA143" i="2" s="1"/>
  <c r="Q143" i="2"/>
  <c r="R143" i="2"/>
  <c r="S143" i="2"/>
  <c r="T143" i="2"/>
  <c r="U143" i="2"/>
  <c r="V143" i="2"/>
  <c r="W143" i="2"/>
  <c r="X143" i="2"/>
  <c r="Y143" i="2"/>
  <c r="Z143" i="2"/>
  <c r="O144" i="2"/>
  <c r="AA144" i="2" s="1"/>
  <c r="Q144" i="2"/>
  <c r="R144" i="2"/>
  <c r="S144" i="2"/>
  <c r="T144" i="2"/>
  <c r="U144" i="2"/>
  <c r="V144" i="2"/>
  <c r="W144" i="2"/>
  <c r="X144" i="2"/>
  <c r="Y144" i="2"/>
  <c r="Z144" i="2"/>
  <c r="O145" i="2"/>
  <c r="AA145" i="2" s="1"/>
  <c r="Q145" i="2"/>
  <c r="R145" i="2"/>
  <c r="S145" i="2"/>
  <c r="T145" i="2"/>
  <c r="U145" i="2"/>
  <c r="V145" i="2"/>
  <c r="W145" i="2"/>
  <c r="X145" i="2"/>
  <c r="Y145" i="2"/>
  <c r="Z145" i="2"/>
  <c r="O146" i="2"/>
  <c r="AA146" i="2" s="1"/>
  <c r="Q146" i="2"/>
  <c r="R146" i="2"/>
  <c r="S146" i="2"/>
  <c r="T146" i="2"/>
  <c r="U146" i="2"/>
  <c r="V146" i="2"/>
  <c r="W146" i="2"/>
  <c r="X146" i="2"/>
  <c r="Y146" i="2"/>
  <c r="Z146" i="2"/>
  <c r="O147" i="2"/>
  <c r="AA147" i="2" s="1"/>
  <c r="Q147" i="2"/>
  <c r="R147" i="2"/>
  <c r="S147" i="2"/>
  <c r="T147" i="2"/>
  <c r="U147" i="2"/>
  <c r="V147" i="2"/>
  <c r="W147" i="2"/>
  <c r="X147" i="2"/>
  <c r="Y147" i="2"/>
  <c r="Z147" i="2"/>
  <c r="O148" i="2"/>
  <c r="AA148" i="2" s="1"/>
  <c r="Q148" i="2"/>
  <c r="R148" i="2"/>
  <c r="S148" i="2"/>
  <c r="T148" i="2"/>
  <c r="U148" i="2"/>
  <c r="V148" i="2"/>
  <c r="W148" i="2"/>
  <c r="X148" i="2"/>
  <c r="Y148" i="2"/>
  <c r="Z148" i="2"/>
  <c r="O149" i="2"/>
  <c r="AA149" i="2" s="1"/>
  <c r="Q149" i="2"/>
  <c r="R149" i="2"/>
  <c r="S149" i="2"/>
  <c r="T149" i="2"/>
  <c r="U149" i="2"/>
  <c r="V149" i="2"/>
  <c r="W149" i="2"/>
  <c r="X149" i="2"/>
  <c r="Y149" i="2"/>
  <c r="Z149" i="2"/>
  <c r="O150" i="2"/>
  <c r="AA150" i="2" s="1"/>
  <c r="Q150" i="2"/>
  <c r="R150" i="2"/>
  <c r="S150" i="2"/>
  <c r="T150" i="2"/>
  <c r="U150" i="2"/>
  <c r="V150" i="2"/>
  <c r="W150" i="2"/>
  <c r="X150" i="2"/>
  <c r="Y150" i="2"/>
  <c r="Z150" i="2"/>
  <c r="O151" i="2"/>
  <c r="AA151" i="2" s="1"/>
  <c r="Q151" i="2"/>
  <c r="R151" i="2"/>
  <c r="S151" i="2"/>
  <c r="T151" i="2"/>
  <c r="U151" i="2"/>
  <c r="V151" i="2"/>
  <c r="W151" i="2"/>
  <c r="X151" i="2"/>
  <c r="Y151" i="2"/>
  <c r="Z151" i="2"/>
  <c r="O152" i="2"/>
  <c r="AA152" i="2" s="1"/>
  <c r="Q152" i="2"/>
  <c r="R152" i="2"/>
  <c r="S152" i="2"/>
  <c r="T152" i="2"/>
  <c r="U152" i="2"/>
  <c r="V152" i="2"/>
  <c r="W152" i="2"/>
  <c r="X152" i="2"/>
  <c r="Y152" i="2"/>
  <c r="Z152" i="2"/>
  <c r="O153" i="2"/>
  <c r="AA153" i="2" s="1"/>
  <c r="Q153" i="2"/>
  <c r="R153" i="2"/>
  <c r="S153" i="2"/>
  <c r="T153" i="2"/>
  <c r="U153" i="2"/>
  <c r="V153" i="2"/>
  <c r="W153" i="2"/>
  <c r="X153" i="2"/>
  <c r="Y153" i="2"/>
  <c r="Z153" i="2"/>
  <c r="O154" i="2"/>
  <c r="AA154" i="2" s="1"/>
  <c r="Q154" i="2"/>
  <c r="R154" i="2"/>
  <c r="S154" i="2"/>
  <c r="T154" i="2"/>
  <c r="U154" i="2"/>
  <c r="V154" i="2"/>
  <c r="W154" i="2"/>
  <c r="X154" i="2"/>
  <c r="Y154" i="2"/>
  <c r="Z154" i="2"/>
  <c r="O155" i="2"/>
  <c r="AA155" i="2" s="1"/>
  <c r="Q155" i="2"/>
  <c r="R155" i="2"/>
  <c r="S155" i="2"/>
  <c r="T155" i="2"/>
  <c r="U155" i="2"/>
  <c r="V155" i="2"/>
  <c r="W155" i="2"/>
  <c r="X155" i="2"/>
  <c r="Y155" i="2"/>
  <c r="Z155" i="2"/>
  <c r="O156" i="2"/>
  <c r="AA156" i="2" s="1"/>
  <c r="Q156" i="2"/>
  <c r="R156" i="2"/>
  <c r="S156" i="2"/>
  <c r="T156" i="2"/>
  <c r="U156" i="2"/>
  <c r="V156" i="2"/>
  <c r="W156" i="2"/>
  <c r="X156" i="2"/>
  <c r="Y156" i="2"/>
  <c r="Z156" i="2"/>
  <c r="O157" i="2"/>
  <c r="AA157" i="2" s="1"/>
  <c r="Q157" i="2"/>
  <c r="R157" i="2"/>
  <c r="S157" i="2"/>
  <c r="T157" i="2"/>
  <c r="U157" i="2"/>
  <c r="V157" i="2"/>
  <c r="W157" i="2"/>
  <c r="X157" i="2"/>
  <c r="Y157" i="2"/>
  <c r="Z157" i="2"/>
  <c r="O158" i="2"/>
  <c r="AA158" i="2" s="1"/>
  <c r="Q158" i="2"/>
  <c r="R158" i="2"/>
  <c r="S158" i="2"/>
  <c r="T158" i="2"/>
  <c r="U158" i="2"/>
  <c r="V158" i="2"/>
  <c r="W158" i="2"/>
  <c r="X158" i="2"/>
  <c r="Y158" i="2"/>
  <c r="Z158" i="2"/>
  <c r="O159" i="2"/>
  <c r="AA159" i="2" s="1"/>
  <c r="Q159" i="2"/>
  <c r="R159" i="2"/>
  <c r="S159" i="2"/>
  <c r="T159" i="2"/>
  <c r="U159" i="2"/>
  <c r="V159" i="2"/>
  <c r="W159" i="2"/>
  <c r="X159" i="2"/>
  <c r="Y159" i="2"/>
  <c r="Z159" i="2"/>
  <c r="O160" i="2"/>
  <c r="AA160" i="2" s="1"/>
  <c r="Q160" i="2"/>
  <c r="R160" i="2"/>
  <c r="S160" i="2"/>
  <c r="T160" i="2"/>
  <c r="U160" i="2"/>
  <c r="V160" i="2"/>
  <c r="W160" i="2"/>
  <c r="X160" i="2"/>
  <c r="Y160" i="2"/>
  <c r="Z160" i="2"/>
  <c r="O161" i="2"/>
  <c r="AA161" i="2" s="1"/>
  <c r="Q161" i="2"/>
  <c r="R161" i="2"/>
  <c r="S161" i="2"/>
  <c r="T161" i="2"/>
  <c r="U161" i="2"/>
  <c r="V161" i="2"/>
  <c r="W161" i="2"/>
  <c r="X161" i="2"/>
  <c r="Y161" i="2"/>
  <c r="Z161" i="2"/>
  <c r="O162" i="2"/>
  <c r="AA162" i="2" s="1"/>
  <c r="Q162" i="2"/>
  <c r="R162" i="2"/>
  <c r="S162" i="2"/>
  <c r="T162" i="2"/>
  <c r="U162" i="2"/>
  <c r="V162" i="2"/>
  <c r="W162" i="2"/>
  <c r="X162" i="2"/>
  <c r="Y162" i="2"/>
  <c r="Z162" i="2"/>
  <c r="O163" i="2"/>
  <c r="AA163" i="2" s="1"/>
  <c r="Q163" i="2"/>
  <c r="R163" i="2"/>
  <c r="S163" i="2"/>
  <c r="T163" i="2"/>
  <c r="U163" i="2"/>
  <c r="V163" i="2"/>
  <c r="W163" i="2"/>
  <c r="X163" i="2"/>
  <c r="Y163" i="2"/>
  <c r="Z163" i="2"/>
  <c r="O164" i="2"/>
  <c r="AA164" i="2" s="1"/>
  <c r="Q164" i="2"/>
  <c r="R164" i="2"/>
  <c r="S164" i="2"/>
  <c r="T164" i="2"/>
  <c r="U164" i="2"/>
  <c r="V164" i="2"/>
  <c r="W164" i="2"/>
  <c r="X164" i="2"/>
  <c r="Y164" i="2"/>
  <c r="Z164" i="2"/>
  <c r="O165" i="2"/>
  <c r="AA165" i="2" s="1"/>
  <c r="Q165" i="2"/>
  <c r="R165" i="2"/>
  <c r="S165" i="2"/>
  <c r="T165" i="2"/>
  <c r="U165" i="2"/>
  <c r="V165" i="2"/>
  <c r="W165" i="2"/>
  <c r="X165" i="2"/>
  <c r="Y165" i="2"/>
  <c r="Z165" i="2"/>
  <c r="O166" i="2"/>
  <c r="AA166" i="2" s="1"/>
  <c r="Q166" i="2"/>
  <c r="R166" i="2"/>
  <c r="S166" i="2"/>
  <c r="T166" i="2"/>
  <c r="U166" i="2"/>
  <c r="V166" i="2"/>
  <c r="W166" i="2"/>
  <c r="X166" i="2"/>
  <c r="Y166" i="2"/>
  <c r="Z166" i="2"/>
  <c r="O167" i="2"/>
  <c r="AA167" i="2" s="1"/>
  <c r="Q167" i="2"/>
  <c r="R167" i="2"/>
  <c r="S167" i="2"/>
  <c r="T167" i="2"/>
  <c r="U167" i="2"/>
  <c r="V167" i="2"/>
  <c r="W167" i="2"/>
  <c r="X167" i="2"/>
  <c r="Y167" i="2"/>
  <c r="Z167" i="2"/>
  <c r="O168" i="2"/>
  <c r="AA168" i="2" s="1"/>
  <c r="Q168" i="2"/>
  <c r="R168" i="2"/>
  <c r="S168" i="2"/>
  <c r="T168" i="2"/>
  <c r="U168" i="2"/>
  <c r="V168" i="2"/>
  <c r="W168" i="2"/>
  <c r="X168" i="2"/>
  <c r="Y168" i="2"/>
  <c r="Z168" i="2"/>
  <c r="O169" i="2"/>
  <c r="AA169" i="2" s="1"/>
  <c r="Q169" i="2"/>
  <c r="R169" i="2"/>
  <c r="S169" i="2"/>
  <c r="T169" i="2"/>
  <c r="U169" i="2"/>
  <c r="V169" i="2"/>
  <c r="W169" i="2"/>
  <c r="X169" i="2"/>
  <c r="Y169" i="2"/>
  <c r="Z169" i="2"/>
  <c r="O170" i="2"/>
  <c r="AA170" i="2" s="1"/>
  <c r="Q170" i="2"/>
  <c r="R170" i="2"/>
  <c r="S170" i="2"/>
  <c r="T170" i="2"/>
  <c r="U170" i="2"/>
  <c r="V170" i="2"/>
  <c r="W170" i="2"/>
  <c r="X170" i="2"/>
  <c r="Y170" i="2"/>
  <c r="Z170" i="2"/>
  <c r="O171" i="2"/>
  <c r="AA171" i="2" s="1"/>
  <c r="Q171" i="2"/>
  <c r="R171" i="2"/>
  <c r="S171" i="2"/>
  <c r="T171" i="2"/>
  <c r="U171" i="2"/>
  <c r="V171" i="2"/>
  <c r="W171" i="2"/>
  <c r="X171" i="2"/>
  <c r="Y171" i="2"/>
  <c r="Z171" i="2"/>
  <c r="O172" i="2"/>
  <c r="AA172" i="2" s="1"/>
  <c r="Q172" i="2"/>
  <c r="R172" i="2"/>
  <c r="S172" i="2"/>
  <c r="T172" i="2"/>
  <c r="U172" i="2"/>
  <c r="V172" i="2"/>
  <c r="W172" i="2"/>
  <c r="X172" i="2"/>
  <c r="Y172" i="2"/>
  <c r="Z172" i="2"/>
  <c r="O173" i="2"/>
  <c r="AA173" i="2" s="1"/>
  <c r="Q173" i="2"/>
  <c r="R173" i="2"/>
  <c r="S173" i="2"/>
  <c r="T173" i="2"/>
  <c r="U173" i="2"/>
  <c r="V173" i="2"/>
  <c r="W173" i="2"/>
  <c r="X173" i="2"/>
  <c r="Y173" i="2"/>
  <c r="Z173" i="2"/>
  <c r="O174" i="2"/>
  <c r="AA174" i="2" s="1"/>
  <c r="Q174" i="2"/>
  <c r="R174" i="2"/>
  <c r="S174" i="2"/>
  <c r="T174" i="2"/>
  <c r="U174" i="2"/>
  <c r="V174" i="2"/>
  <c r="W174" i="2"/>
  <c r="X174" i="2"/>
  <c r="Y174" i="2"/>
  <c r="Z174" i="2"/>
  <c r="O175" i="2"/>
  <c r="AA175" i="2" s="1"/>
  <c r="Q175" i="2"/>
  <c r="R175" i="2"/>
  <c r="S175" i="2"/>
  <c r="T175" i="2"/>
  <c r="U175" i="2"/>
  <c r="V175" i="2"/>
  <c r="W175" i="2"/>
  <c r="X175" i="2"/>
  <c r="Y175" i="2"/>
  <c r="Z175" i="2"/>
  <c r="O176" i="2"/>
  <c r="AA176" i="2" s="1"/>
  <c r="Q176" i="2"/>
  <c r="R176" i="2"/>
  <c r="S176" i="2"/>
  <c r="T176" i="2"/>
  <c r="U176" i="2"/>
  <c r="V176" i="2"/>
  <c r="W176" i="2"/>
  <c r="X176" i="2"/>
  <c r="Y176" i="2"/>
  <c r="Z176" i="2"/>
  <c r="O177" i="2"/>
  <c r="AA177" i="2" s="1"/>
  <c r="Q177" i="2"/>
  <c r="R177" i="2"/>
  <c r="S177" i="2"/>
  <c r="T177" i="2"/>
  <c r="U177" i="2"/>
  <c r="V177" i="2"/>
  <c r="W177" i="2"/>
  <c r="X177" i="2"/>
  <c r="Y177" i="2"/>
  <c r="Z177" i="2"/>
  <c r="O178" i="2"/>
  <c r="AA178" i="2" s="1"/>
  <c r="Q178" i="2"/>
  <c r="R178" i="2"/>
  <c r="S178" i="2"/>
  <c r="T178" i="2"/>
  <c r="U178" i="2"/>
  <c r="V178" i="2"/>
  <c r="W178" i="2"/>
  <c r="X178" i="2"/>
  <c r="Y178" i="2"/>
  <c r="Z178" i="2"/>
  <c r="O179" i="2"/>
  <c r="AA179" i="2" s="1"/>
  <c r="Q179" i="2"/>
  <c r="R179" i="2"/>
  <c r="S179" i="2"/>
  <c r="T179" i="2"/>
  <c r="U179" i="2"/>
  <c r="V179" i="2"/>
  <c r="W179" i="2"/>
  <c r="X179" i="2"/>
  <c r="Y179" i="2"/>
  <c r="Z179" i="2"/>
  <c r="O180" i="2"/>
  <c r="AA180" i="2" s="1"/>
  <c r="Q180" i="2"/>
  <c r="R180" i="2"/>
  <c r="S180" i="2"/>
  <c r="T180" i="2"/>
  <c r="U180" i="2"/>
  <c r="V180" i="2"/>
  <c r="W180" i="2"/>
  <c r="X180" i="2"/>
  <c r="Y180" i="2"/>
  <c r="Z180" i="2"/>
  <c r="O181" i="2"/>
  <c r="AA181" i="2" s="1"/>
  <c r="Q181" i="2"/>
  <c r="R181" i="2"/>
  <c r="S181" i="2"/>
  <c r="T181" i="2"/>
  <c r="U181" i="2"/>
  <c r="V181" i="2"/>
  <c r="W181" i="2"/>
  <c r="X181" i="2"/>
  <c r="Y181" i="2"/>
  <c r="Z181" i="2"/>
  <c r="O182" i="2"/>
  <c r="AA182" i="2" s="1"/>
  <c r="Q182" i="2"/>
  <c r="R182" i="2"/>
  <c r="S182" i="2"/>
  <c r="T182" i="2"/>
  <c r="U182" i="2"/>
  <c r="V182" i="2"/>
  <c r="W182" i="2"/>
  <c r="X182" i="2"/>
  <c r="Y182" i="2"/>
  <c r="Z182" i="2"/>
  <c r="O183" i="2"/>
  <c r="AA183" i="2" s="1"/>
  <c r="Q183" i="2"/>
  <c r="R183" i="2"/>
  <c r="S183" i="2"/>
  <c r="T183" i="2"/>
  <c r="U183" i="2"/>
  <c r="V183" i="2"/>
  <c r="W183" i="2"/>
  <c r="X183" i="2"/>
  <c r="Y183" i="2"/>
  <c r="Z183" i="2"/>
  <c r="O184" i="2"/>
  <c r="AA184" i="2" s="1"/>
  <c r="Q184" i="2"/>
  <c r="R184" i="2"/>
  <c r="S184" i="2"/>
  <c r="T184" i="2"/>
  <c r="U184" i="2"/>
  <c r="V184" i="2"/>
  <c r="W184" i="2"/>
  <c r="X184" i="2"/>
  <c r="Y184" i="2"/>
  <c r="Z184" i="2"/>
  <c r="O185" i="2"/>
  <c r="AA185" i="2" s="1"/>
  <c r="Q185" i="2"/>
  <c r="R185" i="2"/>
  <c r="S185" i="2"/>
  <c r="T185" i="2"/>
  <c r="U185" i="2"/>
  <c r="V185" i="2"/>
  <c r="W185" i="2"/>
  <c r="X185" i="2"/>
  <c r="Y185" i="2"/>
  <c r="Z185" i="2"/>
  <c r="O186" i="2"/>
  <c r="AA186" i="2" s="1"/>
  <c r="Q186" i="2"/>
  <c r="R186" i="2"/>
  <c r="S186" i="2"/>
  <c r="T186" i="2"/>
  <c r="U186" i="2"/>
  <c r="V186" i="2"/>
  <c r="W186" i="2"/>
  <c r="X186" i="2"/>
  <c r="Y186" i="2"/>
  <c r="Z186" i="2"/>
  <c r="O187" i="2"/>
  <c r="AA187" i="2" s="1"/>
  <c r="Q187" i="2"/>
  <c r="R187" i="2"/>
  <c r="S187" i="2"/>
  <c r="T187" i="2"/>
  <c r="U187" i="2"/>
  <c r="V187" i="2"/>
  <c r="W187" i="2"/>
  <c r="X187" i="2"/>
  <c r="Y187" i="2"/>
  <c r="Z187" i="2"/>
  <c r="O188" i="2"/>
  <c r="AA188" i="2" s="1"/>
  <c r="Q188" i="2"/>
  <c r="R188" i="2"/>
  <c r="S188" i="2"/>
  <c r="T188" i="2"/>
  <c r="U188" i="2"/>
  <c r="V188" i="2"/>
  <c r="W188" i="2"/>
  <c r="X188" i="2"/>
  <c r="Y188" i="2"/>
  <c r="Z188" i="2"/>
  <c r="O189" i="2"/>
  <c r="AA189" i="2" s="1"/>
  <c r="Q189" i="2"/>
  <c r="R189" i="2"/>
  <c r="S189" i="2"/>
  <c r="T189" i="2"/>
  <c r="U189" i="2"/>
  <c r="V189" i="2"/>
  <c r="W189" i="2"/>
  <c r="X189" i="2"/>
  <c r="Y189" i="2"/>
  <c r="Z189" i="2"/>
  <c r="O190" i="2"/>
  <c r="AA190" i="2" s="1"/>
  <c r="Q190" i="2"/>
  <c r="R190" i="2"/>
  <c r="S190" i="2"/>
  <c r="T190" i="2"/>
  <c r="U190" i="2"/>
  <c r="V190" i="2"/>
  <c r="W190" i="2"/>
  <c r="X190" i="2"/>
  <c r="Y190" i="2"/>
  <c r="Z190" i="2"/>
  <c r="O191" i="2"/>
  <c r="AA191" i="2" s="1"/>
  <c r="Q191" i="2"/>
  <c r="R191" i="2"/>
  <c r="S191" i="2"/>
  <c r="T191" i="2"/>
  <c r="U191" i="2"/>
  <c r="V191" i="2"/>
  <c r="W191" i="2"/>
  <c r="X191" i="2"/>
  <c r="Y191" i="2"/>
  <c r="Z191" i="2"/>
  <c r="O192" i="2"/>
  <c r="AA192" i="2" s="1"/>
  <c r="Q192" i="2"/>
  <c r="R192" i="2"/>
  <c r="S192" i="2"/>
  <c r="T192" i="2"/>
  <c r="U192" i="2"/>
  <c r="V192" i="2"/>
  <c r="W192" i="2"/>
  <c r="X192" i="2"/>
  <c r="Y192" i="2"/>
  <c r="Z192" i="2"/>
  <c r="O193" i="2"/>
  <c r="AA193" i="2" s="1"/>
  <c r="Q193" i="2"/>
  <c r="R193" i="2"/>
  <c r="S193" i="2"/>
  <c r="T193" i="2"/>
  <c r="U193" i="2"/>
  <c r="V193" i="2"/>
  <c r="W193" i="2"/>
  <c r="X193" i="2"/>
  <c r="Y193" i="2"/>
  <c r="Z193" i="2"/>
  <c r="O194" i="2"/>
  <c r="AA194" i="2" s="1"/>
  <c r="Q194" i="2"/>
  <c r="R194" i="2"/>
  <c r="S194" i="2"/>
  <c r="T194" i="2"/>
  <c r="U194" i="2"/>
  <c r="V194" i="2"/>
  <c r="W194" i="2"/>
  <c r="X194" i="2"/>
  <c r="Y194" i="2"/>
  <c r="Z194" i="2"/>
  <c r="O195" i="2"/>
  <c r="AA195" i="2" s="1"/>
  <c r="Q195" i="2"/>
  <c r="R195" i="2"/>
  <c r="S195" i="2"/>
  <c r="T195" i="2"/>
  <c r="U195" i="2"/>
  <c r="V195" i="2"/>
  <c r="W195" i="2"/>
  <c r="X195" i="2"/>
  <c r="Y195" i="2"/>
  <c r="Z195" i="2"/>
  <c r="O196" i="2"/>
  <c r="AA196" i="2" s="1"/>
  <c r="Q196" i="2"/>
  <c r="R196" i="2"/>
  <c r="S196" i="2"/>
  <c r="T196" i="2"/>
  <c r="U196" i="2"/>
  <c r="V196" i="2"/>
  <c r="W196" i="2"/>
  <c r="X196" i="2"/>
  <c r="Y196" i="2"/>
  <c r="Z196" i="2"/>
  <c r="O197" i="2"/>
  <c r="AA197" i="2" s="1"/>
  <c r="Q197" i="2"/>
  <c r="R197" i="2"/>
  <c r="S197" i="2"/>
  <c r="T197" i="2"/>
  <c r="U197" i="2"/>
  <c r="V197" i="2"/>
  <c r="W197" i="2"/>
  <c r="X197" i="2"/>
  <c r="Y197" i="2"/>
  <c r="Z197" i="2"/>
  <c r="O198" i="2"/>
  <c r="AA198" i="2" s="1"/>
  <c r="Q198" i="2"/>
  <c r="R198" i="2"/>
  <c r="S198" i="2"/>
  <c r="T198" i="2"/>
  <c r="U198" i="2"/>
  <c r="V198" i="2"/>
  <c r="W198" i="2"/>
  <c r="X198" i="2"/>
  <c r="Y198" i="2"/>
  <c r="Z198" i="2"/>
  <c r="O199" i="2"/>
  <c r="AA199" i="2" s="1"/>
  <c r="Q199" i="2"/>
  <c r="R199" i="2"/>
  <c r="S199" i="2"/>
  <c r="T199" i="2"/>
  <c r="U199" i="2"/>
  <c r="V199" i="2"/>
  <c r="W199" i="2"/>
  <c r="X199" i="2"/>
  <c r="Y199" i="2"/>
  <c r="Z199" i="2"/>
  <c r="O200" i="2"/>
  <c r="AA200" i="2" s="1"/>
  <c r="Q200" i="2"/>
  <c r="R200" i="2"/>
  <c r="S200" i="2"/>
  <c r="T200" i="2"/>
  <c r="U200" i="2"/>
  <c r="V200" i="2"/>
  <c r="W200" i="2"/>
  <c r="X200" i="2"/>
  <c r="Y200" i="2"/>
  <c r="Z200" i="2"/>
  <c r="O201" i="2"/>
  <c r="AA201" i="2" s="1"/>
  <c r="Q201" i="2"/>
  <c r="R201" i="2"/>
  <c r="S201" i="2"/>
  <c r="T201" i="2"/>
  <c r="U201" i="2"/>
  <c r="V201" i="2"/>
  <c r="W201" i="2"/>
  <c r="X201" i="2"/>
  <c r="Y201" i="2"/>
  <c r="Z201" i="2"/>
  <c r="O202" i="2"/>
  <c r="AA202" i="2" s="1"/>
  <c r="Q202" i="2"/>
  <c r="R202" i="2"/>
  <c r="S202" i="2"/>
  <c r="T202" i="2"/>
  <c r="U202" i="2"/>
  <c r="V202" i="2"/>
  <c r="W202" i="2"/>
  <c r="X202" i="2"/>
  <c r="Y202" i="2"/>
  <c r="Z202" i="2"/>
  <c r="O203" i="2"/>
  <c r="AA203" i="2" s="1"/>
  <c r="Q203" i="2"/>
  <c r="R203" i="2"/>
  <c r="S203" i="2"/>
  <c r="T203" i="2"/>
  <c r="U203" i="2"/>
  <c r="V203" i="2"/>
  <c r="W203" i="2"/>
  <c r="X203" i="2"/>
  <c r="Y203" i="2"/>
  <c r="Z203" i="2"/>
  <c r="O204" i="2"/>
  <c r="AA204" i="2" s="1"/>
  <c r="Q204" i="2"/>
  <c r="R204" i="2"/>
  <c r="S204" i="2"/>
  <c r="T204" i="2"/>
  <c r="U204" i="2"/>
  <c r="V204" i="2"/>
  <c r="W204" i="2"/>
  <c r="X204" i="2"/>
  <c r="Y204" i="2"/>
  <c r="Z204" i="2"/>
  <c r="O205" i="2"/>
  <c r="AA205" i="2" s="1"/>
  <c r="Q205" i="2"/>
  <c r="R205" i="2"/>
  <c r="S205" i="2"/>
  <c r="T205" i="2"/>
  <c r="U205" i="2"/>
  <c r="V205" i="2"/>
  <c r="W205" i="2"/>
  <c r="X205" i="2"/>
  <c r="Y205" i="2"/>
  <c r="Z205" i="2"/>
  <c r="O206" i="2"/>
  <c r="AA206" i="2" s="1"/>
  <c r="Q206" i="2"/>
  <c r="R206" i="2"/>
  <c r="S206" i="2"/>
  <c r="T206" i="2"/>
  <c r="U206" i="2"/>
  <c r="V206" i="2"/>
  <c r="W206" i="2"/>
  <c r="X206" i="2"/>
  <c r="Y206" i="2"/>
  <c r="Z206" i="2"/>
  <c r="O207" i="2"/>
  <c r="AA207" i="2" s="1"/>
  <c r="Q207" i="2"/>
  <c r="R207" i="2"/>
  <c r="S207" i="2"/>
  <c r="T207" i="2"/>
  <c r="U207" i="2"/>
  <c r="V207" i="2"/>
  <c r="W207" i="2"/>
  <c r="X207" i="2"/>
  <c r="Y207" i="2"/>
  <c r="Z207" i="2"/>
  <c r="O208" i="2"/>
  <c r="AA208" i="2" s="1"/>
  <c r="Q208" i="2"/>
  <c r="R208" i="2"/>
  <c r="S208" i="2"/>
  <c r="T208" i="2"/>
  <c r="U208" i="2"/>
  <c r="V208" i="2"/>
  <c r="W208" i="2"/>
  <c r="X208" i="2"/>
  <c r="Y208" i="2"/>
  <c r="Z208" i="2"/>
  <c r="O209" i="2"/>
  <c r="AA209" i="2" s="1"/>
  <c r="Q209" i="2"/>
  <c r="R209" i="2"/>
  <c r="S209" i="2"/>
  <c r="T209" i="2"/>
  <c r="U209" i="2"/>
  <c r="V209" i="2"/>
  <c r="W209" i="2"/>
  <c r="X209" i="2"/>
  <c r="Y209" i="2"/>
  <c r="Z209" i="2"/>
  <c r="O210" i="2"/>
  <c r="AA210" i="2" s="1"/>
  <c r="Q210" i="2"/>
  <c r="R210" i="2"/>
  <c r="S210" i="2"/>
  <c r="T210" i="2"/>
  <c r="U210" i="2"/>
  <c r="V210" i="2"/>
  <c r="W210" i="2"/>
  <c r="X210" i="2"/>
  <c r="Y210" i="2"/>
  <c r="Z210" i="2"/>
  <c r="O211" i="2"/>
  <c r="AA211" i="2" s="1"/>
  <c r="Q211" i="2"/>
  <c r="R211" i="2"/>
  <c r="S211" i="2"/>
  <c r="T211" i="2"/>
  <c r="U211" i="2"/>
  <c r="V211" i="2"/>
  <c r="W211" i="2"/>
  <c r="X211" i="2"/>
  <c r="Y211" i="2"/>
  <c r="Z211" i="2"/>
  <c r="O212" i="2"/>
  <c r="AA212" i="2" s="1"/>
  <c r="Q212" i="2"/>
  <c r="R212" i="2"/>
  <c r="S212" i="2"/>
  <c r="T212" i="2"/>
  <c r="U212" i="2"/>
  <c r="V212" i="2"/>
  <c r="W212" i="2"/>
  <c r="X212" i="2"/>
  <c r="Y212" i="2"/>
  <c r="Z212" i="2"/>
  <c r="O213" i="2"/>
  <c r="AA213" i="2" s="1"/>
  <c r="Q213" i="2"/>
  <c r="R213" i="2"/>
  <c r="S213" i="2"/>
  <c r="T213" i="2"/>
  <c r="U213" i="2"/>
  <c r="V213" i="2"/>
  <c r="W213" i="2"/>
  <c r="X213" i="2"/>
  <c r="Y213" i="2"/>
  <c r="Z213" i="2"/>
  <c r="O214" i="2"/>
  <c r="AA214" i="2" s="1"/>
  <c r="Q214" i="2"/>
  <c r="R214" i="2"/>
  <c r="S214" i="2"/>
  <c r="T214" i="2"/>
  <c r="U214" i="2"/>
  <c r="V214" i="2"/>
  <c r="W214" i="2"/>
  <c r="X214" i="2"/>
  <c r="Y214" i="2"/>
  <c r="Z214" i="2"/>
  <c r="O215" i="2"/>
  <c r="AA215" i="2" s="1"/>
  <c r="Q215" i="2"/>
  <c r="R215" i="2"/>
  <c r="S215" i="2"/>
  <c r="T215" i="2"/>
  <c r="U215" i="2"/>
  <c r="V215" i="2"/>
  <c r="W215" i="2"/>
  <c r="X215" i="2"/>
  <c r="Y215" i="2"/>
  <c r="Z215" i="2"/>
  <c r="O216" i="2"/>
  <c r="AA216" i="2" s="1"/>
  <c r="Q216" i="2"/>
  <c r="R216" i="2"/>
  <c r="S216" i="2"/>
  <c r="T216" i="2"/>
  <c r="U216" i="2"/>
  <c r="V216" i="2"/>
  <c r="W216" i="2"/>
  <c r="X216" i="2"/>
  <c r="Y216" i="2"/>
  <c r="Z216" i="2"/>
  <c r="O217" i="2"/>
  <c r="AA217" i="2" s="1"/>
  <c r="Q217" i="2"/>
  <c r="R217" i="2"/>
  <c r="S217" i="2"/>
  <c r="T217" i="2"/>
  <c r="U217" i="2"/>
  <c r="V217" i="2"/>
  <c r="W217" i="2"/>
  <c r="X217" i="2"/>
  <c r="Y217" i="2"/>
  <c r="Z217" i="2"/>
  <c r="O218" i="2"/>
  <c r="AA218" i="2" s="1"/>
  <c r="Q218" i="2"/>
  <c r="R218" i="2"/>
  <c r="S218" i="2"/>
  <c r="T218" i="2"/>
  <c r="U218" i="2"/>
  <c r="V218" i="2"/>
  <c r="W218" i="2"/>
  <c r="X218" i="2"/>
  <c r="Y218" i="2"/>
  <c r="Z218" i="2"/>
  <c r="O219" i="2"/>
  <c r="AA219" i="2" s="1"/>
  <c r="Q219" i="2"/>
  <c r="R219" i="2"/>
  <c r="S219" i="2"/>
  <c r="T219" i="2"/>
  <c r="U219" i="2"/>
  <c r="V219" i="2"/>
  <c r="W219" i="2"/>
  <c r="X219" i="2"/>
  <c r="Y219" i="2"/>
  <c r="Z219" i="2"/>
  <c r="O220" i="2"/>
  <c r="AA220" i="2" s="1"/>
  <c r="Q220" i="2"/>
  <c r="R220" i="2"/>
  <c r="S220" i="2"/>
  <c r="T220" i="2"/>
  <c r="U220" i="2"/>
  <c r="V220" i="2"/>
  <c r="W220" i="2"/>
  <c r="X220" i="2"/>
  <c r="Y220" i="2"/>
  <c r="Z220" i="2"/>
  <c r="O221" i="2"/>
  <c r="AA221" i="2" s="1"/>
  <c r="Q221" i="2"/>
  <c r="R221" i="2"/>
  <c r="S221" i="2"/>
  <c r="T221" i="2"/>
  <c r="U221" i="2"/>
  <c r="V221" i="2"/>
  <c r="W221" i="2"/>
  <c r="X221" i="2"/>
  <c r="Y221" i="2"/>
  <c r="Z221" i="2"/>
  <c r="O222" i="2"/>
  <c r="AA222" i="2" s="1"/>
  <c r="Q222" i="2"/>
  <c r="R222" i="2"/>
  <c r="S222" i="2"/>
  <c r="T222" i="2"/>
  <c r="U222" i="2"/>
  <c r="V222" i="2"/>
  <c r="W222" i="2"/>
  <c r="X222" i="2"/>
  <c r="Y222" i="2"/>
  <c r="Z222" i="2"/>
  <c r="O223" i="2"/>
  <c r="AA223" i="2" s="1"/>
  <c r="Q223" i="2"/>
  <c r="R223" i="2"/>
  <c r="S223" i="2"/>
  <c r="T223" i="2"/>
  <c r="U223" i="2"/>
  <c r="V223" i="2"/>
  <c r="W223" i="2"/>
  <c r="X223" i="2"/>
  <c r="Y223" i="2"/>
  <c r="Z223" i="2"/>
  <c r="O224" i="2"/>
  <c r="AA224" i="2" s="1"/>
  <c r="Q224" i="2"/>
  <c r="R224" i="2"/>
  <c r="S224" i="2"/>
  <c r="T224" i="2"/>
  <c r="U224" i="2"/>
  <c r="V224" i="2"/>
  <c r="W224" i="2"/>
  <c r="X224" i="2"/>
  <c r="Y224" i="2"/>
  <c r="Z224" i="2"/>
  <c r="O225" i="2"/>
  <c r="AA225" i="2" s="1"/>
  <c r="Q225" i="2"/>
  <c r="R225" i="2"/>
  <c r="S225" i="2"/>
  <c r="T225" i="2"/>
  <c r="U225" i="2"/>
  <c r="V225" i="2"/>
  <c r="W225" i="2"/>
  <c r="X225" i="2"/>
  <c r="Y225" i="2"/>
  <c r="Z225" i="2"/>
  <c r="O226" i="2"/>
  <c r="AA226" i="2" s="1"/>
  <c r="Q226" i="2"/>
  <c r="R226" i="2"/>
  <c r="S226" i="2"/>
  <c r="T226" i="2"/>
  <c r="U226" i="2"/>
  <c r="V226" i="2"/>
  <c r="W226" i="2"/>
  <c r="X226" i="2"/>
  <c r="Y226" i="2"/>
  <c r="Z226" i="2"/>
  <c r="O227" i="2"/>
  <c r="AA227" i="2" s="1"/>
  <c r="Q227" i="2"/>
  <c r="R227" i="2"/>
  <c r="S227" i="2"/>
  <c r="T227" i="2"/>
  <c r="U227" i="2"/>
  <c r="V227" i="2"/>
  <c r="W227" i="2"/>
  <c r="X227" i="2"/>
  <c r="Y227" i="2"/>
  <c r="Z227" i="2"/>
  <c r="O228" i="2"/>
  <c r="AA228" i="2" s="1"/>
  <c r="Q228" i="2"/>
  <c r="R228" i="2"/>
  <c r="S228" i="2"/>
  <c r="T228" i="2"/>
  <c r="U228" i="2"/>
  <c r="V228" i="2"/>
  <c r="W228" i="2"/>
  <c r="X228" i="2"/>
  <c r="Y228" i="2"/>
  <c r="Z228" i="2"/>
  <c r="O229" i="2"/>
  <c r="AA229" i="2" s="1"/>
  <c r="Q229" i="2"/>
  <c r="R229" i="2"/>
  <c r="S229" i="2"/>
  <c r="T229" i="2"/>
  <c r="U229" i="2"/>
  <c r="V229" i="2"/>
  <c r="W229" i="2"/>
  <c r="X229" i="2"/>
  <c r="Y229" i="2"/>
  <c r="Z229" i="2"/>
  <c r="O230" i="2"/>
  <c r="AA230" i="2" s="1"/>
  <c r="Q230" i="2"/>
  <c r="R230" i="2"/>
  <c r="S230" i="2"/>
  <c r="T230" i="2"/>
  <c r="U230" i="2"/>
  <c r="V230" i="2"/>
  <c r="W230" i="2"/>
  <c r="X230" i="2"/>
  <c r="Y230" i="2"/>
  <c r="Z230" i="2"/>
  <c r="O231" i="2"/>
  <c r="AA231" i="2" s="1"/>
  <c r="Q231" i="2"/>
  <c r="R231" i="2"/>
  <c r="S231" i="2"/>
  <c r="T231" i="2"/>
  <c r="U231" i="2"/>
  <c r="V231" i="2"/>
  <c r="W231" i="2"/>
  <c r="X231" i="2"/>
  <c r="Y231" i="2"/>
  <c r="Z231" i="2"/>
  <c r="O232" i="2"/>
  <c r="AA232" i="2" s="1"/>
  <c r="Q232" i="2"/>
  <c r="R232" i="2"/>
  <c r="S232" i="2"/>
  <c r="T232" i="2"/>
  <c r="U232" i="2"/>
  <c r="V232" i="2"/>
  <c r="W232" i="2"/>
  <c r="X232" i="2"/>
  <c r="Y232" i="2"/>
  <c r="Z232" i="2"/>
  <c r="O233" i="2"/>
  <c r="AA233" i="2" s="1"/>
  <c r="Q233" i="2"/>
  <c r="R233" i="2"/>
  <c r="S233" i="2"/>
  <c r="T233" i="2"/>
  <c r="U233" i="2"/>
  <c r="V233" i="2"/>
  <c r="W233" i="2"/>
  <c r="X233" i="2"/>
  <c r="Y233" i="2"/>
  <c r="Z233" i="2"/>
  <c r="O234" i="2"/>
  <c r="AA234" i="2" s="1"/>
  <c r="Q234" i="2"/>
  <c r="R234" i="2"/>
  <c r="S234" i="2"/>
  <c r="T234" i="2"/>
  <c r="U234" i="2"/>
  <c r="V234" i="2"/>
  <c r="W234" i="2"/>
  <c r="X234" i="2"/>
  <c r="Y234" i="2"/>
  <c r="Z234" i="2"/>
  <c r="O235" i="2"/>
  <c r="AA235" i="2" s="1"/>
  <c r="Q235" i="2"/>
  <c r="R235" i="2"/>
  <c r="S235" i="2"/>
  <c r="T235" i="2"/>
  <c r="U235" i="2"/>
  <c r="V235" i="2"/>
  <c r="W235" i="2"/>
  <c r="X235" i="2"/>
  <c r="Y235" i="2"/>
  <c r="Z235" i="2"/>
  <c r="O236" i="2"/>
  <c r="AA236" i="2" s="1"/>
  <c r="Q236" i="2"/>
  <c r="R236" i="2"/>
  <c r="S236" i="2"/>
  <c r="T236" i="2"/>
  <c r="U236" i="2"/>
  <c r="V236" i="2"/>
  <c r="W236" i="2"/>
  <c r="X236" i="2"/>
  <c r="Y236" i="2"/>
  <c r="Z236" i="2"/>
  <c r="O237" i="2"/>
  <c r="AA237" i="2" s="1"/>
  <c r="Q237" i="2"/>
  <c r="R237" i="2"/>
  <c r="S237" i="2"/>
  <c r="T237" i="2"/>
  <c r="U237" i="2"/>
  <c r="V237" i="2"/>
  <c r="W237" i="2"/>
  <c r="X237" i="2"/>
  <c r="Y237" i="2"/>
  <c r="Z237" i="2"/>
  <c r="O238" i="2"/>
  <c r="AA238" i="2" s="1"/>
  <c r="Q238" i="2"/>
  <c r="R238" i="2"/>
  <c r="S238" i="2"/>
  <c r="T238" i="2"/>
  <c r="U238" i="2"/>
  <c r="V238" i="2"/>
  <c r="W238" i="2"/>
  <c r="X238" i="2"/>
  <c r="Y238" i="2"/>
  <c r="Z238" i="2"/>
  <c r="O239" i="2"/>
  <c r="AA239" i="2" s="1"/>
  <c r="Q239" i="2"/>
  <c r="R239" i="2"/>
  <c r="S239" i="2"/>
  <c r="T239" i="2"/>
  <c r="U239" i="2"/>
  <c r="V239" i="2"/>
  <c r="W239" i="2"/>
  <c r="X239" i="2"/>
  <c r="Y239" i="2"/>
  <c r="Z239" i="2"/>
  <c r="O240" i="2"/>
  <c r="AA240" i="2" s="1"/>
  <c r="Q240" i="2"/>
  <c r="R240" i="2"/>
  <c r="S240" i="2"/>
  <c r="T240" i="2"/>
  <c r="U240" i="2"/>
  <c r="V240" i="2"/>
  <c r="W240" i="2"/>
  <c r="X240" i="2"/>
  <c r="Y240" i="2"/>
  <c r="Z240" i="2"/>
  <c r="O241" i="2"/>
  <c r="AA241" i="2" s="1"/>
  <c r="Q241" i="2"/>
  <c r="R241" i="2"/>
  <c r="S241" i="2"/>
  <c r="T241" i="2"/>
  <c r="U241" i="2"/>
  <c r="V241" i="2"/>
  <c r="W241" i="2"/>
  <c r="X241" i="2"/>
  <c r="Y241" i="2"/>
  <c r="Z241" i="2"/>
  <c r="O242" i="2"/>
  <c r="AA242" i="2" s="1"/>
  <c r="Q242" i="2"/>
  <c r="R242" i="2"/>
  <c r="S242" i="2"/>
  <c r="T242" i="2"/>
  <c r="U242" i="2"/>
  <c r="V242" i="2"/>
  <c r="W242" i="2"/>
  <c r="X242" i="2"/>
  <c r="Y242" i="2"/>
  <c r="Z242" i="2"/>
  <c r="O243" i="2"/>
  <c r="AA243" i="2" s="1"/>
  <c r="Q243" i="2"/>
  <c r="R243" i="2"/>
  <c r="S243" i="2"/>
  <c r="T243" i="2"/>
  <c r="U243" i="2"/>
  <c r="V243" i="2"/>
  <c r="W243" i="2"/>
  <c r="X243" i="2"/>
  <c r="Y243" i="2"/>
  <c r="Z243" i="2"/>
  <c r="O244" i="2"/>
  <c r="AA244" i="2" s="1"/>
  <c r="Q244" i="2"/>
  <c r="R244" i="2"/>
  <c r="S244" i="2"/>
  <c r="T244" i="2"/>
  <c r="U244" i="2"/>
  <c r="V244" i="2"/>
  <c r="W244" i="2"/>
  <c r="X244" i="2"/>
  <c r="Y244" i="2"/>
  <c r="Z244" i="2"/>
  <c r="O245" i="2"/>
  <c r="AA245" i="2" s="1"/>
  <c r="Q245" i="2"/>
  <c r="R245" i="2"/>
  <c r="S245" i="2"/>
  <c r="T245" i="2"/>
  <c r="U245" i="2"/>
  <c r="V245" i="2"/>
  <c r="W245" i="2"/>
  <c r="X245" i="2"/>
  <c r="Y245" i="2"/>
  <c r="Z245" i="2"/>
  <c r="O246" i="2"/>
  <c r="AA246" i="2" s="1"/>
  <c r="Q246" i="2"/>
  <c r="R246" i="2"/>
  <c r="S246" i="2"/>
  <c r="T246" i="2"/>
  <c r="U246" i="2"/>
  <c r="V246" i="2"/>
  <c r="W246" i="2"/>
  <c r="X246" i="2"/>
  <c r="Y246" i="2"/>
  <c r="Z246" i="2"/>
  <c r="O247" i="2"/>
  <c r="AA247" i="2" s="1"/>
  <c r="Q247" i="2"/>
  <c r="R247" i="2"/>
  <c r="S247" i="2"/>
  <c r="T247" i="2"/>
  <c r="U247" i="2"/>
  <c r="V247" i="2"/>
  <c r="W247" i="2"/>
  <c r="X247" i="2"/>
  <c r="Y247" i="2"/>
  <c r="Z247" i="2"/>
  <c r="O248" i="2"/>
  <c r="AA248" i="2" s="1"/>
  <c r="Q248" i="2"/>
  <c r="R248" i="2"/>
  <c r="S248" i="2"/>
  <c r="T248" i="2"/>
  <c r="U248" i="2"/>
  <c r="V248" i="2"/>
  <c r="W248" i="2"/>
  <c r="X248" i="2"/>
  <c r="Y248" i="2"/>
  <c r="Z248" i="2"/>
  <c r="O249" i="2"/>
  <c r="AA249" i="2" s="1"/>
  <c r="Q249" i="2"/>
  <c r="R249" i="2"/>
  <c r="S249" i="2"/>
  <c r="T249" i="2"/>
  <c r="U249" i="2"/>
  <c r="V249" i="2"/>
  <c r="W249" i="2"/>
  <c r="X249" i="2"/>
  <c r="Y249" i="2"/>
  <c r="Z249" i="2"/>
  <c r="O250" i="2"/>
  <c r="AA250" i="2" s="1"/>
  <c r="Q250" i="2"/>
  <c r="R250" i="2"/>
  <c r="S250" i="2"/>
  <c r="T250" i="2"/>
  <c r="U250" i="2"/>
  <c r="V250" i="2"/>
  <c r="W250" i="2"/>
  <c r="X250" i="2"/>
  <c r="Y250" i="2"/>
  <c r="Z250" i="2"/>
  <c r="O251" i="2"/>
  <c r="AA251" i="2" s="1"/>
  <c r="Q251" i="2"/>
  <c r="R251" i="2"/>
  <c r="S251" i="2"/>
  <c r="T251" i="2"/>
  <c r="U251" i="2"/>
  <c r="V251" i="2"/>
  <c r="W251" i="2"/>
  <c r="X251" i="2"/>
  <c r="Y251" i="2"/>
  <c r="Z251" i="2"/>
  <c r="O252" i="2"/>
  <c r="AA252" i="2" s="1"/>
  <c r="Q252" i="2"/>
  <c r="R252" i="2"/>
  <c r="S252" i="2"/>
  <c r="T252" i="2"/>
  <c r="U252" i="2"/>
  <c r="V252" i="2"/>
  <c r="W252" i="2"/>
  <c r="X252" i="2"/>
  <c r="Y252" i="2"/>
  <c r="Z252" i="2"/>
  <c r="O253" i="2"/>
  <c r="AA253" i="2" s="1"/>
  <c r="Q253" i="2"/>
  <c r="R253" i="2"/>
  <c r="S253" i="2"/>
  <c r="T253" i="2"/>
  <c r="U253" i="2"/>
  <c r="V253" i="2"/>
  <c r="W253" i="2"/>
  <c r="X253" i="2"/>
  <c r="Y253" i="2"/>
  <c r="Z253" i="2"/>
  <c r="O254" i="2"/>
  <c r="AA254" i="2" s="1"/>
  <c r="Q254" i="2"/>
  <c r="R254" i="2"/>
  <c r="S254" i="2"/>
  <c r="T254" i="2"/>
  <c r="U254" i="2"/>
  <c r="V254" i="2"/>
  <c r="W254" i="2"/>
  <c r="X254" i="2"/>
  <c r="Y254" i="2"/>
  <c r="Z254" i="2"/>
  <c r="O255" i="2"/>
  <c r="AA255" i="2" s="1"/>
  <c r="Q255" i="2"/>
  <c r="R255" i="2"/>
  <c r="S255" i="2"/>
  <c r="T255" i="2"/>
  <c r="U255" i="2"/>
  <c r="V255" i="2"/>
  <c r="W255" i="2"/>
  <c r="X255" i="2"/>
  <c r="Y255" i="2"/>
  <c r="Z255" i="2"/>
  <c r="O256" i="2"/>
  <c r="AA256" i="2" s="1"/>
  <c r="Q256" i="2"/>
  <c r="R256" i="2"/>
  <c r="S256" i="2"/>
  <c r="T256" i="2"/>
  <c r="U256" i="2"/>
  <c r="V256" i="2"/>
  <c r="W256" i="2"/>
  <c r="X256" i="2"/>
  <c r="Y256" i="2"/>
  <c r="Z256" i="2"/>
  <c r="O257" i="2"/>
  <c r="AA257" i="2" s="1"/>
  <c r="Q257" i="2"/>
  <c r="R257" i="2"/>
  <c r="S257" i="2"/>
  <c r="T257" i="2"/>
  <c r="U257" i="2"/>
  <c r="V257" i="2"/>
  <c r="W257" i="2"/>
  <c r="X257" i="2"/>
  <c r="Y257" i="2"/>
  <c r="Z257" i="2"/>
  <c r="O258" i="2"/>
  <c r="AA258" i="2" s="1"/>
  <c r="Q258" i="2"/>
  <c r="R258" i="2"/>
  <c r="S258" i="2"/>
  <c r="T258" i="2"/>
  <c r="U258" i="2"/>
  <c r="V258" i="2"/>
  <c r="W258" i="2"/>
  <c r="X258" i="2"/>
  <c r="Y258" i="2"/>
  <c r="Z258" i="2"/>
  <c r="O259" i="2"/>
  <c r="AA259" i="2" s="1"/>
  <c r="Q259" i="2"/>
  <c r="R259" i="2"/>
  <c r="S259" i="2"/>
  <c r="T259" i="2"/>
  <c r="U259" i="2"/>
  <c r="V259" i="2"/>
  <c r="W259" i="2"/>
  <c r="X259" i="2"/>
  <c r="Y259" i="2"/>
  <c r="Z259" i="2"/>
  <c r="O260" i="2"/>
  <c r="AA260" i="2" s="1"/>
  <c r="Q260" i="2"/>
  <c r="R260" i="2"/>
  <c r="S260" i="2"/>
  <c r="T260" i="2"/>
  <c r="U260" i="2"/>
  <c r="V260" i="2"/>
  <c r="W260" i="2"/>
  <c r="X260" i="2"/>
  <c r="Y260" i="2"/>
  <c r="Z260" i="2"/>
  <c r="O261" i="2"/>
  <c r="AA261" i="2" s="1"/>
  <c r="Q261" i="2"/>
  <c r="R261" i="2"/>
  <c r="S261" i="2"/>
  <c r="T261" i="2"/>
  <c r="U261" i="2"/>
  <c r="V261" i="2"/>
  <c r="W261" i="2"/>
  <c r="X261" i="2"/>
  <c r="Y261" i="2"/>
  <c r="Z261" i="2"/>
  <c r="O262" i="2"/>
  <c r="AA262" i="2" s="1"/>
  <c r="Q262" i="2"/>
  <c r="R262" i="2"/>
  <c r="S262" i="2"/>
  <c r="T262" i="2"/>
  <c r="U262" i="2"/>
  <c r="V262" i="2"/>
  <c r="W262" i="2"/>
  <c r="X262" i="2"/>
  <c r="Y262" i="2"/>
  <c r="Z262" i="2"/>
  <c r="O263" i="2"/>
  <c r="AA263" i="2" s="1"/>
  <c r="Q263" i="2"/>
  <c r="R263" i="2"/>
  <c r="S263" i="2"/>
  <c r="T263" i="2"/>
  <c r="U263" i="2"/>
  <c r="V263" i="2"/>
  <c r="W263" i="2"/>
  <c r="X263" i="2"/>
  <c r="Y263" i="2"/>
  <c r="Z263" i="2"/>
  <c r="O264" i="2"/>
  <c r="AA264" i="2" s="1"/>
  <c r="Q264" i="2"/>
  <c r="R264" i="2"/>
  <c r="S264" i="2"/>
  <c r="T264" i="2"/>
  <c r="U264" i="2"/>
  <c r="V264" i="2"/>
  <c r="W264" i="2"/>
  <c r="X264" i="2"/>
  <c r="Y264" i="2"/>
  <c r="Z264" i="2"/>
  <c r="O265" i="2"/>
  <c r="AA265" i="2" s="1"/>
  <c r="Q265" i="2"/>
  <c r="R265" i="2"/>
  <c r="S265" i="2"/>
  <c r="T265" i="2"/>
  <c r="U265" i="2"/>
  <c r="V265" i="2"/>
  <c r="W265" i="2"/>
  <c r="X265" i="2"/>
  <c r="Y265" i="2"/>
  <c r="Z265" i="2"/>
  <c r="O266" i="2"/>
  <c r="AA266" i="2" s="1"/>
  <c r="Q266" i="2"/>
  <c r="R266" i="2"/>
  <c r="S266" i="2"/>
  <c r="T266" i="2"/>
  <c r="U266" i="2"/>
  <c r="V266" i="2"/>
  <c r="W266" i="2"/>
  <c r="X266" i="2"/>
  <c r="Y266" i="2"/>
  <c r="Z266" i="2"/>
  <c r="O267" i="2"/>
  <c r="AA267" i="2" s="1"/>
  <c r="Q267" i="2"/>
  <c r="R267" i="2"/>
  <c r="S267" i="2"/>
  <c r="T267" i="2"/>
  <c r="U267" i="2"/>
  <c r="V267" i="2"/>
  <c r="W267" i="2"/>
  <c r="X267" i="2"/>
  <c r="Y267" i="2"/>
  <c r="Z267" i="2"/>
  <c r="O268" i="2"/>
  <c r="AA268" i="2" s="1"/>
  <c r="Q268" i="2"/>
  <c r="R268" i="2"/>
  <c r="S268" i="2"/>
  <c r="T268" i="2"/>
  <c r="U268" i="2"/>
  <c r="V268" i="2"/>
  <c r="W268" i="2"/>
  <c r="X268" i="2"/>
  <c r="Y268" i="2"/>
  <c r="Z268" i="2"/>
  <c r="O269" i="2"/>
  <c r="AA269" i="2" s="1"/>
  <c r="Q269" i="2"/>
  <c r="R269" i="2"/>
  <c r="S269" i="2"/>
  <c r="T269" i="2"/>
  <c r="U269" i="2"/>
  <c r="V269" i="2"/>
  <c r="W269" i="2"/>
  <c r="X269" i="2"/>
  <c r="Y269" i="2"/>
  <c r="Z269" i="2"/>
  <c r="O270" i="2"/>
  <c r="AA270" i="2" s="1"/>
  <c r="Q270" i="2"/>
  <c r="R270" i="2"/>
  <c r="S270" i="2"/>
  <c r="T270" i="2"/>
  <c r="U270" i="2"/>
  <c r="V270" i="2"/>
  <c r="W270" i="2"/>
  <c r="X270" i="2"/>
  <c r="Y270" i="2"/>
  <c r="Z270" i="2"/>
  <c r="O271" i="2"/>
  <c r="AA271" i="2" s="1"/>
  <c r="Q271" i="2"/>
  <c r="R271" i="2"/>
  <c r="S271" i="2"/>
  <c r="T271" i="2"/>
  <c r="U271" i="2"/>
  <c r="V271" i="2"/>
  <c r="W271" i="2"/>
  <c r="X271" i="2"/>
  <c r="Y271" i="2"/>
  <c r="Z271" i="2"/>
  <c r="O272" i="2"/>
  <c r="AA272" i="2" s="1"/>
  <c r="Q272" i="2"/>
  <c r="R272" i="2"/>
  <c r="S272" i="2"/>
  <c r="T272" i="2"/>
  <c r="U272" i="2"/>
  <c r="V272" i="2"/>
  <c r="W272" i="2"/>
  <c r="X272" i="2"/>
  <c r="Y272" i="2"/>
  <c r="Z272" i="2"/>
  <c r="O273" i="2"/>
  <c r="AA273" i="2" s="1"/>
  <c r="Q273" i="2"/>
  <c r="R273" i="2"/>
  <c r="S273" i="2"/>
  <c r="T273" i="2"/>
  <c r="U273" i="2"/>
  <c r="V273" i="2"/>
  <c r="W273" i="2"/>
  <c r="X273" i="2"/>
  <c r="Y273" i="2"/>
  <c r="Z273" i="2"/>
  <c r="O274" i="2"/>
  <c r="AA274" i="2" s="1"/>
  <c r="Q274" i="2"/>
  <c r="R274" i="2"/>
  <c r="S274" i="2"/>
  <c r="T274" i="2"/>
  <c r="U274" i="2"/>
  <c r="V274" i="2"/>
  <c r="W274" i="2"/>
  <c r="X274" i="2"/>
  <c r="Y274" i="2"/>
  <c r="Z274" i="2"/>
  <c r="O275" i="2"/>
  <c r="AA275" i="2" s="1"/>
  <c r="Q275" i="2"/>
  <c r="R275" i="2"/>
  <c r="S275" i="2"/>
  <c r="T275" i="2"/>
  <c r="U275" i="2"/>
  <c r="V275" i="2"/>
  <c r="W275" i="2"/>
  <c r="X275" i="2"/>
  <c r="Y275" i="2"/>
  <c r="Z275" i="2"/>
  <c r="O276" i="2"/>
  <c r="AA276" i="2" s="1"/>
  <c r="Q276" i="2"/>
  <c r="R276" i="2"/>
  <c r="S276" i="2"/>
  <c r="T276" i="2"/>
  <c r="U276" i="2"/>
  <c r="V276" i="2"/>
  <c r="W276" i="2"/>
  <c r="X276" i="2"/>
  <c r="Y276" i="2"/>
  <c r="Z276" i="2"/>
  <c r="O277" i="2"/>
  <c r="AA277" i="2" s="1"/>
  <c r="Q277" i="2"/>
  <c r="R277" i="2"/>
  <c r="S277" i="2"/>
  <c r="T277" i="2"/>
  <c r="U277" i="2"/>
  <c r="V277" i="2"/>
  <c r="W277" i="2"/>
  <c r="X277" i="2"/>
  <c r="Y277" i="2"/>
  <c r="Z277" i="2"/>
  <c r="O278" i="2"/>
  <c r="AA278" i="2" s="1"/>
  <c r="Q278" i="2"/>
  <c r="R278" i="2"/>
  <c r="S278" i="2"/>
  <c r="T278" i="2"/>
  <c r="U278" i="2"/>
  <c r="V278" i="2"/>
  <c r="W278" i="2"/>
  <c r="X278" i="2"/>
  <c r="Y278" i="2"/>
  <c r="Z278" i="2"/>
  <c r="O279" i="2"/>
  <c r="AA279" i="2" s="1"/>
  <c r="Q279" i="2"/>
  <c r="R279" i="2"/>
  <c r="S279" i="2"/>
  <c r="T279" i="2"/>
  <c r="U279" i="2"/>
  <c r="V279" i="2"/>
  <c r="W279" i="2"/>
  <c r="X279" i="2"/>
  <c r="Y279" i="2"/>
  <c r="Z279" i="2"/>
  <c r="O280" i="2"/>
  <c r="AA280" i="2" s="1"/>
  <c r="Q280" i="2"/>
  <c r="R280" i="2"/>
  <c r="S280" i="2"/>
  <c r="T280" i="2"/>
  <c r="U280" i="2"/>
  <c r="V280" i="2"/>
  <c r="W280" i="2"/>
  <c r="X280" i="2"/>
  <c r="Y280" i="2"/>
  <c r="Z280" i="2"/>
  <c r="O281" i="2"/>
  <c r="AA281" i="2" s="1"/>
  <c r="Q281" i="2"/>
  <c r="R281" i="2"/>
  <c r="S281" i="2"/>
  <c r="T281" i="2"/>
  <c r="U281" i="2"/>
  <c r="V281" i="2"/>
  <c r="W281" i="2"/>
  <c r="X281" i="2"/>
  <c r="Y281" i="2"/>
  <c r="Z281" i="2"/>
  <c r="O282" i="2"/>
  <c r="AA282" i="2" s="1"/>
  <c r="Q282" i="2"/>
  <c r="R282" i="2"/>
  <c r="S282" i="2"/>
  <c r="T282" i="2"/>
  <c r="U282" i="2"/>
  <c r="V282" i="2"/>
  <c r="W282" i="2"/>
  <c r="X282" i="2"/>
  <c r="Y282" i="2"/>
  <c r="Z282" i="2"/>
  <c r="O283" i="2"/>
  <c r="AA283" i="2" s="1"/>
  <c r="Q283" i="2"/>
  <c r="R283" i="2"/>
  <c r="S283" i="2"/>
  <c r="T283" i="2"/>
  <c r="U283" i="2"/>
  <c r="V283" i="2"/>
  <c r="W283" i="2"/>
  <c r="X283" i="2"/>
  <c r="Y283" i="2"/>
  <c r="Z283" i="2"/>
  <c r="O284" i="2"/>
  <c r="AA284" i="2" s="1"/>
  <c r="Q284" i="2"/>
  <c r="R284" i="2"/>
  <c r="S284" i="2"/>
  <c r="T284" i="2"/>
  <c r="U284" i="2"/>
  <c r="V284" i="2"/>
  <c r="W284" i="2"/>
  <c r="X284" i="2"/>
  <c r="Y284" i="2"/>
  <c r="Z284" i="2"/>
  <c r="O285" i="2"/>
  <c r="AA285" i="2" s="1"/>
  <c r="Q285" i="2"/>
  <c r="R285" i="2"/>
  <c r="S285" i="2"/>
  <c r="T285" i="2"/>
  <c r="U285" i="2"/>
  <c r="V285" i="2"/>
  <c r="W285" i="2"/>
  <c r="X285" i="2"/>
  <c r="Y285" i="2"/>
  <c r="Z285" i="2"/>
  <c r="O286" i="2"/>
  <c r="AA286" i="2" s="1"/>
  <c r="Q286" i="2"/>
  <c r="R286" i="2"/>
  <c r="S286" i="2"/>
  <c r="T286" i="2"/>
  <c r="U286" i="2"/>
  <c r="V286" i="2"/>
  <c r="W286" i="2"/>
  <c r="X286" i="2"/>
  <c r="Y286" i="2"/>
  <c r="Z286" i="2"/>
  <c r="O287" i="2"/>
  <c r="AA287" i="2" s="1"/>
  <c r="Q287" i="2"/>
  <c r="R287" i="2"/>
  <c r="S287" i="2"/>
  <c r="T287" i="2"/>
  <c r="U287" i="2"/>
  <c r="V287" i="2"/>
  <c r="W287" i="2"/>
  <c r="X287" i="2"/>
  <c r="Y287" i="2"/>
  <c r="Z287" i="2"/>
  <c r="O288" i="2"/>
  <c r="AA288" i="2" s="1"/>
  <c r="Q288" i="2"/>
  <c r="R288" i="2"/>
  <c r="S288" i="2"/>
  <c r="T288" i="2"/>
  <c r="U288" i="2"/>
  <c r="V288" i="2"/>
  <c r="W288" i="2"/>
  <c r="X288" i="2"/>
  <c r="Y288" i="2"/>
  <c r="Z288" i="2"/>
  <c r="O289" i="2"/>
  <c r="AA289" i="2" s="1"/>
  <c r="Q289" i="2"/>
  <c r="R289" i="2"/>
  <c r="S289" i="2"/>
  <c r="T289" i="2"/>
  <c r="U289" i="2"/>
  <c r="V289" i="2"/>
  <c r="W289" i="2"/>
  <c r="X289" i="2"/>
  <c r="Y289" i="2"/>
  <c r="Z289" i="2"/>
  <c r="O290" i="2"/>
  <c r="AA290" i="2" s="1"/>
  <c r="Q290" i="2"/>
  <c r="R290" i="2"/>
  <c r="S290" i="2"/>
  <c r="T290" i="2"/>
  <c r="U290" i="2"/>
  <c r="V290" i="2"/>
  <c r="W290" i="2"/>
  <c r="X290" i="2"/>
  <c r="Y290" i="2"/>
  <c r="Z290" i="2"/>
  <c r="O291" i="2"/>
  <c r="AA291" i="2" s="1"/>
  <c r="Q291" i="2"/>
  <c r="R291" i="2"/>
  <c r="S291" i="2"/>
  <c r="T291" i="2"/>
  <c r="U291" i="2"/>
  <c r="V291" i="2"/>
  <c r="W291" i="2"/>
  <c r="X291" i="2"/>
  <c r="Y291" i="2"/>
  <c r="Z291" i="2"/>
  <c r="O292" i="2"/>
  <c r="AA292" i="2" s="1"/>
  <c r="Q292" i="2"/>
  <c r="R292" i="2"/>
  <c r="S292" i="2"/>
  <c r="T292" i="2"/>
  <c r="U292" i="2"/>
  <c r="V292" i="2"/>
  <c r="W292" i="2"/>
  <c r="X292" i="2"/>
  <c r="Y292" i="2"/>
  <c r="Z292" i="2"/>
  <c r="O293" i="2"/>
  <c r="AA293" i="2" s="1"/>
  <c r="Q293" i="2"/>
  <c r="R293" i="2"/>
  <c r="S293" i="2"/>
  <c r="T293" i="2"/>
  <c r="U293" i="2"/>
  <c r="V293" i="2"/>
  <c r="W293" i="2"/>
  <c r="X293" i="2"/>
  <c r="Y293" i="2"/>
  <c r="Z293" i="2"/>
  <c r="O294" i="2"/>
  <c r="AA294" i="2" s="1"/>
  <c r="Q294" i="2"/>
  <c r="R294" i="2"/>
  <c r="S294" i="2"/>
  <c r="T294" i="2"/>
  <c r="U294" i="2"/>
  <c r="V294" i="2"/>
  <c r="W294" i="2"/>
  <c r="X294" i="2"/>
  <c r="Y294" i="2"/>
  <c r="Z294" i="2"/>
  <c r="O295" i="2"/>
  <c r="AA295" i="2" s="1"/>
  <c r="Q295" i="2"/>
  <c r="R295" i="2"/>
  <c r="S295" i="2"/>
  <c r="T295" i="2"/>
  <c r="U295" i="2"/>
  <c r="V295" i="2"/>
  <c r="W295" i="2"/>
  <c r="X295" i="2"/>
  <c r="Y295" i="2"/>
  <c r="Z295" i="2"/>
  <c r="O296" i="2"/>
  <c r="AA296" i="2" s="1"/>
  <c r="Q296" i="2"/>
  <c r="R296" i="2"/>
  <c r="S296" i="2"/>
  <c r="T296" i="2"/>
  <c r="U296" i="2"/>
  <c r="V296" i="2"/>
  <c r="W296" i="2"/>
  <c r="X296" i="2"/>
  <c r="Y296" i="2"/>
  <c r="Z296" i="2"/>
  <c r="O297" i="2"/>
  <c r="AA297" i="2" s="1"/>
  <c r="Q297" i="2"/>
  <c r="R297" i="2"/>
  <c r="S297" i="2"/>
  <c r="T297" i="2"/>
  <c r="U297" i="2"/>
  <c r="V297" i="2"/>
  <c r="W297" i="2"/>
  <c r="X297" i="2"/>
  <c r="Y297" i="2"/>
  <c r="Z297" i="2"/>
  <c r="O298" i="2"/>
  <c r="AA298" i="2" s="1"/>
  <c r="Q298" i="2"/>
  <c r="R298" i="2"/>
  <c r="S298" i="2"/>
  <c r="T298" i="2"/>
  <c r="U298" i="2"/>
  <c r="V298" i="2"/>
  <c r="W298" i="2"/>
  <c r="X298" i="2"/>
  <c r="Y298" i="2"/>
  <c r="Z298" i="2"/>
  <c r="O299" i="2"/>
  <c r="AA299" i="2" s="1"/>
  <c r="Q299" i="2"/>
  <c r="R299" i="2"/>
  <c r="S299" i="2"/>
  <c r="T299" i="2"/>
  <c r="U299" i="2"/>
  <c r="V299" i="2"/>
  <c r="W299" i="2"/>
  <c r="X299" i="2"/>
  <c r="Y299" i="2"/>
  <c r="Z299" i="2"/>
  <c r="O300" i="2"/>
  <c r="AA300" i="2" s="1"/>
  <c r="Q300" i="2"/>
  <c r="R300" i="2"/>
  <c r="S300" i="2"/>
  <c r="T300" i="2"/>
  <c r="U300" i="2"/>
  <c r="V300" i="2"/>
  <c r="W300" i="2"/>
  <c r="X300" i="2"/>
  <c r="Y300" i="2"/>
  <c r="Z300" i="2"/>
  <c r="O301" i="2"/>
  <c r="AA301" i="2" s="1"/>
  <c r="Q301" i="2"/>
  <c r="R301" i="2"/>
  <c r="S301" i="2"/>
  <c r="T301" i="2"/>
  <c r="U301" i="2"/>
  <c r="V301" i="2"/>
  <c r="W301" i="2"/>
  <c r="X301" i="2"/>
  <c r="Y301" i="2"/>
  <c r="Z301" i="2"/>
  <c r="O302" i="2"/>
  <c r="AA302" i="2" s="1"/>
  <c r="Q302" i="2"/>
  <c r="R302" i="2"/>
  <c r="S302" i="2"/>
  <c r="T302" i="2"/>
  <c r="U302" i="2"/>
  <c r="V302" i="2"/>
  <c r="W302" i="2"/>
  <c r="X302" i="2"/>
  <c r="Y302" i="2"/>
  <c r="Z302" i="2"/>
  <c r="O303" i="2"/>
  <c r="AA303" i="2" s="1"/>
  <c r="Q303" i="2"/>
  <c r="R303" i="2"/>
  <c r="S303" i="2"/>
  <c r="T303" i="2"/>
  <c r="U303" i="2"/>
  <c r="V303" i="2"/>
  <c r="W303" i="2"/>
  <c r="X303" i="2"/>
  <c r="Y303" i="2"/>
  <c r="Z303" i="2"/>
  <c r="O304" i="2"/>
  <c r="AA304" i="2" s="1"/>
  <c r="Q304" i="2"/>
  <c r="R304" i="2"/>
  <c r="S304" i="2"/>
  <c r="T304" i="2"/>
  <c r="U304" i="2"/>
  <c r="V304" i="2"/>
  <c r="W304" i="2"/>
  <c r="X304" i="2"/>
  <c r="Y304" i="2"/>
  <c r="Z304" i="2"/>
  <c r="O305" i="2"/>
  <c r="AA305" i="2" s="1"/>
  <c r="Q305" i="2"/>
  <c r="R305" i="2"/>
  <c r="S305" i="2"/>
  <c r="T305" i="2"/>
  <c r="U305" i="2"/>
  <c r="V305" i="2"/>
  <c r="W305" i="2"/>
  <c r="X305" i="2"/>
  <c r="Y305" i="2"/>
  <c r="Z305" i="2"/>
  <c r="O306" i="2"/>
  <c r="AA306" i="2" s="1"/>
  <c r="Q306" i="2"/>
  <c r="R306" i="2"/>
  <c r="S306" i="2"/>
  <c r="T306" i="2"/>
  <c r="U306" i="2"/>
  <c r="V306" i="2"/>
  <c r="W306" i="2"/>
  <c r="X306" i="2"/>
  <c r="Y306" i="2"/>
  <c r="Z306" i="2"/>
  <c r="AA8" i="2"/>
  <c r="Q8" i="2"/>
  <c r="R8" i="2"/>
  <c r="S8" i="2"/>
  <c r="T8" i="2"/>
  <c r="U8" i="2"/>
  <c r="V8" i="2"/>
  <c r="W8" i="2"/>
  <c r="X8" i="2"/>
  <c r="Y8" i="2"/>
  <c r="Z8" i="2"/>
  <c r="G304" i="7" l="1"/>
  <c r="AF304" i="7" s="1"/>
  <c r="V304" i="7"/>
  <c r="W304" i="7"/>
  <c r="AH304" i="7" s="1"/>
  <c r="AI304" i="7" s="1"/>
  <c r="X304" i="7"/>
  <c r="Y304" i="7"/>
  <c r="Z304" i="7"/>
  <c r="AA304" i="7"/>
  <c r="AB304" i="7"/>
  <c r="AC304" i="7"/>
  <c r="AG304" i="7" s="1"/>
  <c r="AD304" i="7"/>
  <c r="AE304" i="7"/>
  <c r="G303" i="7"/>
  <c r="AF303" i="7" s="1"/>
  <c r="V303" i="7"/>
  <c r="W303" i="7"/>
  <c r="AH303" i="7" s="1"/>
  <c r="AI303" i="7" s="1"/>
  <c r="X303" i="7"/>
  <c r="Y303" i="7"/>
  <c r="Z303" i="7"/>
  <c r="AA303" i="7"/>
  <c r="AB303" i="7"/>
  <c r="AC303" i="7"/>
  <c r="AG303" i="7" s="1"/>
  <c r="AD303" i="7"/>
  <c r="AE303" i="7"/>
  <c r="G301" i="7"/>
  <c r="AF301" i="7" s="1"/>
  <c r="V301" i="7"/>
  <c r="W301" i="7"/>
  <c r="AH301" i="7" s="1"/>
  <c r="AI301" i="7" s="1"/>
  <c r="X301" i="7"/>
  <c r="Y301" i="7"/>
  <c r="Z301" i="7"/>
  <c r="AA301" i="7"/>
  <c r="AB301" i="7"/>
  <c r="AC301" i="7"/>
  <c r="AG301" i="7" s="1"/>
  <c r="AD301" i="7"/>
  <c r="AE301" i="7"/>
  <c r="G300" i="7"/>
  <c r="AF300" i="7" s="1"/>
  <c r="V300" i="7"/>
  <c r="W300" i="7"/>
  <c r="AH300" i="7" s="1"/>
  <c r="AI300" i="7" s="1"/>
  <c r="X300" i="7"/>
  <c r="Y300" i="7"/>
  <c r="Z300" i="7"/>
  <c r="AA300" i="7"/>
  <c r="AB300" i="7"/>
  <c r="AC300" i="7"/>
  <c r="AG300" i="7" s="1"/>
  <c r="AD300" i="7"/>
  <c r="AE300" i="7"/>
  <c r="G299" i="7"/>
  <c r="AF299" i="7" s="1"/>
  <c r="V299" i="7"/>
  <c r="W299" i="7"/>
  <c r="AH299" i="7" s="1"/>
  <c r="AI299" i="7" s="1"/>
  <c r="X299" i="7"/>
  <c r="Y299" i="7"/>
  <c r="Z299" i="7"/>
  <c r="AA299" i="7"/>
  <c r="AB299" i="7"/>
  <c r="AC299" i="7"/>
  <c r="AG299" i="7" s="1"/>
  <c r="AD299" i="7"/>
  <c r="AE299" i="7"/>
  <c r="G298" i="7"/>
  <c r="AF298" i="7" s="1"/>
  <c r="V298" i="7"/>
  <c r="W298" i="7"/>
  <c r="AH298" i="7" s="1"/>
  <c r="AI298" i="7" s="1"/>
  <c r="X298" i="7"/>
  <c r="Y298" i="7"/>
  <c r="Z298" i="7"/>
  <c r="AA298" i="7"/>
  <c r="AB298" i="7"/>
  <c r="AC298" i="7"/>
  <c r="AG298" i="7" s="1"/>
  <c r="AD298" i="7"/>
  <c r="AE298" i="7"/>
  <c r="G297" i="7"/>
  <c r="AF297" i="7" s="1"/>
  <c r="V297" i="7"/>
  <c r="W297" i="7"/>
  <c r="AH297" i="7" s="1"/>
  <c r="AI297" i="7" s="1"/>
  <c r="X297" i="7"/>
  <c r="Y297" i="7"/>
  <c r="Z297" i="7"/>
  <c r="AA297" i="7"/>
  <c r="AB297" i="7"/>
  <c r="AC297" i="7"/>
  <c r="AG297" i="7" s="1"/>
  <c r="AD297" i="7"/>
  <c r="AE297" i="7"/>
  <c r="G296" i="7"/>
  <c r="AF296" i="7" s="1"/>
  <c r="V296" i="7"/>
  <c r="W296" i="7"/>
  <c r="AH296" i="7" s="1"/>
  <c r="AI296" i="7" s="1"/>
  <c r="X296" i="7"/>
  <c r="Y296" i="7"/>
  <c r="Z296" i="7"/>
  <c r="AA296" i="7"/>
  <c r="AB296" i="7"/>
  <c r="AC296" i="7"/>
  <c r="AG296" i="7" s="1"/>
  <c r="AD296" i="7"/>
  <c r="AE296" i="7"/>
  <c r="G295" i="7"/>
  <c r="AF295" i="7" s="1"/>
  <c r="V295" i="7"/>
  <c r="W295" i="7"/>
  <c r="AH295" i="7" s="1"/>
  <c r="AI295" i="7" s="1"/>
  <c r="X295" i="7"/>
  <c r="Y295" i="7"/>
  <c r="Z295" i="7"/>
  <c r="AA295" i="7"/>
  <c r="AB295" i="7"/>
  <c r="AC295" i="7"/>
  <c r="AG295" i="7" s="1"/>
  <c r="AD295" i="7"/>
  <c r="AE295" i="7"/>
  <c r="G294" i="7"/>
  <c r="AF294" i="7" s="1"/>
  <c r="V294" i="7"/>
  <c r="W294" i="7"/>
  <c r="AH294" i="7" s="1"/>
  <c r="AI294" i="7" s="1"/>
  <c r="X294" i="7"/>
  <c r="Y294" i="7"/>
  <c r="Z294" i="7"/>
  <c r="AA294" i="7"/>
  <c r="AB294" i="7"/>
  <c r="AC294" i="7"/>
  <c r="AG294" i="7" s="1"/>
  <c r="AD294" i="7"/>
  <c r="AE294" i="7"/>
  <c r="G293" i="7"/>
  <c r="AF293" i="7" s="1"/>
  <c r="V293" i="7"/>
  <c r="W293" i="7"/>
  <c r="AH293" i="7" s="1"/>
  <c r="AI293" i="7" s="1"/>
  <c r="X293" i="7"/>
  <c r="Y293" i="7"/>
  <c r="Z293" i="7"/>
  <c r="AA293" i="7"/>
  <c r="AB293" i="7"/>
  <c r="AC293" i="7"/>
  <c r="AG293" i="7" s="1"/>
  <c r="AD293" i="7"/>
  <c r="AE293" i="7"/>
  <c r="G292" i="7"/>
  <c r="AF292" i="7" s="1"/>
  <c r="V292" i="7"/>
  <c r="W292" i="7"/>
  <c r="AH292" i="7" s="1"/>
  <c r="AI292" i="7" s="1"/>
  <c r="X292" i="7"/>
  <c r="Y292" i="7"/>
  <c r="Z292" i="7"/>
  <c r="AA292" i="7"/>
  <c r="AB292" i="7"/>
  <c r="AC292" i="7"/>
  <c r="AG292" i="7" s="1"/>
  <c r="AD292" i="7"/>
  <c r="AE292" i="7"/>
  <c r="G291" i="7"/>
  <c r="AF291" i="7" s="1"/>
  <c r="V291" i="7"/>
  <c r="W291" i="7"/>
  <c r="AH291" i="7" s="1"/>
  <c r="AI291" i="7" s="1"/>
  <c r="X291" i="7"/>
  <c r="Y291" i="7"/>
  <c r="Z291" i="7"/>
  <c r="AA291" i="7"/>
  <c r="AB291" i="7"/>
  <c r="AC291" i="7"/>
  <c r="AG291" i="7" s="1"/>
  <c r="AD291" i="7"/>
  <c r="AE291" i="7"/>
  <c r="G290" i="7"/>
  <c r="AF290" i="7" s="1"/>
  <c r="V290" i="7"/>
  <c r="W290" i="7"/>
  <c r="AH290" i="7" s="1"/>
  <c r="AI290" i="7" s="1"/>
  <c r="X290" i="7"/>
  <c r="Y290" i="7"/>
  <c r="Z290" i="7"/>
  <c r="AA290" i="7"/>
  <c r="AB290" i="7"/>
  <c r="AC290" i="7"/>
  <c r="AG290" i="7" s="1"/>
  <c r="AD290" i="7"/>
  <c r="AE290" i="7"/>
  <c r="G289" i="7"/>
  <c r="AF289" i="7" s="1"/>
  <c r="V289" i="7"/>
  <c r="W289" i="7"/>
  <c r="AH289" i="7" s="1"/>
  <c r="AI289" i="7" s="1"/>
  <c r="X289" i="7"/>
  <c r="Y289" i="7"/>
  <c r="Z289" i="7"/>
  <c r="AA289" i="7"/>
  <c r="AB289" i="7"/>
  <c r="AC289" i="7"/>
  <c r="AG289" i="7" s="1"/>
  <c r="AD289" i="7"/>
  <c r="AE289" i="7"/>
  <c r="G288" i="7"/>
  <c r="AF288" i="7" s="1"/>
  <c r="V288" i="7"/>
  <c r="W288" i="7"/>
  <c r="AH288" i="7" s="1"/>
  <c r="AI288" i="7" s="1"/>
  <c r="X288" i="7"/>
  <c r="Y288" i="7"/>
  <c r="Z288" i="7"/>
  <c r="AA288" i="7"/>
  <c r="AB288" i="7"/>
  <c r="AC288" i="7"/>
  <c r="AG288" i="7" s="1"/>
  <c r="AD288" i="7"/>
  <c r="AE288" i="7"/>
  <c r="G287" i="7"/>
  <c r="AF287" i="7" s="1"/>
  <c r="V287" i="7"/>
  <c r="W287" i="7"/>
  <c r="AH287" i="7" s="1"/>
  <c r="AI287" i="7" s="1"/>
  <c r="X287" i="7"/>
  <c r="Y287" i="7"/>
  <c r="Z287" i="7"/>
  <c r="AA287" i="7"/>
  <c r="AB287" i="7"/>
  <c r="AC287" i="7"/>
  <c r="AG287" i="7" s="1"/>
  <c r="AD287" i="7"/>
  <c r="AE287" i="7"/>
  <c r="G285" i="7"/>
  <c r="AF285" i="7" s="1"/>
  <c r="V285" i="7"/>
  <c r="W285" i="7"/>
  <c r="AH285" i="7" s="1"/>
  <c r="AI285" i="7" s="1"/>
  <c r="X285" i="7"/>
  <c r="Y285" i="7"/>
  <c r="Z285" i="7"/>
  <c r="AA285" i="7"/>
  <c r="AB285" i="7"/>
  <c r="AC285" i="7"/>
  <c r="AG285" i="7" s="1"/>
  <c r="AD285" i="7"/>
  <c r="AE285" i="7"/>
  <c r="G306" i="7"/>
  <c r="AF306" i="7" s="1"/>
  <c r="V306" i="7"/>
  <c r="W306" i="7"/>
  <c r="AH306" i="7" s="1"/>
  <c r="AI306" i="7" s="1"/>
  <c r="X306" i="7"/>
  <c r="Y306" i="7"/>
  <c r="Z306" i="7"/>
  <c r="AA306" i="7"/>
  <c r="AB306" i="7"/>
  <c r="AC306" i="7"/>
  <c r="AG306" i="7" s="1"/>
  <c r="AD306" i="7"/>
  <c r="AE306" i="7"/>
  <c r="G305" i="7"/>
  <c r="AF305" i="7" s="1"/>
  <c r="V305" i="7"/>
  <c r="W305" i="7"/>
  <c r="AH305" i="7" s="1"/>
  <c r="AI305" i="7" s="1"/>
  <c r="X305" i="7"/>
  <c r="Y305" i="7"/>
  <c r="Z305" i="7"/>
  <c r="AA305" i="7"/>
  <c r="AB305" i="7"/>
  <c r="AC305" i="7"/>
  <c r="AG305" i="7" s="1"/>
  <c r="AD305" i="7"/>
  <c r="AE305" i="7"/>
  <c r="AJ291" i="7" l="1"/>
  <c r="AK291" i="7" s="1"/>
  <c r="AJ295" i="7"/>
  <c r="AK295" i="7" s="1"/>
  <c r="AJ299" i="7"/>
  <c r="AK299" i="7" s="1"/>
  <c r="AJ304" i="7"/>
  <c r="AJ305" i="7"/>
  <c r="AK305" i="7" s="1"/>
  <c r="AJ288" i="7"/>
  <c r="AK288" i="7" s="1"/>
  <c r="K116" i="9" s="1"/>
  <c r="AJ292" i="7"/>
  <c r="AJ296" i="7"/>
  <c r="AJ300" i="7"/>
  <c r="AK300" i="7" s="1"/>
  <c r="AJ287" i="7"/>
  <c r="AJ285" i="7"/>
  <c r="AK285" i="7" s="1"/>
  <c r="K113" i="9" s="1"/>
  <c r="AJ290" i="7"/>
  <c r="AJ294" i="7"/>
  <c r="AK294" i="7" s="1"/>
  <c r="AJ298" i="7"/>
  <c r="AK298" i="7" s="1"/>
  <c r="K126" i="9" s="1"/>
  <c r="AJ303" i="7"/>
  <c r="AK303" i="7" s="1"/>
  <c r="AJ306" i="7"/>
  <c r="AJ289" i="7"/>
  <c r="AJ293" i="7"/>
  <c r="AJ297" i="7"/>
  <c r="AJ301" i="7"/>
  <c r="G302" i="7"/>
  <c r="AF302" i="7" s="1"/>
  <c r="V302" i="7"/>
  <c r="W302" i="7"/>
  <c r="AH302" i="7" s="1"/>
  <c r="AI302" i="7" s="1"/>
  <c r="X302" i="7"/>
  <c r="Y302" i="7"/>
  <c r="Z302" i="7"/>
  <c r="AA302" i="7"/>
  <c r="AB302" i="7"/>
  <c r="AC302" i="7"/>
  <c r="AG302" i="7" s="1"/>
  <c r="AD302" i="7"/>
  <c r="AE302" i="7"/>
  <c r="G286" i="7"/>
  <c r="AF286" i="7" s="1"/>
  <c r="V286" i="7"/>
  <c r="W286" i="7"/>
  <c r="AH286" i="7" s="1"/>
  <c r="AI286" i="7" s="1"/>
  <c r="X286" i="7"/>
  <c r="Y286" i="7"/>
  <c r="Z286" i="7"/>
  <c r="AA286" i="7"/>
  <c r="AB286" i="7"/>
  <c r="AC286" i="7"/>
  <c r="AG286" i="7" s="1"/>
  <c r="AD286" i="7"/>
  <c r="AE286" i="7"/>
  <c r="G321" i="7"/>
  <c r="AF321" i="7" s="1"/>
  <c r="V321" i="7"/>
  <c r="W321" i="7"/>
  <c r="AH321" i="7" s="1"/>
  <c r="AI321" i="7" s="1"/>
  <c r="X321" i="7"/>
  <c r="Y321" i="7"/>
  <c r="Z321" i="7"/>
  <c r="AA321" i="7"/>
  <c r="AB321" i="7"/>
  <c r="AC321" i="7"/>
  <c r="AG321" i="7" s="1"/>
  <c r="AD321" i="7"/>
  <c r="AE321" i="7"/>
  <c r="G320" i="7"/>
  <c r="AF320" i="7" s="1"/>
  <c r="V320" i="7"/>
  <c r="W320" i="7"/>
  <c r="AH320" i="7" s="1"/>
  <c r="AI320" i="7" s="1"/>
  <c r="X320" i="7"/>
  <c r="Y320" i="7"/>
  <c r="Z320" i="7"/>
  <c r="AA320" i="7"/>
  <c r="AB320" i="7"/>
  <c r="AC320" i="7"/>
  <c r="AG320" i="7" s="1"/>
  <c r="AD320" i="7"/>
  <c r="AE320" i="7"/>
  <c r="G319" i="7"/>
  <c r="AF319" i="7" s="1"/>
  <c r="V319" i="7"/>
  <c r="W319" i="7"/>
  <c r="AH319" i="7" s="1"/>
  <c r="AI319" i="7" s="1"/>
  <c r="X319" i="7"/>
  <c r="Y319" i="7"/>
  <c r="Z319" i="7"/>
  <c r="AA319" i="7"/>
  <c r="AB319" i="7"/>
  <c r="AC319" i="7"/>
  <c r="AG319" i="7" s="1"/>
  <c r="AD319" i="7"/>
  <c r="AE319" i="7"/>
  <c r="G318" i="7"/>
  <c r="AF318" i="7" s="1"/>
  <c r="V318" i="7"/>
  <c r="W318" i="7"/>
  <c r="AH318" i="7" s="1"/>
  <c r="AI318" i="7" s="1"/>
  <c r="X318" i="7"/>
  <c r="Y318" i="7"/>
  <c r="Z318" i="7"/>
  <c r="AA318" i="7"/>
  <c r="AB318" i="7"/>
  <c r="AC318" i="7"/>
  <c r="AG318" i="7" s="1"/>
  <c r="AD318" i="7"/>
  <c r="AE318" i="7"/>
  <c r="G324" i="7"/>
  <c r="AF324" i="7" s="1"/>
  <c r="V324" i="7"/>
  <c r="W324" i="7"/>
  <c r="AH324" i="7" s="1"/>
  <c r="AI324" i="7" s="1"/>
  <c r="X324" i="7"/>
  <c r="Y324" i="7"/>
  <c r="Z324" i="7"/>
  <c r="AA324" i="7"/>
  <c r="AB324" i="7"/>
  <c r="AC324" i="7"/>
  <c r="AG324" i="7" s="1"/>
  <c r="AD324" i="7"/>
  <c r="AE324" i="7"/>
  <c r="G323" i="7"/>
  <c r="AF323" i="7" s="1"/>
  <c r="V323" i="7"/>
  <c r="W323" i="7"/>
  <c r="AH323" i="7" s="1"/>
  <c r="AI323" i="7" s="1"/>
  <c r="X323" i="7"/>
  <c r="Y323" i="7"/>
  <c r="Z323" i="7"/>
  <c r="AA323" i="7"/>
  <c r="AB323" i="7"/>
  <c r="AC323" i="7"/>
  <c r="AG323" i="7" s="1"/>
  <c r="AD323" i="7"/>
  <c r="AE323" i="7"/>
  <c r="G313" i="7"/>
  <c r="AF313" i="7" s="1"/>
  <c r="V313" i="7"/>
  <c r="W313" i="7"/>
  <c r="AH313" i="7" s="1"/>
  <c r="AI313" i="7" s="1"/>
  <c r="X313" i="7"/>
  <c r="Y313" i="7"/>
  <c r="Z313" i="7"/>
  <c r="AA313" i="7"/>
  <c r="AB313" i="7"/>
  <c r="AC313" i="7"/>
  <c r="AG313" i="7" s="1"/>
  <c r="AD313" i="7"/>
  <c r="AE313" i="7"/>
  <c r="G312" i="7"/>
  <c r="AF312" i="7" s="1"/>
  <c r="V312" i="7"/>
  <c r="W312" i="7"/>
  <c r="AH312" i="7" s="1"/>
  <c r="AI312" i="7" s="1"/>
  <c r="X312" i="7"/>
  <c r="Y312" i="7"/>
  <c r="Z312" i="7"/>
  <c r="AA312" i="7"/>
  <c r="AB312" i="7"/>
  <c r="AC312" i="7"/>
  <c r="AG312" i="7" s="1"/>
  <c r="AD312" i="7"/>
  <c r="AE312" i="7"/>
  <c r="G279" i="7"/>
  <c r="AF279" i="7" s="1"/>
  <c r="V279" i="7"/>
  <c r="W279" i="7"/>
  <c r="AH279" i="7" s="1"/>
  <c r="AI279" i="7" s="1"/>
  <c r="X279" i="7"/>
  <c r="Y279" i="7"/>
  <c r="Z279" i="7"/>
  <c r="AA279" i="7"/>
  <c r="AB279" i="7"/>
  <c r="AC279" i="7"/>
  <c r="AG279" i="7" s="1"/>
  <c r="AD279" i="7"/>
  <c r="AE279" i="7"/>
  <c r="G314" i="7"/>
  <c r="AF314" i="7" s="1"/>
  <c r="V314" i="7"/>
  <c r="W314" i="7"/>
  <c r="AH314" i="7" s="1"/>
  <c r="AI314" i="7" s="1"/>
  <c r="X314" i="7"/>
  <c r="Y314" i="7"/>
  <c r="Z314" i="7"/>
  <c r="AA314" i="7"/>
  <c r="AB314" i="7"/>
  <c r="AC314" i="7"/>
  <c r="AG314" i="7" s="1"/>
  <c r="AD314" i="7"/>
  <c r="AE314" i="7"/>
  <c r="G309" i="7"/>
  <c r="AF309" i="7" s="1"/>
  <c r="V309" i="7"/>
  <c r="W309" i="7"/>
  <c r="AH309" i="7" s="1"/>
  <c r="AI309" i="7" s="1"/>
  <c r="X309" i="7"/>
  <c r="Y309" i="7"/>
  <c r="Z309" i="7"/>
  <c r="AA309" i="7"/>
  <c r="AB309" i="7"/>
  <c r="AC309" i="7"/>
  <c r="AG309" i="7" s="1"/>
  <c r="AD309" i="7"/>
  <c r="AE309" i="7"/>
  <c r="G310" i="7"/>
  <c r="AF310" i="7" s="1"/>
  <c r="V310" i="7"/>
  <c r="W310" i="7"/>
  <c r="AH310" i="7" s="1"/>
  <c r="AI310" i="7" s="1"/>
  <c r="X310" i="7"/>
  <c r="Y310" i="7"/>
  <c r="Z310" i="7"/>
  <c r="AA310" i="7"/>
  <c r="AB310" i="7"/>
  <c r="AC310" i="7"/>
  <c r="AG310" i="7" s="1"/>
  <c r="AD310" i="7"/>
  <c r="AE310" i="7"/>
  <c r="G308" i="7"/>
  <c r="AF308" i="7" s="1"/>
  <c r="V308" i="7"/>
  <c r="W308" i="7"/>
  <c r="AH308" i="7" s="1"/>
  <c r="AI308" i="7" s="1"/>
  <c r="X308" i="7"/>
  <c r="Y308" i="7"/>
  <c r="Z308" i="7"/>
  <c r="AA308" i="7"/>
  <c r="AB308" i="7"/>
  <c r="AC308" i="7"/>
  <c r="AG308" i="7" s="1"/>
  <c r="AD308" i="7"/>
  <c r="AE308" i="7"/>
  <c r="K131" i="9" l="1"/>
  <c r="K14" i="21"/>
  <c r="K9" i="21"/>
  <c r="K123" i="9"/>
  <c r="K12" i="21"/>
  <c r="K127" i="9"/>
  <c r="K8" i="21"/>
  <c r="K122" i="9"/>
  <c r="K128" i="9"/>
  <c r="K13" i="21"/>
  <c r="K16" i="21"/>
  <c r="K133" i="9"/>
  <c r="K6" i="21"/>
  <c r="K119" i="9"/>
  <c r="AK297" i="7"/>
  <c r="AK301" i="7"/>
  <c r="K129" i="9" s="1"/>
  <c r="AK306" i="7"/>
  <c r="K134" i="9" s="1"/>
  <c r="AK296" i="7"/>
  <c r="AK293" i="7"/>
  <c r="K121" i="9" s="1"/>
  <c r="AK290" i="7"/>
  <c r="AK304" i="7"/>
  <c r="AK287" i="7"/>
  <c r="AK292" i="7"/>
  <c r="AK289" i="7"/>
  <c r="K117" i="9" s="1"/>
  <c r="S304" i="7"/>
  <c r="S303" i="7"/>
  <c r="S285" i="7"/>
  <c r="S291" i="7"/>
  <c r="S292" i="7"/>
  <c r="S297" i="7"/>
  <c r="S298" i="7"/>
  <c r="S287" i="7"/>
  <c r="S288" i="7"/>
  <c r="S293" i="7"/>
  <c r="S294" i="7"/>
  <c r="S299" i="7"/>
  <c r="S300" i="7"/>
  <c r="S305" i="7"/>
  <c r="S289" i="7"/>
  <c r="S290" i="7"/>
  <c r="S295" i="7"/>
  <c r="S296" i="7"/>
  <c r="S301" i="7"/>
  <c r="S306" i="7"/>
  <c r="AJ309" i="7"/>
  <c r="AJ313" i="7"/>
  <c r="AJ319" i="7"/>
  <c r="AJ302" i="7"/>
  <c r="AJ310" i="7"/>
  <c r="AJ312" i="7"/>
  <c r="AK312" i="7" s="1"/>
  <c r="K254" i="9" s="1"/>
  <c r="AJ318" i="7"/>
  <c r="AK318" i="7" s="1"/>
  <c r="K195" i="9" s="1"/>
  <c r="AJ286" i="7"/>
  <c r="AK286" i="7" s="1"/>
  <c r="K114" i="9" s="1"/>
  <c r="AJ308" i="7"/>
  <c r="AJ279" i="7"/>
  <c r="S279" i="7" s="1"/>
  <c r="AJ324" i="7"/>
  <c r="AK324" i="7" s="1"/>
  <c r="K201" i="9" s="1"/>
  <c r="AJ321" i="7"/>
  <c r="AJ314" i="7"/>
  <c r="AJ323" i="7"/>
  <c r="AK323" i="7" s="1"/>
  <c r="K200" i="9" s="1"/>
  <c r="AJ320" i="7"/>
  <c r="AK320" i="7" s="1"/>
  <c r="K197" i="9" s="1"/>
  <c r="G267" i="7"/>
  <c r="AF267" i="7" s="1"/>
  <c r="V267" i="7"/>
  <c r="W267" i="7"/>
  <c r="AH267" i="7" s="1"/>
  <c r="AI267" i="7" s="1"/>
  <c r="X267" i="7"/>
  <c r="Y267" i="7"/>
  <c r="Z267" i="7"/>
  <c r="AA267" i="7"/>
  <c r="AB267" i="7"/>
  <c r="AC267" i="7"/>
  <c r="AG267" i="7" s="1"/>
  <c r="AD267" i="7"/>
  <c r="AE267" i="7"/>
  <c r="G273" i="7"/>
  <c r="AF273" i="7" s="1"/>
  <c r="V273" i="7"/>
  <c r="W273" i="7"/>
  <c r="AH273" i="7" s="1"/>
  <c r="AI273" i="7" s="1"/>
  <c r="X273" i="7"/>
  <c r="Y273" i="7"/>
  <c r="Z273" i="7"/>
  <c r="AA273" i="7"/>
  <c r="AB273" i="7"/>
  <c r="AC273" i="7"/>
  <c r="AG273" i="7" s="1"/>
  <c r="AD273" i="7"/>
  <c r="AE273" i="7"/>
  <c r="G252" i="7"/>
  <c r="AF252" i="7" s="1"/>
  <c r="V252" i="7"/>
  <c r="W252" i="7"/>
  <c r="AH252" i="7" s="1"/>
  <c r="AI252" i="7" s="1"/>
  <c r="X252" i="7"/>
  <c r="Y252" i="7"/>
  <c r="Z252" i="7"/>
  <c r="AA252" i="7"/>
  <c r="AB252" i="7"/>
  <c r="AC252" i="7"/>
  <c r="AG252" i="7" s="1"/>
  <c r="AD252" i="7"/>
  <c r="AE252" i="7"/>
  <c r="G227" i="7"/>
  <c r="AF227" i="7" s="1"/>
  <c r="V227" i="7"/>
  <c r="W227" i="7"/>
  <c r="AH227" i="7" s="1"/>
  <c r="AI227" i="7" s="1"/>
  <c r="X227" i="7"/>
  <c r="Y227" i="7"/>
  <c r="Z227" i="7"/>
  <c r="AA227" i="7"/>
  <c r="AB227" i="7"/>
  <c r="AC227" i="7"/>
  <c r="AG227" i="7" s="1"/>
  <c r="AD227" i="7"/>
  <c r="AE227" i="7"/>
  <c r="K118" i="9" l="1"/>
  <c r="K5" i="21"/>
  <c r="K7" i="21"/>
  <c r="K120" i="9"/>
  <c r="K15" i="21"/>
  <c r="K132" i="9"/>
  <c r="K115" i="9"/>
  <c r="K4" i="21"/>
  <c r="K10" i="21"/>
  <c r="K124" i="9"/>
  <c r="AK309" i="7"/>
  <c r="K251" i="9" s="1"/>
  <c r="AK302" i="7"/>
  <c r="K130" i="9" s="1"/>
  <c r="AK319" i="7"/>
  <c r="K196" i="9" s="1"/>
  <c r="AK321" i="7"/>
  <c r="K198" i="9" s="1"/>
  <c r="AK310" i="7"/>
  <c r="K252" i="9" s="1"/>
  <c r="AK313" i="7"/>
  <c r="K255" i="9" s="1"/>
  <c r="AK314" i="7"/>
  <c r="K256" i="9" s="1"/>
  <c r="AK308" i="7"/>
  <c r="K250" i="9" s="1"/>
  <c r="S323" i="7"/>
  <c r="S286" i="7"/>
  <c r="S312" i="7"/>
  <c r="S318" i="7"/>
  <c r="S302" i="7"/>
  <c r="S320" i="7"/>
  <c r="S321" i="7"/>
  <c r="S319" i="7"/>
  <c r="S324" i="7"/>
  <c r="S310" i="7"/>
  <c r="S313" i="7"/>
  <c r="S314" i="7"/>
  <c r="S309" i="7"/>
  <c r="S308" i="7"/>
  <c r="AJ227" i="7"/>
  <c r="S227" i="7" s="1"/>
  <c r="AJ252" i="7"/>
  <c r="S252" i="7" s="1"/>
  <c r="AJ267" i="7"/>
  <c r="S267" i="7" s="1"/>
  <c r="AJ273" i="7"/>
  <c r="S273" i="7" s="1"/>
  <c r="G277" i="7"/>
  <c r="AF277" i="7" s="1"/>
  <c r="V277" i="7"/>
  <c r="W277" i="7"/>
  <c r="AH277" i="7" s="1"/>
  <c r="AI277" i="7" s="1"/>
  <c r="X277" i="7"/>
  <c r="Y277" i="7"/>
  <c r="Z277" i="7"/>
  <c r="AA277" i="7"/>
  <c r="AB277" i="7"/>
  <c r="AC277" i="7"/>
  <c r="AG277" i="7" s="1"/>
  <c r="AD277" i="7"/>
  <c r="AE277" i="7"/>
  <c r="G280" i="7"/>
  <c r="AF280" i="7" s="1"/>
  <c r="V280" i="7"/>
  <c r="W280" i="7"/>
  <c r="AH280" i="7" s="1"/>
  <c r="AI280" i="7" s="1"/>
  <c r="X280" i="7"/>
  <c r="Y280" i="7"/>
  <c r="Z280" i="7"/>
  <c r="AA280" i="7"/>
  <c r="AB280" i="7"/>
  <c r="AC280" i="7"/>
  <c r="AG280" i="7" s="1"/>
  <c r="AD280" i="7"/>
  <c r="AE280" i="7"/>
  <c r="G278" i="7"/>
  <c r="AF278" i="7" s="1"/>
  <c r="V278" i="7"/>
  <c r="W278" i="7"/>
  <c r="AH278" i="7" s="1"/>
  <c r="AI278" i="7" s="1"/>
  <c r="X278" i="7"/>
  <c r="Y278" i="7"/>
  <c r="Z278" i="7"/>
  <c r="AA278" i="7"/>
  <c r="AB278" i="7"/>
  <c r="AC278" i="7"/>
  <c r="AG278" i="7" s="1"/>
  <c r="AD278" i="7"/>
  <c r="AE278" i="7"/>
  <c r="G276" i="7"/>
  <c r="AF276" i="7" s="1"/>
  <c r="V276" i="7"/>
  <c r="W276" i="7"/>
  <c r="AH276" i="7" s="1"/>
  <c r="AI276" i="7" s="1"/>
  <c r="X276" i="7"/>
  <c r="Y276" i="7"/>
  <c r="Z276" i="7"/>
  <c r="AA276" i="7"/>
  <c r="AB276" i="7"/>
  <c r="AC276" i="7"/>
  <c r="AG276" i="7" s="1"/>
  <c r="AD276" i="7"/>
  <c r="AE276" i="7"/>
  <c r="G272" i="7"/>
  <c r="AF272" i="7" s="1"/>
  <c r="V272" i="7"/>
  <c r="W272" i="7"/>
  <c r="AH272" i="7" s="1"/>
  <c r="AI272" i="7" s="1"/>
  <c r="X272" i="7"/>
  <c r="Y272" i="7"/>
  <c r="Z272" i="7"/>
  <c r="AA272" i="7"/>
  <c r="AB272" i="7"/>
  <c r="AC272" i="7"/>
  <c r="AG272" i="7" s="1"/>
  <c r="AD272" i="7"/>
  <c r="AE272" i="7"/>
  <c r="G251" i="7"/>
  <c r="AF251" i="7" s="1"/>
  <c r="V251" i="7"/>
  <c r="W251" i="7"/>
  <c r="AH251" i="7" s="1"/>
  <c r="AI251" i="7" s="1"/>
  <c r="X251" i="7"/>
  <c r="Y251" i="7"/>
  <c r="Z251" i="7"/>
  <c r="AA251" i="7"/>
  <c r="AB251" i="7"/>
  <c r="AC251" i="7"/>
  <c r="AG251" i="7" s="1"/>
  <c r="AD251" i="7"/>
  <c r="AE251" i="7"/>
  <c r="G249" i="7"/>
  <c r="AF249" i="7" s="1"/>
  <c r="V249" i="7"/>
  <c r="W249" i="7"/>
  <c r="AH249" i="7" s="1"/>
  <c r="AI249" i="7" s="1"/>
  <c r="X249" i="7"/>
  <c r="Y249" i="7"/>
  <c r="Z249" i="7"/>
  <c r="AA249" i="7"/>
  <c r="AB249" i="7"/>
  <c r="AC249" i="7"/>
  <c r="AG249" i="7" s="1"/>
  <c r="AD249" i="7"/>
  <c r="AE249" i="7"/>
  <c r="G243" i="7"/>
  <c r="AF243" i="7" s="1"/>
  <c r="V243" i="7"/>
  <c r="W243" i="7"/>
  <c r="AH243" i="7" s="1"/>
  <c r="AI243" i="7" s="1"/>
  <c r="X243" i="7"/>
  <c r="Y243" i="7"/>
  <c r="Z243" i="7"/>
  <c r="AA243" i="7"/>
  <c r="AB243" i="7"/>
  <c r="AC243" i="7"/>
  <c r="AG243" i="7" s="1"/>
  <c r="AD243" i="7"/>
  <c r="AE243" i="7"/>
  <c r="G241" i="7"/>
  <c r="AF241" i="7" s="1"/>
  <c r="V241" i="7"/>
  <c r="W241" i="7"/>
  <c r="AH241" i="7" s="1"/>
  <c r="AI241" i="7" s="1"/>
  <c r="X241" i="7"/>
  <c r="Y241" i="7"/>
  <c r="Z241" i="7"/>
  <c r="AA241" i="7"/>
  <c r="AB241" i="7"/>
  <c r="AC241" i="7"/>
  <c r="AG241" i="7" s="1"/>
  <c r="AD241" i="7"/>
  <c r="AE241" i="7"/>
  <c r="G178" i="7"/>
  <c r="AF178" i="7" s="1"/>
  <c r="V178" i="7"/>
  <c r="W178" i="7"/>
  <c r="AH178" i="7" s="1"/>
  <c r="AI178" i="7" s="1"/>
  <c r="X178" i="7"/>
  <c r="Y178" i="7"/>
  <c r="Z178" i="7"/>
  <c r="AA178" i="7"/>
  <c r="AB178" i="7"/>
  <c r="AC178" i="7"/>
  <c r="AG178" i="7" s="1"/>
  <c r="AD178" i="7"/>
  <c r="AE178" i="7"/>
  <c r="G233" i="7"/>
  <c r="AF233" i="7" s="1"/>
  <c r="V233" i="7"/>
  <c r="W233" i="7"/>
  <c r="AH233" i="7" s="1"/>
  <c r="AI233" i="7" s="1"/>
  <c r="X233" i="7"/>
  <c r="Y233" i="7"/>
  <c r="Z233" i="7"/>
  <c r="AA233" i="7"/>
  <c r="AB233" i="7"/>
  <c r="AC233" i="7"/>
  <c r="AG233" i="7" s="1"/>
  <c r="AD233" i="7"/>
  <c r="AE233" i="7"/>
  <c r="G194" i="7"/>
  <c r="AF194" i="7" s="1"/>
  <c r="V194" i="7"/>
  <c r="W194" i="7"/>
  <c r="AH194" i="7" s="1"/>
  <c r="AI194" i="7" s="1"/>
  <c r="X194" i="7"/>
  <c r="Y194" i="7"/>
  <c r="Z194" i="7"/>
  <c r="AA194" i="7"/>
  <c r="AB194" i="7"/>
  <c r="AC194" i="7"/>
  <c r="AG194" i="7" s="1"/>
  <c r="AD194" i="7"/>
  <c r="AE194" i="7"/>
  <c r="G218" i="7"/>
  <c r="AF218" i="7" s="1"/>
  <c r="V218" i="7"/>
  <c r="W218" i="7"/>
  <c r="AH218" i="7" s="1"/>
  <c r="AI218" i="7" s="1"/>
  <c r="X218" i="7"/>
  <c r="Y218" i="7"/>
  <c r="Z218" i="7"/>
  <c r="AA218" i="7"/>
  <c r="AB218" i="7"/>
  <c r="AC218" i="7"/>
  <c r="AG218" i="7" s="1"/>
  <c r="AD218" i="7"/>
  <c r="AE218" i="7"/>
  <c r="G195" i="7"/>
  <c r="AF195" i="7" s="1"/>
  <c r="V195" i="7"/>
  <c r="W195" i="7"/>
  <c r="AH195" i="7" s="1"/>
  <c r="AI195" i="7" s="1"/>
  <c r="X195" i="7"/>
  <c r="Y195" i="7"/>
  <c r="Z195" i="7"/>
  <c r="AA195" i="7"/>
  <c r="AB195" i="7"/>
  <c r="AC195" i="7"/>
  <c r="AG195" i="7" s="1"/>
  <c r="AD195" i="7"/>
  <c r="AE195" i="7"/>
  <c r="G236" i="7"/>
  <c r="AF236" i="7" s="1"/>
  <c r="V236" i="7"/>
  <c r="W236" i="7"/>
  <c r="AH236" i="7" s="1"/>
  <c r="AI236" i="7" s="1"/>
  <c r="X236" i="7"/>
  <c r="Y236" i="7"/>
  <c r="Z236" i="7"/>
  <c r="AA236" i="7"/>
  <c r="AB236" i="7"/>
  <c r="AC236" i="7"/>
  <c r="AG236" i="7" s="1"/>
  <c r="AD236" i="7"/>
  <c r="AE236" i="7"/>
  <c r="G235" i="7"/>
  <c r="AF235" i="7" s="1"/>
  <c r="V235" i="7"/>
  <c r="W235" i="7"/>
  <c r="AH235" i="7" s="1"/>
  <c r="AI235" i="7" s="1"/>
  <c r="X235" i="7"/>
  <c r="Y235" i="7"/>
  <c r="Z235" i="7"/>
  <c r="AA235" i="7"/>
  <c r="AB235" i="7"/>
  <c r="AC235" i="7"/>
  <c r="AG235" i="7" s="1"/>
  <c r="AD235" i="7"/>
  <c r="AE235" i="7"/>
  <c r="G207" i="7"/>
  <c r="AF207" i="7" s="1"/>
  <c r="V207" i="7"/>
  <c r="W207" i="7"/>
  <c r="AH207" i="7" s="1"/>
  <c r="AI207" i="7" s="1"/>
  <c r="X207" i="7"/>
  <c r="Y207" i="7"/>
  <c r="Z207" i="7"/>
  <c r="AA207" i="7"/>
  <c r="AB207" i="7"/>
  <c r="AC207" i="7"/>
  <c r="AG207" i="7" s="1"/>
  <c r="AD207" i="7"/>
  <c r="AE207" i="7"/>
  <c r="G226" i="7"/>
  <c r="AF226" i="7" s="1"/>
  <c r="V226" i="7"/>
  <c r="W226" i="7"/>
  <c r="AH226" i="7" s="1"/>
  <c r="AI226" i="7" s="1"/>
  <c r="X226" i="7"/>
  <c r="Y226" i="7"/>
  <c r="Z226" i="7"/>
  <c r="AA226" i="7"/>
  <c r="AB226" i="7"/>
  <c r="AC226" i="7"/>
  <c r="AG226" i="7" s="1"/>
  <c r="AD226" i="7"/>
  <c r="AE226" i="7"/>
  <c r="G208" i="7"/>
  <c r="AF208" i="7" s="1"/>
  <c r="V208" i="7"/>
  <c r="W208" i="7"/>
  <c r="AH208" i="7" s="1"/>
  <c r="AI208" i="7" s="1"/>
  <c r="X208" i="7"/>
  <c r="Y208" i="7"/>
  <c r="Z208" i="7"/>
  <c r="AA208" i="7"/>
  <c r="AB208" i="7"/>
  <c r="AC208" i="7"/>
  <c r="AG208" i="7" s="1"/>
  <c r="AD208" i="7"/>
  <c r="AE208" i="7"/>
  <c r="G176" i="7"/>
  <c r="AF176" i="7" s="1"/>
  <c r="V176" i="7"/>
  <c r="W176" i="7"/>
  <c r="AH176" i="7" s="1"/>
  <c r="AI176" i="7" s="1"/>
  <c r="X176" i="7"/>
  <c r="Y176" i="7"/>
  <c r="Z176" i="7"/>
  <c r="AA176" i="7"/>
  <c r="AB176" i="7"/>
  <c r="AC176" i="7"/>
  <c r="AG176" i="7" s="1"/>
  <c r="AD176" i="7"/>
  <c r="AE176" i="7"/>
  <c r="G204" i="7"/>
  <c r="AF204" i="7" s="1"/>
  <c r="V204" i="7"/>
  <c r="W204" i="7"/>
  <c r="AH204" i="7" s="1"/>
  <c r="AI204" i="7" s="1"/>
  <c r="X204" i="7"/>
  <c r="Y204" i="7"/>
  <c r="Z204" i="7"/>
  <c r="AA204" i="7"/>
  <c r="AB204" i="7"/>
  <c r="AC204" i="7"/>
  <c r="AG204" i="7" s="1"/>
  <c r="AD204" i="7"/>
  <c r="AE204" i="7"/>
  <c r="AJ251" i="7" l="1"/>
  <c r="S251" i="7" s="1"/>
  <c r="AJ280" i="7"/>
  <c r="S280" i="7" s="1"/>
  <c r="AJ278" i="7"/>
  <c r="S278" i="7" s="1"/>
  <c r="AJ226" i="7"/>
  <c r="S226" i="7" s="1"/>
  <c r="AJ195" i="7"/>
  <c r="S195" i="7" s="1"/>
  <c r="AJ178" i="7"/>
  <c r="S178" i="7" s="1"/>
  <c r="AJ208" i="7"/>
  <c r="S208" i="7" s="1"/>
  <c r="AJ236" i="7"/>
  <c r="S236" i="7" s="1"/>
  <c r="AJ233" i="7"/>
  <c r="S233" i="7" s="1"/>
  <c r="AJ249" i="7"/>
  <c r="S249" i="7" s="1"/>
  <c r="AJ176" i="7"/>
  <c r="S176" i="7" s="1"/>
  <c r="AJ235" i="7"/>
  <c r="S235" i="7" s="1"/>
  <c r="AJ194" i="7"/>
  <c r="S194" i="7" s="1"/>
  <c r="AJ243" i="7"/>
  <c r="S243" i="7" s="1"/>
  <c r="AJ276" i="7"/>
  <c r="S276" i="7" s="1"/>
  <c r="AJ204" i="7"/>
  <c r="S204" i="7" s="1"/>
  <c r="AJ207" i="7"/>
  <c r="S207" i="7" s="1"/>
  <c r="AJ218" i="7"/>
  <c r="S218" i="7" s="1"/>
  <c r="AJ241" i="7"/>
  <c r="S241" i="7" s="1"/>
  <c r="AJ272" i="7"/>
  <c r="S272" i="7" s="1"/>
  <c r="AJ277" i="7"/>
  <c r="S277" i="7" s="1"/>
  <c r="G212" i="7"/>
  <c r="AF212" i="7" s="1"/>
  <c r="V212" i="7"/>
  <c r="W212" i="7"/>
  <c r="AH212" i="7" s="1"/>
  <c r="AI212" i="7" s="1"/>
  <c r="X212" i="7"/>
  <c r="Y212" i="7"/>
  <c r="Z212" i="7"/>
  <c r="AA212" i="7"/>
  <c r="AB212" i="7"/>
  <c r="AC212" i="7"/>
  <c r="AG212" i="7" s="1"/>
  <c r="AD212" i="7"/>
  <c r="AE212" i="7"/>
  <c r="G201" i="7"/>
  <c r="AF201" i="7" s="1"/>
  <c r="V201" i="7"/>
  <c r="W201" i="7"/>
  <c r="AH201" i="7" s="1"/>
  <c r="AI201" i="7" s="1"/>
  <c r="X201" i="7"/>
  <c r="Y201" i="7"/>
  <c r="Z201" i="7"/>
  <c r="AA201" i="7"/>
  <c r="AB201" i="7"/>
  <c r="AC201" i="7"/>
  <c r="AG201" i="7" s="1"/>
  <c r="AD201" i="7"/>
  <c r="AE201" i="7"/>
  <c r="G175" i="7"/>
  <c r="AF175" i="7" s="1"/>
  <c r="V175" i="7"/>
  <c r="W175" i="7"/>
  <c r="AH175" i="7" s="1"/>
  <c r="AI175" i="7" s="1"/>
  <c r="X175" i="7"/>
  <c r="Y175" i="7"/>
  <c r="Z175" i="7"/>
  <c r="AA175" i="7"/>
  <c r="AB175" i="7"/>
  <c r="AC175" i="7"/>
  <c r="AG175" i="7" s="1"/>
  <c r="AD175" i="7"/>
  <c r="AE175" i="7"/>
  <c r="G198" i="7"/>
  <c r="AF198" i="7" s="1"/>
  <c r="V198" i="7"/>
  <c r="W198" i="7"/>
  <c r="AH198" i="7" s="1"/>
  <c r="AI198" i="7" s="1"/>
  <c r="X198" i="7"/>
  <c r="Y198" i="7"/>
  <c r="Z198" i="7"/>
  <c r="AA198" i="7"/>
  <c r="AB198" i="7"/>
  <c r="AC198" i="7"/>
  <c r="AG198" i="7" s="1"/>
  <c r="AD198" i="7"/>
  <c r="AE198" i="7"/>
  <c r="G193" i="7"/>
  <c r="AF193" i="7" s="1"/>
  <c r="V193" i="7"/>
  <c r="W193" i="7"/>
  <c r="AH193" i="7" s="1"/>
  <c r="AI193" i="7" s="1"/>
  <c r="X193" i="7"/>
  <c r="Y193" i="7"/>
  <c r="Z193" i="7"/>
  <c r="AA193" i="7"/>
  <c r="AB193" i="7"/>
  <c r="AC193" i="7"/>
  <c r="AG193" i="7" s="1"/>
  <c r="AD193" i="7"/>
  <c r="AE193" i="7"/>
  <c r="G196" i="7"/>
  <c r="AF196" i="7" s="1"/>
  <c r="V196" i="7"/>
  <c r="W196" i="7"/>
  <c r="AH196" i="7" s="1"/>
  <c r="AI196" i="7" s="1"/>
  <c r="X196" i="7"/>
  <c r="Y196" i="7"/>
  <c r="Z196" i="7"/>
  <c r="AA196" i="7"/>
  <c r="AB196" i="7"/>
  <c r="AC196" i="7"/>
  <c r="AG196" i="7" s="1"/>
  <c r="AD196" i="7"/>
  <c r="AE196" i="7"/>
  <c r="G183" i="7"/>
  <c r="AF183" i="7" s="1"/>
  <c r="V183" i="7"/>
  <c r="W183" i="7"/>
  <c r="AH183" i="7" s="1"/>
  <c r="AI183" i="7" s="1"/>
  <c r="X183" i="7"/>
  <c r="Y183" i="7"/>
  <c r="Z183" i="7"/>
  <c r="AA183" i="7"/>
  <c r="AB183" i="7"/>
  <c r="AC183" i="7"/>
  <c r="AG183" i="7" s="1"/>
  <c r="AD183" i="7"/>
  <c r="AE183" i="7"/>
  <c r="G182" i="7"/>
  <c r="AF182" i="7" s="1"/>
  <c r="V182" i="7"/>
  <c r="W182" i="7"/>
  <c r="AH182" i="7" s="1"/>
  <c r="AI182" i="7" s="1"/>
  <c r="X182" i="7"/>
  <c r="Y182" i="7"/>
  <c r="Z182" i="7"/>
  <c r="AA182" i="7"/>
  <c r="AB182" i="7"/>
  <c r="AC182" i="7"/>
  <c r="AG182" i="7" s="1"/>
  <c r="AD182" i="7"/>
  <c r="AE182" i="7"/>
  <c r="AJ193" i="7" l="1"/>
  <c r="S193" i="7" s="1"/>
  <c r="AJ212" i="7"/>
  <c r="S212" i="7" s="1"/>
  <c r="AJ196" i="7"/>
  <c r="S196" i="7" s="1"/>
  <c r="AJ201" i="7"/>
  <c r="S201" i="7" s="1"/>
  <c r="AJ183" i="7"/>
  <c r="S183" i="7" s="1"/>
  <c r="AJ175" i="7"/>
  <c r="S175" i="7" s="1"/>
  <c r="AJ182" i="7"/>
  <c r="S182" i="7" s="1"/>
  <c r="AJ198" i="7"/>
  <c r="S198" i="7" s="1"/>
  <c r="G200" i="7"/>
  <c r="AF200" i="7" s="1"/>
  <c r="V200" i="7"/>
  <c r="W200" i="7"/>
  <c r="AH200" i="7" s="1"/>
  <c r="AI200" i="7" s="1"/>
  <c r="X200" i="7"/>
  <c r="Y200" i="7"/>
  <c r="Z200" i="7"/>
  <c r="AA200" i="7"/>
  <c r="AB200" i="7"/>
  <c r="AC200" i="7"/>
  <c r="AG200" i="7" s="1"/>
  <c r="AD200" i="7"/>
  <c r="AE200" i="7"/>
  <c r="G188" i="7"/>
  <c r="AF188" i="7" s="1"/>
  <c r="V188" i="7"/>
  <c r="W188" i="7"/>
  <c r="AH188" i="7" s="1"/>
  <c r="AI188" i="7" s="1"/>
  <c r="X188" i="7"/>
  <c r="Y188" i="7"/>
  <c r="Z188" i="7"/>
  <c r="AA188" i="7"/>
  <c r="AB188" i="7"/>
  <c r="AC188" i="7"/>
  <c r="AG188" i="7" s="1"/>
  <c r="AD188" i="7"/>
  <c r="AE188" i="7"/>
  <c r="G181" i="7"/>
  <c r="AF181" i="7" s="1"/>
  <c r="V181" i="7"/>
  <c r="W181" i="7"/>
  <c r="AH181" i="7" s="1"/>
  <c r="AI181" i="7" s="1"/>
  <c r="X181" i="7"/>
  <c r="Y181" i="7"/>
  <c r="Z181" i="7"/>
  <c r="AA181" i="7"/>
  <c r="AB181" i="7"/>
  <c r="AC181" i="7"/>
  <c r="AG181" i="7" s="1"/>
  <c r="AD181" i="7"/>
  <c r="AE181" i="7"/>
  <c r="G140" i="7"/>
  <c r="AF140" i="7" s="1"/>
  <c r="V140" i="7"/>
  <c r="W140" i="7"/>
  <c r="AH140" i="7" s="1"/>
  <c r="AI140" i="7" s="1"/>
  <c r="X140" i="7"/>
  <c r="Y140" i="7"/>
  <c r="Z140" i="7"/>
  <c r="AA140" i="7"/>
  <c r="AB140" i="7"/>
  <c r="AC140" i="7"/>
  <c r="AG140" i="7" s="1"/>
  <c r="AD140" i="7"/>
  <c r="AE140" i="7"/>
  <c r="G134" i="7"/>
  <c r="AF134" i="7" s="1"/>
  <c r="V134" i="7"/>
  <c r="W134" i="7"/>
  <c r="AH134" i="7" s="1"/>
  <c r="AI134" i="7" s="1"/>
  <c r="X134" i="7"/>
  <c r="Y134" i="7"/>
  <c r="Z134" i="7"/>
  <c r="AA134" i="7"/>
  <c r="AB134" i="7"/>
  <c r="AC134" i="7"/>
  <c r="AG134" i="7" s="1"/>
  <c r="AD134" i="7"/>
  <c r="AE134" i="7"/>
  <c r="G106" i="7"/>
  <c r="AF106" i="7" s="1"/>
  <c r="V106" i="7"/>
  <c r="W106" i="7"/>
  <c r="AH106" i="7" s="1"/>
  <c r="AI106" i="7" s="1"/>
  <c r="X106" i="7"/>
  <c r="Y106" i="7"/>
  <c r="Z106" i="7"/>
  <c r="AA106" i="7"/>
  <c r="AB106" i="7"/>
  <c r="AC106" i="7"/>
  <c r="AG106" i="7" s="1"/>
  <c r="AD106" i="7"/>
  <c r="AE106" i="7"/>
  <c r="G144" i="7"/>
  <c r="AF144" i="7" s="1"/>
  <c r="V144" i="7"/>
  <c r="W144" i="7"/>
  <c r="AH144" i="7" s="1"/>
  <c r="AI144" i="7" s="1"/>
  <c r="X144" i="7"/>
  <c r="Y144" i="7"/>
  <c r="Z144" i="7"/>
  <c r="AA144" i="7"/>
  <c r="AB144" i="7"/>
  <c r="AC144" i="7"/>
  <c r="AG144" i="7" s="1"/>
  <c r="AD144" i="7"/>
  <c r="AE144" i="7"/>
  <c r="G107" i="7"/>
  <c r="AF107" i="7" s="1"/>
  <c r="V107" i="7"/>
  <c r="W107" i="7"/>
  <c r="AH107" i="7" s="1"/>
  <c r="AI107" i="7" s="1"/>
  <c r="X107" i="7"/>
  <c r="Y107" i="7"/>
  <c r="Z107" i="7"/>
  <c r="AA107" i="7"/>
  <c r="AB107" i="7"/>
  <c r="AC107" i="7"/>
  <c r="AG107" i="7" s="1"/>
  <c r="AD107" i="7"/>
  <c r="AE107" i="7"/>
  <c r="AJ106" i="7" l="1"/>
  <c r="S106" i="7" s="1"/>
  <c r="AJ188" i="7"/>
  <c r="S188" i="7" s="1"/>
  <c r="AJ144" i="7"/>
  <c r="S144" i="7" s="1"/>
  <c r="AJ181" i="7"/>
  <c r="S181" i="7" s="1"/>
  <c r="AJ107" i="7"/>
  <c r="S107" i="7" s="1"/>
  <c r="AJ140" i="7"/>
  <c r="S140" i="7" s="1"/>
  <c r="AJ134" i="7"/>
  <c r="S134" i="7" s="1"/>
  <c r="AJ200" i="7"/>
  <c r="S200" i="7" s="1"/>
  <c r="G143" i="7"/>
  <c r="AF143" i="7" s="1"/>
  <c r="V143" i="7"/>
  <c r="W143" i="7"/>
  <c r="AH143" i="7" s="1"/>
  <c r="AI143" i="7" s="1"/>
  <c r="X143" i="7"/>
  <c r="Y143" i="7"/>
  <c r="Z143" i="7"/>
  <c r="AA143" i="7"/>
  <c r="AB143" i="7"/>
  <c r="AC143" i="7"/>
  <c r="AG143" i="7" s="1"/>
  <c r="AD143" i="7"/>
  <c r="AE143" i="7"/>
  <c r="G76" i="7"/>
  <c r="AF76" i="7" s="1"/>
  <c r="V76" i="7"/>
  <c r="W76" i="7"/>
  <c r="AH76" i="7" s="1"/>
  <c r="AI76" i="7" s="1"/>
  <c r="X76" i="7"/>
  <c r="Y76" i="7"/>
  <c r="Z76" i="7"/>
  <c r="AA76" i="7"/>
  <c r="AB76" i="7"/>
  <c r="AC76" i="7"/>
  <c r="AG76" i="7" s="1"/>
  <c r="AD76" i="7"/>
  <c r="AE76" i="7"/>
  <c r="AJ143" i="7" l="1"/>
  <c r="S143" i="7" s="1"/>
  <c r="AJ76" i="7"/>
  <c r="S76" i="7" s="1"/>
  <c r="G82" i="7"/>
  <c r="AF82" i="7" s="1"/>
  <c r="V82" i="7"/>
  <c r="W82" i="7"/>
  <c r="AH82" i="7" s="1"/>
  <c r="AI82" i="7" s="1"/>
  <c r="X82" i="7"/>
  <c r="Y82" i="7"/>
  <c r="Z82" i="7"/>
  <c r="AA82" i="7"/>
  <c r="AB82" i="7"/>
  <c r="AC82" i="7"/>
  <c r="AG82" i="7" s="1"/>
  <c r="AD82" i="7"/>
  <c r="AE82" i="7"/>
  <c r="G81" i="7"/>
  <c r="AF81" i="7" s="1"/>
  <c r="V81" i="7"/>
  <c r="W81" i="7"/>
  <c r="AH81" i="7" s="1"/>
  <c r="AI81" i="7" s="1"/>
  <c r="X81" i="7"/>
  <c r="Y81" i="7"/>
  <c r="Z81" i="7"/>
  <c r="AA81" i="7"/>
  <c r="AB81" i="7"/>
  <c r="AC81" i="7"/>
  <c r="AG81" i="7" s="1"/>
  <c r="AD81" i="7"/>
  <c r="AE81" i="7"/>
  <c r="G71" i="7"/>
  <c r="AF71" i="7" s="1"/>
  <c r="V71" i="7"/>
  <c r="W71" i="7"/>
  <c r="AH71" i="7" s="1"/>
  <c r="AI71" i="7" s="1"/>
  <c r="X71" i="7"/>
  <c r="Y71" i="7"/>
  <c r="Z71" i="7"/>
  <c r="AA71" i="7"/>
  <c r="AB71" i="7"/>
  <c r="AC71" i="7"/>
  <c r="AG71" i="7" s="1"/>
  <c r="AD71" i="7"/>
  <c r="AE71" i="7"/>
  <c r="G83" i="7"/>
  <c r="AF83" i="7" s="1"/>
  <c r="V83" i="7"/>
  <c r="W83" i="7"/>
  <c r="AH83" i="7" s="1"/>
  <c r="AI83" i="7" s="1"/>
  <c r="X83" i="7"/>
  <c r="Y83" i="7"/>
  <c r="Z83" i="7"/>
  <c r="AA83" i="7"/>
  <c r="AB83" i="7"/>
  <c r="AC83" i="7"/>
  <c r="AG83" i="7" s="1"/>
  <c r="AD83" i="7"/>
  <c r="AE83" i="7"/>
  <c r="G102" i="7"/>
  <c r="AF102" i="7" s="1"/>
  <c r="V102" i="7"/>
  <c r="W102" i="7"/>
  <c r="AH102" i="7" s="1"/>
  <c r="AI102" i="7" s="1"/>
  <c r="X102" i="7"/>
  <c r="Y102" i="7"/>
  <c r="Z102" i="7"/>
  <c r="AA102" i="7"/>
  <c r="AB102" i="7"/>
  <c r="AC102" i="7"/>
  <c r="AG102" i="7" s="1"/>
  <c r="AD102" i="7"/>
  <c r="AE102" i="7"/>
  <c r="G101" i="7"/>
  <c r="AF101" i="7" s="1"/>
  <c r="V101" i="7"/>
  <c r="W101" i="7"/>
  <c r="AH101" i="7" s="1"/>
  <c r="AI101" i="7" s="1"/>
  <c r="X101" i="7"/>
  <c r="Y101" i="7"/>
  <c r="Z101" i="7"/>
  <c r="AA101" i="7"/>
  <c r="AB101" i="7"/>
  <c r="AC101" i="7"/>
  <c r="AG101" i="7" s="1"/>
  <c r="AD101" i="7"/>
  <c r="AE101" i="7"/>
  <c r="G99" i="7"/>
  <c r="AF99" i="7" s="1"/>
  <c r="V99" i="7"/>
  <c r="W99" i="7"/>
  <c r="AH99" i="7" s="1"/>
  <c r="AI99" i="7" s="1"/>
  <c r="X99" i="7"/>
  <c r="Y99" i="7"/>
  <c r="Z99" i="7"/>
  <c r="AA99" i="7"/>
  <c r="AB99" i="7"/>
  <c r="AC99" i="7"/>
  <c r="AG99" i="7" s="1"/>
  <c r="AD99" i="7"/>
  <c r="AE99" i="7"/>
  <c r="G98" i="7"/>
  <c r="AF98" i="7" s="1"/>
  <c r="V98" i="7"/>
  <c r="W98" i="7"/>
  <c r="AH98" i="7" s="1"/>
  <c r="AI98" i="7" s="1"/>
  <c r="X98" i="7"/>
  <c r="Y98" i="7"/>
  <c r="Z98" i="7"/>
  <c r="AA98" i="7"/>
  <c r="AB98" i="7"/>
  <c r="AC98" i="7"/>
  <c r="AG98" i="7" s="1"/>
  <c r="AD98" i="7"/>
  <c r="AE98" i="7"/>
  <c r="G96" i="7"/>
  <c r="AF96" i="7" s="1"/>
  <c r="V96" i="7"/>
  <c r="W96" i="7"/>
  <c r="AH96" i="7" s="1"/>
  <c r="AI96" i="7" s="1"/>
  <c r="X96" i="7"/>
  <c r="Y96" i="7"/>
  <c r="Z96" i="7"/>
  <c r="AA96" i="7"/>
  <c r="AB96" i="7"/>
  <c r="AC96" i="7"/>
  <c r="AG96" i="7" s="1"/>
  <c r="AD96" i="7"/>
  <c r="AE96" i="7"/>
  <c r="G95" i="7"/>
  <c r="AF95" i="7" s="1"/>
  <c r="V95" i="7"/>
  <c r="W95" i="7"/>
  <c r="AH95" i="7" s="1"/>
  <c r="AI95" i="7" s="1"/>
  <c r="X95" i="7"/>
  <c r="Y95" i="7"/>
  <c r="Z95" i="7"/>
  <c r="AA95" i="7"/>
  <c r="AB95" i="7"/>
  <c r="AC95" i="7"/>
  <c r="AG95" i="7" s="1"/>
  <c r="AD95" i="7"/>
  <c r="AE95" i="7"/>
  <c r="G156" i="7"/>
  <c r="AF156" i="7" s="1"/>
  <c r="V156" i="7"/>
  <c r="W156" i="7"/>
  <c r="AH156" i="7" s="1"/>
  <c r="AI156" i="7" s="1"/>
  <c r="X156" i="7"/>
  <c r="Y156" i="7"/>
  <c r="Z156" i="7"/>
  <c r="AA156" i="7"/>
  <c r="AB156" i="7"/>
  <c r="AC156" i="7"/>
  <c r="AG156" i="7" s="1"/>
  <c r="AD156" i="7"/>
  <c r="AE156" i="7"/>
  <c r="G154" i="7"/>
  <c r="AF154" i="7" s="1"/>
  <c r="V154" i="7"/>
  <c r="W154" i="7"/>
  <c r="AH154" i="7" s="1"/>
  <c r="AI154" i="7" s="1"/>
  <c r="X154" i="7"/>
  <c r="Y154" i="7"/>
  <c r="Z154" i="7"/>
  <c r="AA154" i="7"/>
  <c r="AB154" i="7"/>
  <c r="AC154" i="7"/>
  <c r="AG154" i="7" s="1"/>
  <c r="AD154" i="7"/>
  <c r="AE154" i="7"/>
  <c r="G153" i="7"/>
  <c r="AF153" i="7" s="1"/>
  <c r="V153" i="7"/>
  <c r="W153" i="7"/>
  <c r="AH153" i="7" s="1"/>
  <c r="AI153" i="7" s="1"/>
  <c r="X153" i="7"/>
  <c r="Y153" i="7"/>
  <c r="Z153" i="7"/>
  <c r="AA153" i="7"/>
  <c r="AB153" i="7"/>
  <c r="AC153" i="7"/>
  <c r="AG153" i="7" s="1"/>
  <c r="AD153" i="7"/>
  <c r="AE153" i="7"/>
  <c r="G88" i="7"/>
  <c r="AF88" i="7" s="1"/>
  <c r="V88" i="7"/>
  <c r="W88" i="7"/>
  <c r="AH88" i="7" s="1"/>
  <c r="AI88" i="7" s="1"/>
  <c r="X88" i="7"/>
  <c r="Y88" i="7"/>
  <c r="Z88" i="7"/>
  <c r="AA88" i="7"/>
  <c r="AB88" i="7"/>
  <c r="AC88" i="7"/>
  <c r="AG88" i="7" s="1"/>
  <c r="AD88" i="7"/>
  <c r="AE88" i="7"/>
  <c r="G87" i="7"/>
  <c r="AF87" i="7" s="1"/>
  <c r="V87" i="7"/>
  <c r="W87" i="7"/>
  <c r="AH87" i="7" s="1"/>
  <c r="AI87" i="7" s="1"/>
  <c r="X87" i="7"/>
  <c r="Y87" i="7"/>
  <c r="Z87" i="7"/>
  <c r="AA87" i="7"/>
  <c r="AB87" i="7"/>
  <c r="AC87" i="7"/>
  <c r="AG87" i="7" s="1"/>
  <c r="AD87" i="7"/>
  <c r="AE87" i="7"/>
  <c r="G86" i="7"/>
  <c r="AF86" i="7" s="1"/>
  <c r="V86" i="7"/>
  <c r="W86" i="7"/>
  <c r="AH86" i="7" s="1"/>
  <c r="AI86" i="7" s="1"/>
  <c r="X86" i="7"/>
  <c r="Y86" i="7"/>
  <c r="Z86" i="7"/>
  <c r="AA86" i="7"/>
  <c r="AB86" i="7"/>
  <c r="AC86" i="7"/>
  <c r="AG86" i="7" s="1"/>
  <c r="AD86" i="7"/>
  <c r="AE86" i="7"/>
  <c r="G85" i="7"/>
  <c r="AF85" i="7" s="1"/>
  <c r="V85" i="7"/>
  <c r="W85" i="7"/>
  <c r="AH85" i="7" s="1"/>
  <c r="AI85" i="7" s="1"/>
  <c r="X85" i="7"/>
  <c r="Y85" i="7"/>
  <c r="Z85" i="7"/>
  <c r="AA85" i="7"/>
  <c r="AB85" i="7"/>
  <c r="AC85" i="7"/>
  <c r="AG85" i="7" s="1"/>
  <c r="AD85" i="7"/>
  <c r="AE85" i="7"/>
  <c r="G104" i="7"/>
  <c r="AF104" i="7" s="1"/>
  <c r="V104" i="7"/>
  <c r="W104" i="7"/>
  <c r="AH104" i="7" s="1"/>
  <c r="AI104" i="7" s="1"/>
  <c r="X104" i="7"/>
  <c r="Y104" i="7"/>
  <c r="Z104" i="7"/>
  <c r="AA104" i="7"/>
  <c r="AB104" i="7"/>
  <c r="AC104" i="7"/>
  <c r="AG104" i="7" s="1"/>
  <c r="AD104" i="7"/>
  <c r="AE104" i="7"/>
  <c r="G103" i="7"/>
  <c r="AF103" i="7" s="1"/>
  <c r="V103" i="7"/>
  <c r="W103" i="7"/>
  <c r="AH103" i="7" s="1"/>
  <c r="AI103" i="7" s="1"/>
  <c r="X103" i="7"/>
  <c r="Y103" i="7"/>
  <c r="Z103" i="7"/>
  <c r="AA103" i="7"/>
  <c r="AB103" i="7"/>
  <c r="AC103" i="7"/>
  <c r="AG103" i="7" s="1"/>
  <c r="AD103" i="7"/>
  <c r="AE103" i="7"/>
  <c r="G100" i="7"/>
  <c r="AF100" i="7" s="1"/>
  <c r="V100" i="7"/>
  <c r="W100" i="7"/>
  <c r="AH100" i="7" s="1"/>
  <c r="AI100" i="7" s="1"/>
  <c r="X100" i="7"/>
  <c r="Y100" i="7"/>
  <c r="Z100" i="7"/>
  <c r="AA100" i="7"/>
  <c r="AB100" i="7"/>
  <c r="AC100" i="7"/>
  <c r="AG100" i="7" s="1"/>
  <c r="AD100" i="7"/>
  <c r="AE100" i="7"/>
  <c r="G97" i="7"/>
  <c r="AF97" i="7" s="1"/>
  <c r="V97" i="7"/>
  <c r="W97" i="7"/>
  <c r="AH97" i="7" s="1"/>
  <c r="AI97" i="7" s="1"/>
  <c r="X97" i="7"/>
  <c r="Y97" i="7"/>
  <c r="Z97" i="7"/>
  <c r="AA97" i="7"/>
  <c r="AB97" i="7"/>
  <c r="AC97" i="7"/>
  <c r="AG97" i="7" s="1"/>
  <c r="AD97" i="7"/>
  <c r="AE97" i="7"/>
  <c r="G94" i="7"/>
  <c r="AF94" i="7" s="1"/>
  <c r="V94" i="7"/>
  <c r="W94" i="7"/>
  <c r="AH94" i="7" s="1"/>
  <c r="AI94" i="7" s="1"/>
  <c r="X94" i="7"/>
  <c r="Y94" i="7"/>
  <c r="Z94" i="7"/>
  <c r="AA94" i="7"/>
  <c r="AB94" i="7"/>
  <c r="AC94" i="7"/>
  <c r="AG94" i="7" s="1"/>
  <c r="AD94" i="7"/>
  <c r="AE94" i="7"/>
  <c r="G105" i="7"/>
  <c r="AF105" i="7" s="1"/>
  <c r="V105" i="7"/>
  <c r="W105" i="7"/>
  <c r="AH105" i="7" s="1"/>
  <c r="AI105" i="7" s="1"/>
  <c r="X105" i="7"/>
  <c r="Y105" i="7"/>
  <c r="Z105" i="7"/>
  <c r="AA105" i="7"/>
  <c r="AB105" i="7"/>
  <c r="AC105" i="7"/>
  <c r="AG105" i="7" s="1"/>
  <c r="AD105" i="7"/>
  <c r="AE105" i="7"/>
  <c r="G92" i="7"/>
  <c r="AF92" i="7" s="1"/>
  <c r="V92" i="7"/>
  <c r="W92" i="7"/>
  <c r="AH92" i="7" s="1"/>
  <c r="AI92" i="7" s="1"/>
  <c r="X92" i="7"/>
  <c r="Y92" i="7"/>
  <c r="Z92" i="7"/>
  <c r="AA92" i="7"/>
  <c r="AB92" i="7"/>
  <c r="AC92" i="7"/>
  <c r="AG92" i="7" s="1"/>
  <c r="AD92" i="7"/>
  <c r="AE92" i="7"/>
  <c r="G93" i="7"/>
  <c r="AF93" i="7" s="1"/>
  <c r="V93" i="7"/>
  <c r="W93" i="7"/>
  <c r="AH93" i="7" s="1"/>
  <c r="AI93" i="7" s="1"/>
  <c r="X93" i="7"/>
  <c r="Y93" i="7"/>
  <c r="Z93" i="7"/>
  <c r="AA93" i="7"/>
  <c r="AB93" i="7"/>
  <c r="AC93" i="7"/>
  <c r="AG93" i="7" s="1"/>
  <c r="AD93" i="7"/>
  <c r="AE93" i="7"/>
  <c r="G89" i="7"/>
  <c r="AF89" i="7" s="1"/>
  <c r="V89" i="7"/>
  <c r="W89" i="7"/>
  <c r="AH89" i="7" s="1"/>
  <c r="AI89" i="7" s="1"/>
  <c r="X89" i="7"/>
  <c r="Y89" i="7"/>
  <c r="Z89" i="7"/>
  <c r="AA89" i="7"/>
  <c r="AB89" i="7"/>
  <c r="AC89" i="7"/>
  <c r="AG89" i="7" s="1"/>
  <c r="AD89" i="7"/>
  <c r="AE89" i="7"/>
  <c r="G84" i="7"/>
  <c r="AF84" i="7" s="1"/>
  <c r="V84" i="7"/>
  <c r="W84" i="7"/>
  <c r="AH84" i="7" s="1"/>
  <c r="AI84" i="7" s="1"/>
  <c r="X84" i="7"/>
  <c r="Y84" i="7"/>
  <c r="Z84" i="7"/>
  <c r="AA84" i="7"/>
  <c r="AB84" i="7"/>
  <c r="AC84" i="7"/>
  <c r="AG84" i="7" s="1"/>
  <c r="AD84" i="7"/>
  <c r="AE84" i="7"/>
  <c r="G142" i="7"/>
  <c r="AF142" i="7" s="1"/>
  <c r="V142" i="7"/>
  <c r="W142" i="7"/>
  <c r="AH142" i="7" s="1"/>
  <c r="AI142" i="7" s="1"/>
  <c r="X142" i="7"/>
  <c r="Y142" i="7"/>
  <c r="Z142" i="7"/>
  <c r="AA142" i="7"/>
  <c r="AB142" i="7"/>
  <c r="AC142" i="7"/>
  <c r="AG142" i="7" s="1"/>
  <c r="AD142" i="7"/>
  <c r="AE142" i="7"/>
  <c r="G141" i="7"/>
  <c r="AF141" i="7" s="1"/>
  <c r="V141" i="7"/>
  <c r="W141" i="7"/>
  <c r="AH141" i="7" s="1"/>
  <c r="AI141" i="7" s="1"/>
  <c r="X141" i="7"/>
  <c r="Y141" i="7"/>
  <c r="Z141" i="7"/>
  <c r="AA141" i="7"/>
  <c r="AB141" i="7"/>
  <c r="AC141" i="7"/>
  <c r="AG141" i="7" s="1"/>
  <c r="AD141" i="7"/>
  <c r="AE141" i="7"/>
  <c r="G139" i="7"/>
  <c r="AF139" i="7" s="1"/>
  <c r="V139" i="7"/>
  <c r="W139" i="7"/>
  <c r="AH139" i="7" s="1"/>
  <c r="AI139" i="7" s="1"/>
  <c r="X139" i="7"/>
  <c r="Y139" i="7"/>
  <c r="Z139" i="7"/>
  <c r="AA139" i="7"/>
  <c r="AB139" i="7"/>
  <c r="AC139" i="7"/>
  <c r="AG139" i="7" s="1"/>
  <c r="AD139" i="7"/>
  <c r="AE139" i="7"/>
  <c r="G138" i="7"/>
  <c r="AF138" i="7" s="1"/>
  <c r="V138" i="7"/>
  <c r="W138" i="7"/>
  <c r="AH138" i="7" s="1"/>
  <c r="AI138" i="7" s="1"/>
  <c r="X138" i="7"/>
  <c r="Y138" i="7"/>
  <c r="Z138" i="7"/>
  <c r="AA138" i="7"/>
  <c r="AB138" i="7"/>
  <c r="AC138" i="7"/>
  <c r="AG138" i="7" s="1"/>
  <c r="AD138" i="7"/>
  <c r="AE138" i="7"/>
  <c r="G136" i="7"/>
  <c r="AF136" i="7" s="1"/>
  <c r="V136" i="7"/>
  <c r="W136" i="7"/>
  <c r="AH136" i="7" s="1"/>
  <c r="AI136" i="7" s="1"/>
  <c r="X136" i="7"/>
  <c r="Y136" i="7"/>
  <c r="Z136" i="7"/>
  <c r="AA136" i="7"/>
  <c r="AB136" i="7"/>
  <c r="AC136" i="7"/>
  <c r="AG136" i="7" s="1"/>
  <c r="AD136" i="7"/>
  <c r="AE136" i="7"/>
  <c r="G135" i="7"/>
  <c r="AF135" i="7" s="1"/>
  <c r="V135" i="7"/>
  <c r="W135" i="7"/>
  <c r="AH135" i="7" s="1"/>
  <c r="AI135" i="7" s="1"/>
  <c r="X135" i="7"/>
  <c r="Y135" i="7"/>
  <c r="Z135" i="7"/>
  <c r="AA135" i="7"/>
  <c r="AB135" i="7"/>
  <c r="AC135" i="7"/>
  <c r="AG135" i="7" s="1"/>
  <c r="AD135" i="7"/>
  <c r="AE135" i="7"/>
  <c r="G133" i="7"/>
  <c r="AF133" i="7" s="1"/>
  <c r="V133" i="7"/>
  <c r="W133" i="7"/>
  <c r="AH133" i="7" s="1"/>
  <c r="AI133" i="7" s="1"/>
  <c r="X133" i="7"/>
  <c r="Y133" i="7"/>
  <c r="Z133" i="7"/>
  <c r="AA133" i="7"/>
  <c r="AB133" i="7"/>
  <c r="AC133" i="7"/>
  <c r="AG133" i="7" s="1"/>
  <c r="AD133" i="7"/>
  <c r="AE133" i="7"/>
  <c r="G131" i="7"/>
  <c r="AF131" i="7" s="1"/>
  <c r="V131" i="7"/>
  <c r="W131" i="7"/>
  <c r="AH131" i="7" s="1"/>
  <c r="AI131" i="7" s="1"/>
  <c r="X131" i="7"/>
  <c r="Y131" i="7"/>
  <c r="Z131" i="7"/>
  <c r="AA131" i="7"/>
  <c r="AB131" i="7"/>
  <c r="AC131" i="7"/>
  <c r="AG131" i="7" s="1"/>
  <c r="AD131" i="7"/>
  <c r="AE131" i="7"/>
  <c r="G130" i="7"/>
  <c r="AF130" i="7" s="1"/>
  <c r="V130" i="7"/>
  <c r="W130" i="7"/>
  <c r="AH130" i="7" s="1"/>
  <c r="AI130" i="7" s="1"/>
  <c r="X130" i="7"/>
  <c r="Y130" i="7"/>
  <c r="Z130" i="7"/>
  <c r="AA130" i="7"/>
  <c r="AB130" i="7"/>
  <c r="AC130" i="7"/>
  <c r="AG130" i="7" s="1"/>
  <c r="AD130" i="7"/>
  <c r="AE130" i="7"/>
  <c r="G129" i="7"/>
  <c r="AF129" i="7" s="1"/>
  <c r="V129" i="7"/>
  <c r="W129" i="7"/>
  <c r="AH129" i="7" s="1"/>
  <c r="AI129" i="7" s="1"/>
  <c r="X129" i="7"/>
  <c r="Y129" i="7"/>
  <c r="Z129" i="7"/>
  <c r="AA129" i="7"/>
  <c r="AB129" i="7"/>
  <c r="AC129" i="7"/>
  <c r="AG129" i="7" s="1"/>
  <c r="AD129" i="7"/>
  <c r="AE129" i="7"/>
  <c r="G128" i="7"/>
  <c r="AF128" i="7" s="1"/>
  <c r="V128" i="7"/>
  <c r="W128" i="7"/>
  <c r="AH128" i="7" s="1"/>
  <c r="AI128" i="7" s="1"/>
  <c r="X128" i="7"/>
  <c r="Y128" i="7"/>
  <c r="Z128" i="7"/>
  <c r="AA128" i="7"/>
  <c r="AB128" i="7"/>
  <c r="AC128" i="7"/>
  <c r="AG128" i="7" s="1"/>
  <c r="AD128" i="7"/>
  <c r="AE128" i="7"/>
  <c r="G127" i="7"/>
  <c r="AF127" i="7" s="1"/>
  <c r="V127" i="7"/>
  <c r="W127" i="7"/>
  <c r="AH127" i="7" s="1"/>
  <c r="AI127" i="7" s="1"/>
  <c r="X127" i="7"/>
  <c r="Y127" i="7"/>
  <c r="Z127" i="7"/>
  <c r="AA127" i="7"/>
  <c r="AB127" i="7"/>
  <c r="AC127" i="7"/>
  <c r="AG127" i="7" s="1"/>
  <c r="AD127" i="7"/>
  <c r="AE127" i="7"/>
  <c r="G126" i="7"/>
  <c r="AF126" i="7" s="1"/>
  <c r="V126" i="7"/>
  <c r="W126" i="7"/>
  <c r="AH126" i="7" s="1"/>
  <c r="AI126" i="7" s="1"/>
  <c r="X126" i="7"/>
  <c r="Y126" i="7"/>
  <c r="Z126" i="7"/>
  <c r="AA126" i="7"/>
  <c r="AB126" i="7"/>
  <c r="AC126" i="7"/>
  <c r="AG126" i="7" s="1"/>
  <c r="AD126" i="7"/>
  <c r="AE126" i="7"/>
  <c r="G125" i="7"/>
  <c r="AF125" i="7" s="1"/>
  <c r="V125" i="7"/>
  <c r="W125" i="7"/>
  <c r="AH125" i="7" s="1"/>
  <c r="AI125" i="7" s="1"/>
  <c r="X125" i="7"/>
  <c r="Y125" i="7"/>
  <c r="Z125" i="7"/>
  <c r="AA125" i="7"/>
  <c r="AB125" i="7"/>
  <c r="AC125" i="7"/>
  <c r="AG125" i="7" s="1"/>
  <c r="AD125" i="7"/>
  <c r="AE125" i="7"/>
  <c r="G124" i="7"/>
  <c r="AF124" i="7" s="1"/>
  <c r="V124" i="7"/>
  <c r="W124" i="7"/>
  <c r="AH124" i="7" s="1"/>
  <c r="AI124" i="7" s="1"/>
  <c r="X124" i="7"/>
  <c r="Y124" i="7"/>
  <c r="Z124" i="7"/>
  <c r="AA124" i="7"/>
  <c r="AB124" i="7"/>
  <c r="AC124" i="7"/>
  <c r="AG124" i="7" s="1"/>
  <c r="AD124" i="7"/>
  <c r="AE124" i="7"/>
  <c r="G123" i="7"/>
  <c r="AF123" i="7" s="1"/>
  <c r="V123" i="7"/>
  <c r="W123" i="7"/>
  <c r="AH123" i="7" s="1"/>
  <c r="AI123" i="7" s="1"/>
  <c r="X123" i="7"/>
  <c r="Y123" i="7"/>
  <c r="Z123" i="7"/>
  <c r="AA123" i="7"/>
  <c r="AB123" i="7"/>
  <c r="AC123" i="7"/>
  <c r="AG123" i="7" s="1"/>
  <c r="AD123" i="7"/>
  <c r="AE123" i="7"/>
  <c r="G121" i="7"/>
  <c r="AF121" i="7" s="1"/>
  <c r="V121" i="7"/>
  <c r="W121" i="7"/>
  <c r="AH121" i="7" s="1"/>
  <c r="AI121" i="7" s="1"/>
  <c r="X121" i="7"/>
  <c r="Y121" i="7"/>
  <c r="Z121" i="7"/>
  <c r="AA121" i="7"/>
  <c r="AB121" i="7"/>
  <c r="AC121" i="7"/>
  <c r="AG121" i="7" s="1"/>
  <c r="AD121" i="7"/>
  <c r="AE121" i="7"/>
  <c r="G120" i="7"/>
  <c r="AF120" i="7" s="1"/>
  <c r="V120" i="7"/>
  <c r="W120" i="7"/>
  <c r="AH120" i="7" s="1"/>
  <c r="AI120" i="7" s="1"/>
  <c r="X120" i="7"/>
  <c r="Y120" i="7"/>
  <c r="Z120" i="7"/>
  <c r="AA120" i="7"/>
  <c r="AB120" i="7"/>
  <c r="AC120" i="7"/>
  <c r="AG120" i="7" s="1"/>
  <c r="AD120" i="7"/>
  <c r="AE120" i="7"/>
  <c r="G119" i="7"/>
  <c r="AF119" i="7" s="1"/>
  <c r="V119" i="7"/>
  <c r="W119" i="7"/>
  <c r="AH119" i="7" s="1"/>
  <c r="AI119" i="7" s="1"/>
  <c r="X119" i="7"/>
  <c r="Y119" i="7"/>
  <c r="Z119" i="7"/>
  <c r="AA119" i="7"/>
  <c r="AB119" i="7"/>
  <c r="AC119" i="7"/>
  <c r="AG119" i="7" s="1"/>
  <c r="AD119" i="7"/>
  <c r="AE119" i="7"/>
  <c r="G118" i="7"/>
  <c r="AF118" i="7" s="1"/>
  <c r="V118" i="7"/>
  <c r="W118" i="7"/>
  <c r="AH118" i="7" s="1"/>
  <c r="AI118" i="7" s="1"/>
  <c r="X118" i="7"/>
  <c r="Y118" i="7"/>
  <c r="Z118" i="7"/>
  <c r="AA118" i="7"/>
  <c r="AB118" i="7"/>
  <c r="AC118" i="7"/>
  <c r="AG118" i="7" s="1"/>
  <c r="AD118" i="7"/>
  <c r="AE118" i="7"/>
  <c r="G117" i="7"/>
  <c r="AF117" i="7" s="1"/>
  <c r="V117" i="7"/>
  <c r="W117" i="7"/>
  <c r="AH117" i="7" s="1"/>
  <c r="AI117" i="7" s="1"/>
  <c r="X117" i="7"/>
  <c r="Y117" i="7"/>
  <c r="Z117" i="7"/>
  <c r="AA117" i="7"/>
  <c r="AB117" i="7"/>
  <c r="AC117" i="7"/>
  <c r="AG117" i="7" s="1"/>
  <c r="AD117" i="7"/>
  <c r="AE117" i="7"/>
  <c r="G116" i="7"/>
  <c r="AF116" i="7" s="1"/>
  <c r="V116" i="7"/>
  <c r="W116" i="7"/>
  <c r="AH116" i="7" s="1"/>
  <c r="AI116" i="7" s="1"/>
  <c r="X116" i="7"/>
  <c r="Y116" i="7"/>
  <c r="Z116" i="7"/>
  <c r="AA116" i="7"/>
  <c r="AB116" i="7"/>
  <c r="AC116" i="7"/>
  <c r="AG116" i="7" s="1"/>
  <c r="AD116" i="7"/>
  <c r="AE116" i="7"/>
  <c r="G78" i="7"/>
  <c r="AF78" i="7" s="1"/>
  <c r="V78" i="7"/>
  <c r="W78" i="7"/>
  <c r="AH78" i="7" s="1"/>
  <c r="AI78" i="7" s="1"/>
  <c r="X78" i="7"/>
  <c r="Y78" i="7"/>
  <c r="Z78" i="7"/>
  <c r="AA78" i="7"/>
  <c r="AB78" i="7"/>
  <c r="AC78" i="7"/>
  <c r="AG78" i="7" s="1"/>
  <c r="AD78" i="7"/>
  <c r="AE78" i="7"/>
  <c r="G77" i="7"/>
  <c r="AF77" i="7" s="1"/>
  <c r="V77" i="7"/>
  <c r="W77" i="7"/>
  <c r="AH77" i="7" s="1"/>
  <c r="AI77" i="7" s="1"/>
  <c r="X77" i="7"/>
  <c r="Y77" i="7"/>
  <c r="Z77" i="7"/>
  <c r="AA77" i="7"/>
  <c r="AB77" i="7"/>
  <c r="AC77" i="7"/>
  <c r="AG77" i="7" s="1"/>
  <c r="AD77" i="7"/>
  <c r="AE77" i="7"/>
  <c r="G115" i="7"/>
  <c r="AF115" i="7" s="1"/>
  <c r="V115" i="7"/>
  <c r="W115" i="7"/>
  <c r="AH115" i="7" s="1"/>
  <c r="AI115" i="7" s="1"/>
  <c r="X115" i="7"/>
  <c r="Y115" i="7"/>
  <c r="Z115" i="7"/>
  <c r="AA115" i="7"/>
  <c r="AB115" i="7"/>
  <c r="AC115" i="7"/>
  <c r="AG115" i="7" s="1"/>
  <c r="AD115" i="7"/>
  <c r="AE115" i="7"/>
  <c r="G114" i="7"/>
  <c r="AF114" i="7" s="1"/>
  <c r="V114" i="7"/>
  <c r="W114" i="7"/>
  <c r="AH114" i="7" s="1"/>
  <c r="AI114" i="7" s="1"/>
  <c r="X114" i="7"/>
  <c r="Y114" i="7"/>
  <c r="Z114" i="7"/>
  <c r="AA114" i="7"/>
  <c r="AB114" i="7"/>
  <c r="AC114" i="7"/>
  <c r="AG114" i="7" s="1"/>
  <c r="AD114" i="7"/>
  <c r="AE114" i="7"/>
  <c r="G113" i="7"/>
  <c r="AF113" i="7" s="1"/>
  <c r="V113" i="7"/>
  <c r="W113" i="7"/>
  <c r="AH113" i="7" s="1"/>
  <c r="AI113" i="7" s="1"/>
  <c r="X113" i="7"/>
  <c r="Y113" i="7"/>
  <c r="Z113" i="7"/>
  <c r="AA113" i="7"/>
  <c r="AB113" i="7"/>
  <c r="AC113" i="7"/>
  <c r="AG113" i="7" s="1"/>
  <c r="AD113" i="7"/>
  <c r="AE113" i="7"/>
  <c r="G132" i="7"/>
  <c r="AF132" i="7" s="1"/>
  <c r="V132" i="7"/>
  <c r="W132" i="7"/>
  <c r="AH132" i="7" s="1"/>
  <c r="AI132" i="7" s="1"/>
  <c r="X132" i="7"/>
  <c r="Y132" i="7"/>
  <c r="Z132" i="7"/>
  <c r="AA132" i="7"/>
  <c r="AB132" i="7"/>
  <c r="AC132" i="7"/>
  <c r="AG132" i="7" s="1"/>
  <c r="AD132" i="7"/>
  <c r="AE132" i="7"/>
  <c r="G122" i="7"/>
  <c r="AF122" i="7" s="1"/>
  <c r="V122" i="7"/>
  <c r="W122" i="7"/>
  <c r="AH122" i="7" s="1"/>
  <c r="AI122" i="7" s="1"/>
  <c r="X122" i="7"/>
  <c r="Y122" i="7"/>
  <c r="Z122" i="7"/>
  <c r="AA122" i="7"/>
  <c r="AB122" i="7"/>
  <c r="AC122" i="7"/>
  <c r="AG122" i="7" s="1"/>
  <c r="AD122" i="7"/>
  <c r="AE122" i="7"/>
  <c r="G75" i="7"/>
  <c r="AF75" i="7" s="1"/>
  <c r="V75" i="7"/>
  <c r="W75" i="7"/>
  <c r="AH75" i="7" s="1"/>
  <c r="AI75" i="7" s="1"/>
  <c r="X75" i="7"/>
  <c r="Y75" i="7"/>
  <c r="Z75" i="7"/>
  <c r="AA75" i="7"/>
  <c r="AB75" i="7"/>
  <c r="AC75" i="7"/>
  <c r="AG75" i="7" s="1"/>
  <c r="AD75" i="7"/>
  <c r="AE75" i="7"/>
  <c r="G66" i="7"/>
  <c r="AF66" i="7" s="1"/>
  <c r="V66" i="7"/>
  <c r="W66" i="7"/>
  <c r="AH66" i="7" s="1"/>
  <c r="AI66" i="7" s="1"/>
  <c r="X66" i="7"/>
  <c r="Y66" i="7"/>
  <c r="Z66" i="7"/>
  <c r="AA66" i="7"/>
  <c r="AB66" i="7"/>
  <c r="AC66" i="7"/>
  <c r="AG66" i="7" s="1"/>
  <c r="AD66" i="7"/>
  <c r="AE66" i="7"/>
  <c r="G67" i="7"/>
  <c r="AF67" i="7" s="1"/>
  <c r="V67" i="7"/>
  <c r="W67" i="7"/>
  <c r="AH67" i="7" s="1"/>
  <c r="AI67" i="7" s="1"/>
  <c r="X67" i="7"/>
  <c r="Y67" i="7"/>
  <c r="Z67" i="7"/>
  <c r="AA67" i="7"/>
  <c r="AB67" i="7"/>
  <c r="AC67" i="7"/>
  <c r="AG67" i="7" s="1"/>
  <c r="AD67" i="7"/>
  <c r="AE67" i="7"/>
  <c r="G65" i="7"/>
  <c r="AF65" i="7" s="1"/>
  <c r="V65" i="7"/>
  <c r="W65" i="7"/>
  <c r="AH65" i="7" s="1"/>
  <c r="AI65" i="7" s="1"/>
  <c r="X65" i="7"/>
  <c r="Y65" i="7"/>
  <c r="Z65" i="7"/>
  <c r="AA65" i="7"/>
  <c r="AB65" i="7"/>
  <c r="AC65" i="7"/>
  <c r="AG65" i="7" s="1"/>
  <c r="AD65" i="7"/>
  <c r="AE65" i="7"/>
  <c r="G19" i="7"/>
  <c r="AF19" i="7" s="1"/>
  <c r="V19" i="7"/>
  <c r="W19" i="7"/>
  <c r="AH19" i="7" s="1"/>
  <c r="AI19" i="7" s="1"/>
  <c r="X19" i="7"/>
  <c r="Y19" i="7"/>
  <c r="Z19" i="7"/>
  <c r="AA19" i="7"/>
  <c r="AB19" i="7"/>
  <c r="AC19" i="7"/>
  <c r="AG19" i="7" s="1"/>
  <c r="AD19" i="7"/>
  <c r="AE19" i="7"/>
  <c r="G49" i="7"/>
  <c r="AF49" i="7" s="1"/>
  <c r="V49" i="7"/>
  <c r="W49" i="7"/>
  <c r="AH49" i="7" s="1"/>
  <c r="AI49" i="7" s="1"/>
  <c r="X49" i="7"/>
  <c r="Y49" i="7"/>
  <c r="Z49" i="7"/>
  <c r="AA49" i="7"/>
  <c r="AB49" i="7"/>
  <c r="AC49" i="7"/>
  <c r="AG49" i="7" s="1"/>
  <c r="AD49" i="7"/>
  <c r="AE49" i="7"/>
  <c r="AJ19" i="7" l="1"/>
  <c r="S19" i="7" s="1"/>
  <c r="AJ114" i="7"/>
  <c r="S114" i="7" s="1"/>
  <c r="AJ120" i="7"/>
  <c r="S120" i="7" s="1"/>
  <c r="AJ125" i="7"/>
  <c r="S125" i="7" s="1"/>
  <c r="AJ129" i="7"/>
  <c r="S129" i="7" s="1"/>
  <c r="AJ93" i="7"/>
  <c r="S93" i="7" s="1"/>
  <c r="AJ85" i="7"/>
  <c r="S85" i="7" s="1"/>
  <c r="AJ96" i="7"/>
  <c r="S96" i="7" s="1"/>
  <c r="AJ102" i="7"/>
  <c r="S102" i="7" s="1"/>
  <c r="AJ82" i="7"/>
  <c r="S82" i="7" s="1"/>
  <c r="AJ49" i="7"/>
  <c r="S49" i="7" s="1"/>
  <c r="AJ66" i="7"/>
  <c r="S66" i="7" s="1"/>
  <c r="AJ113" i="7"/>
  <c r="S113" i="7" s="1"/>
  <c r="AJ124" i="7"/>
  <c r="S124" i="7" s="1"/>
  <c r="AJ94" i="7"/>
  <c r="S94" i="7" s="1"/>
  <c r="AJ88" i="7"/>
  <c r="S88" i="7" s="1"/>
  <c r="AJ95" i="7"/>
  <c r="S95" i="7" s="1"/>
  <c r="AJ101" i="7"/>
  <c r="S101" i="7" s="1"/>
  <c r="AJ75" i="7"/>
  <c r="S75" i="7" s="1"/>
  <c r="AJ116" i="7"/>
  <c r="S116" i="7" s="1"/>
  <c r="AJ135" i="7"/>
  <c r="S135" i="7" s="1"/>
  <c r="AJ141" i="7"/>
  <c r="S141" i="7" s="1"/>
  <c r="AJ97" i="7"/>
  <c r="S97" i="7" s="1"/>
  <c r="AJ153" i="7"/>
  <c r="S153" i="7" s="1"/>
  <c r="AJ78" i="7"/>
  <c r="S78" i="7" s="1"/>
  <c r="AJ119" i="7"/>
  <c r="S119" i="7" s="1"/>
  <c r="AJ128" i="7"/>
  <c r="S128" i="7" s="1"/>
  <c r="AJ133" i="7"/>
  <c r="S133" i="7" s="1"/>
  <c r="AJ139" i="7"/>
  <c r="S139" i="7" s="1"/>
  <c r="AJ89" i="7"/>
  <c r="S89" i="7" s="1"/>
  <c r="AJ104" i="7"/>
  <c r="S104" i="7" s="1"/>
  <c r="AJ81" i="7"/>
  <c r="S81" i="7" s="1"/>
  <c r="AJ67" i="7"/>
  <c r="S67" i="7" s="1"/>
  <c r="AJ132" i="7"/>
  <c r="S132" i="7" s="1"/>
  <c r="AJ77" i="7"/>
  <c r="S77" i="7" s="1"/>
  <c r="AJ118" i="7"/>
  <c r="S118" i="7" s="1"/>
  <c r="AJ123" i="7"/>
  <c r="S123" i="7" s="1"/>
  <c r="AJ127" i="7"/>
  <c r="S127" i="7" s="1"/>
  <c r="AJ131" i="7"/>
  <c r="S131" i="7" s="1"/>
  <c r="AJ138" i="7"/>
  <c r="S138" i="7" s="1"/>
  <c r="AJ84" i="7"/>
  <c r="S84" i="7" s="1"/>
  <c r="AJ105" i="7"/>
  <c r="S105" i="7" s="1"/>
  <c r="AJ103" i="7"/>
  <c r="S103" i="7" s="1"/>
  <c r="AJ87" i="7"/>
  <c r="S87" i="7" s="1"/>
  <c r="AJ156" i="7"/>
  <c r="S156" i="7" s="1"/>
  <c r="AJ99" i="7"/>
  <c r="S99" i="7" s="1"/>
  <c r="AJ71" i="7"/>
  <c r="S71" i="7" s="1"/>
  <c r="AJ65" i="7"/>
  <c r="S65" i="7" s="1"/>
  <c r="AJ122" i="7"/>
  <c r="S122" i="7" s="1"/>
  <c r="AJ115" i="7"/>
  <c r="S115" i="7" s="1"/>
  <c r="AJ117" i="7"/>
  <c r="S117" i="7" s="1"/>
  <c r="AJ121" i="7"/>
  <c r="S121" i="7" s="1"/>
  <c r="AJ126" i="7"/>
  <c r="S126" i="7" s="1"/>
  <c r="AJ130" i="7"/>
  <c r="S130" i="7" s="1"/>
  <c r="AJ136" i="7"/>
  <c r="S136" i="7" s="1"/>
  <c r="AJ142" i="7"/>
  <c r="S142" i="7" s="1"/>
  <c r="AJ92" i="7"/>
  <c r="S92" i="7" s="1"/>
  <c r="AJ100" i="7"/>
  <c r="S100" i="7" s="1"/>
  <c r="AJ86" i="7"/>
  <c r="S86" i="7" s="1"/>
  <c r="AJ154" i="7"/>
  <c r="S154" i="7" s="1"/>
  <c r="AJ98" i="7"/>
  <c r="S98" i="7" s="1"/>
  <c r="AJ83" i="7"/>
  <c r="S83" i="7" s="1"/>
  <c r="G7" i="7"/>
  <c r="AF7" i="7" s="1"/>
  <c r="V7" i="7"/>
  <c r="W7" i="7"/>
  <c r="AH7" i="7" s="1"/>
  <c r="AI7" i="7" s="1"/>
  <c r="X7" i="7"/>
  <c r="Y7" i="7"/>
  <c r="Z7" i="7"/>
  <c r="AA7" i="7"/>
  <c r="AB7" i="7"/>
  <c r="AC7" i="7"/>
  <c r="AG7" i="7" s="1"/>
  <c r="AD7" i="7"/>
  <c r="AE7" i="7"/>
  <c r="G38" i="7"/>
  <c r="AF38" i="7" s="1"/>
  <c r="V38" i="7"/>
  <c r="W38" i="7"/>
  <c r="AH38" i="7" s="1"/>
  <c r="AI38" i="7" s="1"/>
  <c r="X38" i="7"/>
  <c r="Y38" i="7"/>
  <c r="Z38" i="7"/>
  <c r="AA38" i="7"/>
  <c r="AB38" i="7"/>
  <c r="AC38" i="7"/>
  <c r="AG38" i="7" s="1"/>
  <c r="AD38" i="7"/>
  <c r="AE38" i="7"/>
  <c r="G37" i="7"/>
  <c r="AF37" i="7" s="1"/>
  <c r="V37" i="7"/>
  <c r="W37" i="7"/>
  <c r="AH37" i="7" s="1"/>
  <c r="AI37" i="7" s="1"/>
  <c r="X37" i="7"/>
  <c r="Y37" i="7"/>
  <c r="Z37" i="7"/>
  <c r="AA37" i="7"/>
  <c r="AB37" i="7"/>
  <c r="AC37" i="7"/>
  <c r="AG37" i="7" s="1"/>
  <c r="AD37" i="7"/>
  <c r="AE37" i="7"/>
  <c r="G36" i="7"/>
  <c r="AF36" i="7" s="1"/>
  <c r="V36" i="7"/>
  <c r="W36" i="7"/>
  <c r="AH36" i="7" s="1"/>
  <c r="AI36" i="7" s="1"/>
  <c r="X36" i="7"/>
  <c r="Y36" i="7"/>
  <c r="Z36" i="7"/>
  <c r="AA36" i="7"/>
  <c r="AB36" i="7"/>
  <c r="AC36" i="7"/>
  <c r="AG36" i="7" s="1"/>
  <c r="AD36" i="7"/>
  <c r="AE36" i="7"/>
  <c r="G35" i="7"/>
  <c r="AF35" i="7" s="1"/>
  <c r="V35" i="7"/>
  <c r="W35" i="7"/>
  <c r="AH35" i="7" s="1"/>
  <c r="AI35" i="7" s="1"/>
  <c r="X35" i="7"/>
  <c r="Y35" i="7"/>
  <c r="Z35" i="7"/>
  <c r="AA35" i="7"/>
  <c r="AB35" i="7"/>
  <c r="AC35" i="7"/>
  <c r="AG35" i="7" s="1"/>
  <c r="AD35" i="7"/>
  <c r="AE35" i="7"/>
  <c r="G34" i="7"/>
  <c r="AF34" i="7" s="1"/>
  <c r="V34" i="7"/>
  <c r="W34" i="7"/>
  <c r="AH34" i="7" s="1"/>
  <c r="AI34" i="7" s="1"/>
  <c r="X34" i="7"/>
  <c r="Y34" i="7"/>
  <c r="Z34" i="7"/>
  <c r="AA34" i="7"/>
  <c r="AB34" i="7"/>
  <c r="AC34" i="7"/>
  <c r="AG34" i="7" s="1"/>
  <c r="AD34" i="7"/>
  <c r="AE34" i="7"/>
  <c r="G33" i="7"/>
  <c r="AF33" i="7" s="1"/>
  <c r="V33" i="7"/>
  <c r="W33" i="7"/>
  <c r="AH33" i="7" s="1"/>
  <c r="AI33" i="7" s="1"/>
  <c r="X33" i="7"/>
  <c r="Y33" i="7"/>
  <c r="Z33" i="7"/>
  <c r="AA33" i="7"/>
  <c r="AB33" i="7"/>
  <c r="AC33" i="7"/>
  <c r="AG33" i="7" s="1"/>
  <c r="AD33" i="7"/>
  <c r="AE33" i="7"/>
  <c r="G11" i="7"/>
  <c r="AF11" i="7" s="1"/>
  <c r="V11" i="7"/>
  <c r="W11" i="7"/>
  <c r="AH11" i="7" s="1"/>
  <c r="AI11" i="7" s="1"/>
  <c r="X11" i="7"/>
  <c r="Y11" i="7"/>
  <c r="Z11" i="7"/>
  <c r="AA11" i="7"/>
  <c r="AB11" i="7"/>
  <c r="AC11" i="7"/>
  <c r="AG11" i="7" s="1"/>
  <c r="AD11" i="7"/>
  <c r="AE11" i="7"/>
  <c r="G32" i="7"/>
  <c r="AF32" i="7" s="1"/>
  <c r="V32" i="7"/>
  <c r="W32" i="7"/>
  <c r="AH32" i="7" s="1"/>
  <c r="AI32" i="7" s="1"/>
  <c r="X32" i="7"/>
  <c r="Y32" i="7"/>
  <c r="Z32" i="7"/>
  <c r="AA32" i="7"/>
  <c r="AB32" i="7"/>
  <c r="AC32" i="7"/>
  <c r="AG32" i="7" s="1"/>
  <c r="AD32" i="7"/>
  <c r="AE32" i="7"/>
  <c r="G8" i="7"/>
  <c r="AF8" i="7" s="1"/>
  <c r="V8" i="7"/>
  <c r="W8" i="7"/>
  <c r="AH8" i="7" s="1"/>
  <c r="AI8" i="7" s="1"/>
  <c r="X8" i="7"/>
  <c r="Y8" i="7"/>
  <c r="Z8" i="7"/>
  <c r="AA8" i="7"/>
  <c r="AB8" i="7"/>
  <c r="AC8" i="7"/>
  <c r="AG8" i="7" s="1"/>
  <c r="AD8" i="7"/>
  <c r="AE8" i="7"/>
  <c r="G10" i="7"/>
  <c r="AF10" i="7" s="1"/>
  <c r="V10" i="7"/>
  <c r="W10" i="7"/>
  <c r="AH10" i="7" s="1"/>
  <c r="AI10" i="7" s="1"/>
  <c r="X10" i="7"/>
  <c r="Y10" i="7"/>
  <c r="Z10" i="7"/>
  <c r="AA10" i="7"/>
  <c r="AB10" i="7"/>
  <c r="AC10" i="7"/>
  <c r="AG10" i="7" s="1"/>
  <c r="AD10" i="7"/>
  <c r="AE10" i="7"/>
  <c r="G9" i="7"/>
  <c r="AF9" i="7" s="1"/>
  <c r="V9" i="7"/>
  <c r="W9" i="7"/>
  <c r="AH9" i="7" s="1"/>
  <c r="AI9" i="7" s="1"/>
  <c r="X9" i="7"/>
  <c r="Y9" i="7"/>
  <c r="Z9" i="7"/>
  <c r="AA9" i="7"/>
  <c r="AB9" i="7"/>
  <c r="AC9" i="7"/>
  <c r="AG9" i="7" s="1"/>
  <c r="AD9" i="7"/>
  <c r="AE9" i="7"/>
  <c r="G30" i="7"/>
  <c r="AF30" i="7" s="1"/>
  <c r="V30" i="7"/>
  <c r="W30" i="7"/>
  <c r="AH30" i="7" s="1"/>
  <c r="AI30" i="7" s="1"/>
  <c r="X30" i="7"/>
  <c r="Y30" i="7"/>
  <c r="Z30" i="7"/>
  <c r="AA30" i="7"/>
  <c r="AB30" i="7"/>
  <c r="AC30" i="7"/>
  <c r="AG30" i="7" s="1"/>
  <c r="AD30" i="7"/>
  <c r="AE30" i="7"/>
  <c r="G29" i="7"/>
  <c r="AF29" i="7" s="1"/>
  <c r="V29" i="7"/>
  <c r="W29" i="7"/>
  <c r="AH29" i="7" s="1"/>
  <c r="AI29" i="7" s="1"/>
  <c r="X29" i="7"/>
  <c r="Y29" i="7"/>
  <c r="Z29" i="7"/>
  <c r="AA29" i="7"/>
  <c r="AB29" i="7"/>
  <c r="AC29" i="7"/>
  <c r="AG29" i="7" s="1"/>
  <c r="AD29" i="7"/>
  <c r="AE29" i="7"/>
  <c r="G31" i="7"/>
  <c r="AF31" i="7" s="1"/>
  <c r="V31" i="7"/>
  <c r="W31" i="7"/>
  <c r="AH31" i="7" s="1"/>
  <c r="AI31" i="7" s="1"/>
  <c r="X31" i="7"/>
  <c r="Y31" i="7"/>
  <c r="Z31" i="7"/>
  <c r="AA31" i="7"/>
  <c r="AB31" i="7"/>
  <c r="AC31" i="7"/>
  <c r="AG31" i="7" s="1"/>
  <c r="AD31" i="7"/>
  <c r="AE31" i="7"/>
  <c r="G13" i="7"/>
  <c r="AF13" i="7" s="1"/>
  <c r="V13" i="7"/>
  <c r="W13" i="7"/>
  <c r="AH13" i="7" s="1"/>
  <c r="AI13" i="7" s="1"/>
  <c r="X13" i="7"/>
  <c r="Y13" i="7"/>
  <c r="Z13" i="7"/>
  <c r="AA13" i="7"/>
  <c r="AB13" i="7"/>
  <c r="AC13" i="7"/>
  <c r="AG13" i="7" s="1"/>
  <c r="AD13" i="7"/>
  <c r="AE13" i="7"/>
  <c r="G28" i="7"/>
  <c r="AF28" i="7" s="1"/>
  <c r="V28" i="7"/>
  <c r="W28" i="7"/>
  <c r="AH28" i="7" s="1"/>
  <c r="AI28" i="7" s="1"/>
  <c r="X28" i="7"/>
  <c r="Y28" i="7"/>
  <c r="Z28" i="7"/>
  <c r="AA28" i="7"/>
  <c r="AB28" i="7"/>
  <c r="AC28" i="7"/>
  <c r="AG28" i="7" s="1"/>
  <c r="AD28" i="7"/>
  <c r="AE28" i="7"/>
  <c r="AK19" i="7" l="1"/>
  <c r="K260" i="9" s="1"/>
  <c r="AJ36" i="7"/>
  <c r="AJ28" i="7"/>
  <c r="AJ30" i="7"/>
  <c r="AJ11" i="7"/>
  <c r="AK11" i="7" s="1"/>
  <c r="K150" i="9" s="1"/>
  <c r="AJ32" i="7"/>
  <c r="AK32" i="7" s="1"/>
  <c r="K163" i="9" s="1"/>
  <c r="AJ35" i="7"/>
  <c r="AJ7" i="7"/>
  <c r="AJ29" i="7"/>
  <c r="AJ8" i="7"/>
  <c r="AK8" i="7" s="1"/>
  <c r="K147" i="9" s="1"/>
  <c r="AJ34" i="7"/>
  <c r="AJ38" i="7"/>
  <c r="AJ31" i="7"/>
  <c r="AK31" i="7" s="1"/>
  <c r="K162" i="9" s="1"/>
  <c r="AJ10" i="7"/>
  <c r="AK10" i="7" s="1"/>
  <c r="K149" i="9" s="1"/>
  <c r="AJ33" i="7"/>
  <c r="AK33" i="7" s="1"/>
  <c r="K164" i="9" s="1"/>
  <c r="AJ37" i="7"/>
  <c r="AJ13" i="7"/>
  <c r="AK13" i="7" s="1"/>
  <c r="K152" i="9" s="1"/>
  <c r="AJ9" i="7"/>
  <c r="AK9" i="7" s="1"/>
  <c r="K148" i="9" s="1"/>
  <c r="G14" i="7"/>
  <c r="AF14" i="7" s="1"/>
  <c r="V14" i="7"/>
  <c r="W14" i="7"/>
  <c r="AH14" i="7" s="1"/>
  <c r="AI14" i="7" s="1"/>
  <c r="X14" i="7"/>
  <c r="Y14" i="7"/>
  <c r="Z14" i="7"/>
  <c r="AA14" i="7"/>
  <c r="AB14" i="7"/>
  <c r="AC14" i="7"/>
  <c r="AG14" i="7" s="1"/>
  <c r="AD14" i="7"/>
  <c r="AE14" i="7"/>
  <c r="G12" i="7"/>
  <c r="AF12" i="7" s="1"/>
  <c r="V12" i="7"/>
  <c r="W12" i="7"/>
  <c r="AH12" i="7" s="1"/>
  <c r="AI12" i="7" s="1"/>
  <c r="X12" i="7"/>
  <c r="Y12" i="7"/>
  <c r="Z12" i="7"/>
  <c r="AA12" i="7"/>
  <c r="AB12" i="7"/>
  <c r="AC12" i="7"/>
  <c r="AG12" i="7" s="1"/>
  <c r="AD12" i="7"/>
  <c r="AE12" i="7"/>
  <c r="G27" i="7"/>
  <c r="AF27" i="7" s="1"/>
  <c r="V27" i="7"/>
  <c r="W27" i="7"/>
  <c r="AH27" i="7" s="1"/>
  <c r="AI27" i="7" s="1"/>
  <c r="X27" i="7"/>
  <c r="Y27" i="7"/>
  <c r="Z27" i="7"/>
  <c r="AA27" i="7"/>
  <c r="AB27" i="7"/>
  <c r="AC27" i="7"/>
  <c r="AG27" i="7" s="1"/>
  <c r="AD27" i="7"/>
  <c r="AE27" i="7"/>
  <c r="G26" i="7"/>
  <c r="AF26" i="7" s="1"/>
  <c r="V26" i="7"/>
  <c r="W26" i="7"/>
  <c r="AH26" i="7" s="1"/>
  <c r="AI26" i="7" s="1"/>
  <c r="X26" i="7"/>
  <c r="Y26" i="7"/>
  <c r="Z26" i="7"/>
  <c r="AA26" i="7"/>
  <c r="AB26" i="7"/>
  <c r="AC26" i="7"/>
  <c r="AG26" i="7" s="1"/>
  <c r="AD26" i="7"/>
  <c r="AE26" i="7"/>
  <c r="G25" i="7"/>
  <c r="AF25" i="7" s="1"/>
  <c r="V25" i="7"/>
  <c r="W25" i="7"/>
  <c r="AH25" i="7" s="1"/>
  <c r="AI25" i="7" s="1"/>
  <c r="X25" i="7"/>
  <c r="Y25" i="7"/>
  <c r="Z25" i="7"/>
  <c r="AA25" i="7"/>
  <c r="AB25" i="7"/>
  <c r="AC25" i="7"/>
  <c r="AG25" i="7" s="1"/>
  <c r="AD25" i="7"/>
  <c r="AE25" i="7"/>
  <c r="G24" i="7"/>
  <c r="AF24" i="7" s="1"/>
  <c r="V24" i="7"/>
  <c r="W24" i="7"/>
  <c r="AH24" i="7" s="1"/>
  <c r="AI24" i="7" s="1"/>
  <c r="X24" i="7"/>
  <c r="Y24" i="7"/>
  <c r="Z24" i="7"/>
  <c r="AA24" i="7"/>
  <c r="AB24" i="7"/>
  <c r="AC24" i="7"/>
  <c r="AG24" i="7" s="1"/>
  <c r="AD24" i="7"/>
  <c r="AE24" i="7"/>
  <c r="AK29" i="7" l="1"/>
  <c r="AK30" i="7"/>
  <c r="K161" i="9" s="1"/>
  <c r="AK7" i="7"/>
  <c r="K146" i="9" s="1"/>
  <c r="AK28" i="7"/>
  <c r="K160" i="9" s="1"/>
  <c r="AK37" i="7"/>
  <c r="K168" i="9" s="1"/>
  <c r="AK38" i="7"/>
  <c r="K169" i="9" s="1"/>
  <c r="AK35" i="7"/>
  <c r="K166" i="9" s="1"/>
  <c r="AK36" i="7"/>
  <c r="K167" i="9" s="1"/>
  <c r="AK34" i="7"/>
  <c r="K165" i="9" s="1"/>
  <c r="S10" i="7"/>
  <c r="S8" i="7"/>
  <c r="S36" i="7"/>
  <c r="S31" i="7"/>
  <c r="S29" i="7"/>
  <c r="S7" i="7"/>
  <c r="S11" i="7"/>
  <c r="S37" i="7"/>
  <c r="S38" i="7"/>
  <c r="S30" i="7"/>
  <c r="S35" i="7"/>
  <c r="S9" i="7"/>
  <c r="S33" i="7"/>
  <c r="S34" i="7"/>
  <c r="S28" i="7"/>
  <c r="S32" i="7"/>
  <c r="S13" i="7"/>
  <c r="AJ24" i="7"/>
  <c r="AJ14" i="7"/>
  <c r="AK14" i="7" s="1"/>
  <c r="K153" i="9" s="1"/>
  <c r="AJ25" i="7"/>
  <c r="AJ12" i="7"/>
  <c r="AJ27" i="7"/>
  <c r="AJ26" i="7"/>
  <c r="AK26" i="7" s="1"/>
  <c r="K158" i="9" s="1"/>
  <c r="G47" i="7"/>
  <c r="AF47" i="7" s="1"/>
  <c r="V47" i="7"/>
  <c r="W47" i="7"/>
  <c r="AH47" i="7" s="1"/>
  <c r="AI47" i="7" s="1"/>
  <c r="X47" i="7"/>
  <c r="Y47" i="7"/>
  <c r="Z47" i="7"/>
  <c r="AA47" i="7"/>
  <c r="AB47" i="7"/>
  <c r="AC47" i="7"/>
  <c r="AG47" i="7" s="1"/>
  <c r="AD47" i="7"/>
  <c r="AE47" i="7"/>
  <c r="G63" i="7"/>
  <c r="AF63" i="7" s="1"/>
  <c r="V63" i="7"/>
  <c r="W63" i="7"/>
  <c r="AH63" i="7" s="1"/>
  <c r="AI63" i="7" s="1"/>
  <c r="X63" i="7"/>
  <c r="Y63" i="7"/>
  <c r="Z63" i="7"/>
  <c r="AA63" i="7"/>
  <c r="AB63" i="7"/>
  <c r="AC63" i="7"/>
  <c r="AG63" i="7" s="1"/>
  <c r="AD63" i="7"/>
  <c r="AE63" i="7"/>
  <c r="G39" i="7"/>
  <c r="AF39" i="7" s="1"/>
  <c r="V39" i="7"/>
  <c r="W39" i="7"/>
  <c r="AH39" i="7" s="1"/>
  <c r="AI39" i="7" s="1"/>
  <c r="X39" i="7"/>
  <c r="Y39" i="7"/>
  <c r="Z39" i="7"/>
  <c r="AA39" i="7"/>
  <c r="AB39" i="7"/>
  <c r="AC39" i="7"/>
  <c r="AG39" i="7" s="1"/>
  <c r="AD39" i="7"/>
  <c r="AE39" i="7"/>
  <c r="G23" i="7"/>
  <c r="AF23" i="7" s="1"/>
  <c r="V23" i="7"/>
  <c r="W23" i="7"/>
  <c r="AH23" i="7" s="1"/>
  <c r="AI23" i="7" s="1"/>
  <c r="X23" i="7"/>
  <c r="Y23" i="7"/>
  <c r="Z23" i="7"/>
  <c r="AA23" i="7"/>
  <c r="AB23" i="7"/>
  <c r="AC23" i="7"/>
  <c r="AG23" i="7" s="1"/>
  <c r="AD23" i="7"/>
  <c r="AE23" i="7"/>
  <c r="G40" i="7"/>
  <c r="AF40" i="7" s="1"/>
  <c r="V40" i="7"/>
  <c r="W40" i="7"/>
  <c r="AH40" i="7" s="1"/>
  <c r="AI40" i="7" s="1"/>
  <c r="X40" i="7"/>
  <c r="Y40" i="7"/>
  <c r="Z40" i="7"/>
  <c r="AA40" i="7"/>
  <c r="AB40" i="7"/>
  <c r="AC40" i="7"/>
  <c r="AG40" i="7" s="1"/>
  <c r="AD40" i="7"/>
  <c r="AE40" i="7"/>
  <c r="G22" i="7"/>
  <c r="AF22" i="7" s="1"/>
  <c r="V22" i="7"/>
  <c r="W22" i="7"/>
  <c r="AH22" i="7" s="1"/>
  <c r="AI22" i="7" s="1"/>
  <c r="X22" i="7"/>
  <c r="Y22" i="7"/>
  <c r="Z22" i="7"/>
  <c r="AA22" i="7"/>
  <c r="AB22" i="7"/>
  <c r="AC22" i="7"/>
  <c r="AG22" i="7" s="1"/>
  <c r="AD22" i="7"/>
  <c r="AE22" i="7"/>
  <c r="G21" i="7"/>
  <c r="AF21" i="7" s="1"/>
  <c r="V21" i="7"/>
  <c r="W21" i="7"/>
  <c r="AH21" i="7" s="1"/>
  <c r="AI21" i="7" s="1"/>
  <c r="X21" i="7"/>
  <c r="Y21" i="7"/>
  <c r="Z21" i="7"/>
  <c r="AA21" i="7"/>
  <c r="AB21" i="7"/>
  <c r="AC21" i="7"/>
  <c r="AG21" i="7" s="1"/>
  <c r="AD21" i="7"/>
  <c r="AE21" i="7"/>
  <c r="G53" i="7"/>
  <c r="AF53" i="7" s="1"/>
  <c r="V53" i="7"/>
  <c r="W53" i="7"/>
  <c r="AH53" i="7" s="1"/>
  <c r="AI53" i="7" s="1"/>
  <c r="X53" i="7"/>
  <c r="Y53" i="7"/>
  <c r="Z53" i="7"/>
  <c r="AA53" i="7"/>
  <c r="AB53" i="7"/>
  <c r="AC53" i="7"/>
  <c r="AG53" i="7" s="1"/>
  <c r="AD53" i="7"/>
  <c r="AE53" i="7"/>
  <c r="G52" i="7"/>
  <c r="AF52" i="7" s="1"/>
  <c r="V52" i="7"/>
  <c r="W52" i="7"/>
  <c r="AH52" i="7" s="1"/>
  <c r="AI52" i="7" s="1"/>
  <c r="X52" i="7"/>
  <c r="Y52" i="7"/>
  <c r="Z52" i="7"/>
  <c r="AA52" i="7"/>
  <c r="AB52" i="7"/>
  <c r="AC52" i="7"/>
  <c r="AG52" i="7" s="1"/>
  <c r="AD52" i="7"/>
  <c r="AE52" i="7"/>
  <c r="G50" i="7"/>
  <c r="AF50" i="7" s="1"/>
  <c r="V50" i="7"/>
  <c r="W50" i="7"/>
  <c r="AH50" i="7" s="1"/>
  <c r="AI50" i="7" s="1"/>
  <c r="X50" i="7"/>
  <c r="Y50" i="7"/>
  <c r="Z50" i="7"/>
  <c r="AA50" i="7"/>
  <c r="AB50" i="7"/>
  <c r="AC50" i="7"/>
  <c r="AG50" i="7" s="1"/>
  <c r="AD50" i="7"/>
  <c r="AE50" i="7"/>
  <c r="G56" i="7"/>
  <c r="AF56" i="7" s="1"/>
  <c r="V56" i="7"/>
  <c r="W56" i="7"/>
  <c r="AH56" i="7" s="1"/>
  <c r="AI56" i="7" s="1"/>
  <c r="X56" i="7"/>
  <c r="Y56" i="7"/>
  <c r="Z56" i="7"/>
  <c r="AA56" i="7"/>
  <c r="AB56" i="7"/>
  <c r="AC56" i="7"/>
  <c r="AG56" i="7" s="1"/>
  <c r="AD56" i="7"/>
  <c r="AE56" i="7"/>
  <c r="G58" i="7"/>
  <c r="AF58" i="7" s="1"/>
  <c r="V58" i="7"/>
  <c r="W58" i="7"/>
  <c r="AH58" i="7" s="1"/>
  <c r="AI58" i="7" s="1"/>
  <c r="X58" i="7"/>
  <c r="Y58" i="7"/>
  <c r="Z58" i="7"/>
  <c r="AA58" i="7"/>
  <c r="AB58" i="7"/>
  <c r="AC58" i="7"/>
  <c r="AG58" i="7" s="1"/>
  <c r="AD58" i="7"/>
  <c r="AE58" i="7"/>
  <c r="G57" i="7"/>
  <c r="AF57" i="7" s="1"/>
  <c r="V57" i="7"/>
  <c r="W57" i="7"/>
  <c r="AH57" i="7" s="1"/>
  <c r="AI57" i="7" s="1"/>
  <c r="X57" i="7"/>
  <c r="Y57" i="7"/>
  <c r="Z57" i="7"/>
  <c r="AA57" i="7"/>
  <c r="AB57" i="7"/>
  <c r="AC57" i="7"/>
  <c r="AG57" i="7" s="1"/>
  <c r="AD57" i="7"/>
  <c r="AE57" i="7"/>
  <c r="G59" i="7"/>
  <c r="AF59" i="7" s="1"/>
  <c r="V59" i="7"/>
  <c r="W59" i="7"/>
  <c r="AH59" i="7" s="1"/>
  <c r="AI59" i="7" s="1"/>
  <c r="X59" i="7"/>
  <c r="Y59" i="7"/>
  <c r="Z59" i="7"/>
  <c r="AA59" i="7"/>
  <c r="AB59" i="7"/>
  <c r="AC59" i="7"/>
  <c r="AG59" i="7" s="1"/>
  <c r="AD59" i="7"/>
  <c r="AE59" i="7"/>
  <c r="G61" i="7"/>
  <c r="AF61" i="7" s="1"/>
  <c r="V61" i="7"/>
  <c r="W61" i="7"/>
  <c r="AH61" i="7" s="1"/>
  <c r="AI61" i="7" s="1"/>
  <c r="X61" i="7"/>
  <c r="Y61" i="7"/>
  <c r="Z61" i="7"/>
  <c r="AA61" i="7"/>
  <c r="AB61" i="7"/>
  <c r="AC61" i="7"/>
  <c r="AG61" i="7" s="1"/>
  <c r="AD61" i="7"/>
  <c r="AE61" i="7"/>
  <c r="G60" i="7"/>
  <c r="AF60" i="7" s="1"/>
  <c r="V60" i="7"/>
  <c r="W60" i="7"/>
  <c r="AH60" i="7" s="1"/>
  <c r="AI60" i="7" s="1"/>
  <c r="X60" i="7"/>
  <c r="Y60" i="7"/>
  <c r="Z60" i="7"/>
  <c r="AA60" i="7"/>
  <c r="AB60" i="7"/>
  <c r="AC60" i="7"/>
  <c r="AG60" i="7" s="1"/>
  <c r="AD60" i="7"/>
  <c r="AE60" i="7"/>
  <c r="G62" i="7"/>
  <c r="AF62" i="7" s="1"/>
  <c r="V62" i="7"/>
  <c r="W62" i="7"/>
  <c r="AH62" i="7" s="1"/>
  <c r="AI62" i="7" s="1"/>
  <c r="X62" i="7"/>
  <c r="Y62" i="7"/>
  <c r="Z62" i="7"/>
  <c r="AA62" i="7"/>
  <c r="AB62" i="7"/>
  <c r="AC62" i="7"/>
  <c r="AG62" i="7" s="1"/>
  <c r="AD62" i="7"/>
  <c r="AE62" i="7"/>
  <c r="AK27" i="7" l="1"/>
  <c r="K159" i="9" s="1"/>
  <c r="AK12" i="7"/>
  <c r="K151" i="9" s="1"/>
  <c r="AK24" i="7"/>
  <c r="K156" i="9" s="1"/>
  <c r="AK25" i="7"/>
  <c r="K157" i="9" s="1"/>
  <c r="S26" i="7"/>
  <c r="S27" i="7"/>
  <c r="S14" i="7"/>
  <c r="S24" i="7"/>
  <c r="S25" i="7"/>
  <c r="S12" i="7"/>
  <c r="AJ61" i="7"/>
  <c r="S61" i="7" s="1"/>
  <c r="AJ56" i="7"/>
  <c r="S56" i="7" s="1"/>
  <c r="AJ21" i="7"/>
  <c r="AK21" i="7" s="1"/>
  <c r="K171" i="9" s="1"/>
  <c r="AJ39" i="7"/>
  <c r="AJ60" i="7"/>
  <c r="S60" i="7" s="1"/>
  <c r="AJ58" i="7"/>
  <c r="S58" i="7" s="1"/>
  <c r="AJ53" i="7"/>
  <c r="S53" i="7" s="1"/>
  <c r="AJ23" i="7"/>
  <c r="AJ62" i="7"/>
  <c r="S62" i="7" s="1"/>
  <c r="AJ57" i="7"/>
  <c r="S57" i="7" s="1"/>
  <c r="AJ52" i="7"/>
  <c r="S52" i="7" s="1"/>
  <c r="AJ40" i="7"/>
  <c r="AK40" i="7" s="1"/>
  <c r="K175" i="9" s="1"/>
  <c r="AJ47" i="7"/>
  <c r="S47" i="7" s="1"/>
  <c r="AJ59" i="7"/>
  <c r="S59" i="7" s="1"/>
  <c r="AJ50" i="7"/>
  <c r="S50" i="7" s="1"/>
  <c r="AJ22" i="7"/>
  <c r="AK22" i="7" s="1"/>
  <c r="K172" i="9" s="1"/>
  <c r="AJ63" i="7"/>
  <c r="S63" i="7" s="1"/>
  <c r="V326" i="7"/>
  <c r="W326" i="7"/>
  <c r="AH326" i="7" s="1"/>
  <c r="AI326" i="7" s="1"/>
  <c r="X326" i="7"/>
  <c r="Y326" i="7"/>
  <c r="Z326" i="7"/>
  <c r="AA326" i="7"/>
  <c r="AB326" i="7"/>
  <c r="AC326" i="7"/>
  <c r="AG326" i="7" s="1"/>
  <c r="AD326" i="7"/>
  <c r="AE326" i="7"/>
  <c r="AK39" i="7" l="1"/>
  <c r="K174" i="9" s="1"/>
  <c r="AK23" i="7"/>
  <c r="K173" i="9" s="1"/>
  <c r="S21" i="7"/>
  <c r="S23" i="7"/>
  <c r="S22" i="7"/>
  <c r="S39" i="7"/>
  <c r="S40" i="7"/>
  <c r="AJ326" i="7"/>
  <c r="S326" i="7" s="1"/>
  <c r="C26" i="15"/>
  <c r="D28" i="15" s="1"/>
  <c r="E28" i="15" s="1"/>
  <c r="D54" i="6"/>
  <c r="E48" i="6" s="1"/>
  <c r="D63" i="1"/>
  <c r="E38" i="1" s="1"/>
  <c r="L1" i="2" s="1"/>
  <c r="AK326" i="7" l="1"/>
  <c r="D27" i="15"/>
  <c r="E27" i="15" s="1"/>
  <c r="D29" i="15"/>
  <c r="E29" i="15" s="1"/>
  <c r="E27" i="6"/>
  <c r="E15" i="6"/>
  <c r="E3" i="6"/>
  <c r="E40" i="6"/>
  <c r="E9" i="6"/>
  <c r="E44" i="6"/>
  <c r="E22" i="6"/>
  <c r="E35" i="1"/>
  <c r="K1" i="2" s="1"/>
  <c r="E43" i="1"/>
  <c r="M1" i="2" s="1"/>
  <c r="E8" i="1"/>
  <c r="F1" i="2" s="1"/>
  <c r="E11" i="1"/>
  <c r="G1" i="2" s="1"/>
  <c r="E23" i="1"/>
  <c r="I1" i="2" s="1"/>
  <c r="E52" i="1"/>
  <c r="N1" i="2" s="1"/>
  <c r="E3" i="1"/>
  <c r="E1" i="2" s="1"/>
  <c r="E32" i="1"/>
  <c r="J1" i="2" s="1"/>
  <c r="E59" i="1"/>
  <c r="O1" i="2" s="1"/>
  <c r="E19" i="1"/>
  <c r="H1" i="2" s="1"/>
  <c r="AB310" i="2" l="1"/>
  <c r="I294" i="9" s="1"/>
  <c r="Q294" i="9" s="1"/>
  <c r="AB311" i="2"/>
  <c r="I295" i="9" s="1"/>
  <c r="Q295" i="9" s="1"/>
  <c r="AB324" i="2"/>
  <c r="I308" i="9" s="1"/>
  <c r="Q308" i="9" s="1"/>
  <c r="AB319" i="2"/>
  <c r="I303" i="9" s="1"/>
  <c r="Q303" i="9" s="1"/>
  <c r="AB326" i="2"/>
  <c r="I310" i="9" s="1"/>
  <c r="Q310" i="9" s="1"/>
  <c r="AB323" i="2"/>
  <c r="I307" i="9" s="1"/>
  <c r="Q307" i="9" s="1"/>
  <c r="AB317" i="2"/>
  <c r="I301" i="9" s="1"/>
  <c r="Q301" i="9" s="1"/>
  <c r="AB318" i="2"/>
  <c r="I302" i="9" s="1"/>
  <c r="Q302" i="9" s="1"/>
  <c r="AB322" i="2"/>
  <c r="I306" i="9" s="1"/>
  <c r="Q306" i="9" s="1"/>
  <c r="AB312" i="2"/>
  <c r="AB321" i="2"/>
  <c r="I305" i="9" s="1"/>
  <c r="Q305" i="9" s="1"/>
  <c r="AB327" i="2"/>
  <c r="I311" i="9" s="1"/>
  <c r="Q311" i="9" s="1"/>
  <c r="G311" i="9" s="1"/>
  <c r="AB315" i="2"/>
  <c r="I299" i="9" s="1"/>
  <c r="Q299" i="9" s="1"/>
  <c r="AB316" i="2"/>
  <c r="I300" i="9" s="1"/>
  <c r="Q300" i="9" s="1"/>
  <c r="AB320" i="2"/>
  <c r="I304" i="9" s="1"/>
  <c r="Q304" i="9" s="1"/>
  <c r="AB313" i="2"/>
  <c r="I297" i="9" s="1"/>
  <c r="Q297" i="9" s="1"/>
  <c r="AB314" i="2"/>
  <c r="I298" i="9" s="1"/>
  <c r="Q298" i="9" s="1"/>
  <c r="AB325" i="2"/>
  <c r="I309" i="9" s="1"/>
  <c r="Q309" i="9" s="1"/>
  <c r="AB309" i="2"/>
  <c r="AB308" i="2"/>
  <c r="AB268" i="2"/>
  <c r="I113" i="9" s="1"/>
  <c r="Q113" i="9" s="1"/>
  <c r="AB69" i="2"/>
  <c r="I211" i="9" s="1"/>
  <c r="AB27" i="2"/>
  <c r="I172" i="9" s="1"/>
  <c r="Q172" i="9" s="1"/>
  <c r="AB17" i="2"/>
  <c r="I151" i="9" s="1"/>
  <c r="Q151" i="9" s="1"/>
  <c r="AB287" i="2"/>
  <c r="AB80" i="2"/>
  <c r="I7" i="9" s="1"/>
  <c r="Q7" i="9" s="1"/>
  <c r="AB42" i="2"/>
  <c r="I168" i="9" s="1"/>
  <c r="Q168" i="9" s="1"/>
  <c r="AB24" i="2"/>
  <c r="I260" i="9" s="1"/>
  <c r="Q260" i="9" s="1"/>
  <c r="AB84" i="2"/>
  <c r="I11" i="9" s="1"/>
  <c r="AB58" i="2"/>
  <c r="I60" i="9" s="1"/>
  <c r="Q60" i="9" s="1"/>
  <c r="AB62" i="2"/>
  <c r="I202" i="9" s="1"/>
  <c r="Q202" i="9" s="1"/>
  <c r="AB37" i="2"/>
  <c r="I163" i="9" s="1"/>
  <c r="Q163" i="9" s="1"/>
  <c r="AB97" i="2"/>
  <c r="AB72" i="2"/>
  <c r="I44" i="9" s="1"/>
  <c r="Q44" i="9" s="1"/>
  <c r="AB43" i="2"/>
  <c r="I169" i="9" s="1"/>
  <c r="Q169" i="9" s="1"/>
  <c r="AB14" i="2"/>
  <c r="I148" i="9" s="1"/>
  <c r="Q148" i="9" s="1"/>
  <c r="AB92" i="2"/>
  <c r="I75" i="9" s="1"/>
  <c r="Q75" i="9" s="1"/>
  <c r="AB52" i="2"/>
  <c r="I109" i="9" s="1"/>
  <c r="Q109" i="9" s="1"/>
  <c r="AB9" i="2"/>
  <c r="I258" i="9" s="1"/>
  <c r="AB86" i="2"/>
  <c r="I215" i="9" s="1"/>
  <c r="Q215" i="9" s="1"/>
  <c r="AB65" i="2"/>
  <c r="I205" i="9" s="1"/>
  <c r="Q205" i="9" s="1"/>
  <c r="AB40" i="2"/>
  <c r="I166" i="9" s="1"/>
  <c r="Q166" i="9" s="1"/>
  <c r="AB11" i="2"/>
  <c r="I145" i="9" s="1"/>
  <c r="AB228" i="2"/>
  <c r="I45" i="9" s="1"/>
  <c r="Q45" i="9" s="1"/>
  <c r="AB215" i="2"/>
  <c r="I240" i="9" s="1"/>
  <c r="AB206" i="2"/>
  <c r="I105" i="9" s="1"/>
  <c r="AB196" i="2"/>
  <c r="I135" i="9" s="1"/>
  <c r="AB183" i="2"/>
  <c r="AB174" i="2"/>
  <c r="I238" i="9" s="1"/>
  <c r="AB164" i="2"/>
  <c r="I228" i="9" s="1"/>
  <c r="AB151" i="2"/>
  <c r="I100" i="9" s="1"/>
  <c r="AB142" i="2"/>
  <c r="I36" i="9" s="1"/>
  <c r="AB132" i="2"/>
  <c r="I26" i="9" s="1"/>
  <c r="Q26" i="9" s="1"/>
  <c r="AB121" i="2"/>
  <c r="I15" i="9" s="1"/>
  <c r="Q15" i="9" s="1"/>
  <c r="AB264" i="2"/>
  <c r="I3" i="9" s="1"/>
  <c r="AB255" i="2"/>
  <c r="I187" i="9" s="1"/>
  <c r="AB226" i="2"/>
  <c r="I55" i="9" s="1"/>
  <c r="Q55" i="9" s="1"/>
  <c r="AB216" i="2"/>
  <c r="I241" i="9" s="1"/>
  <c r="AB203" i="2"/>
  <c r="AB194" i="2"/>
  <c r="I283" i="9" s="1"/>
  <c r="Q283" i="9" s="1"/>
  <c r="AB184" i="2"/>
  <c r="I273" i="9" s="1"/>
  <c r="Q273" i="9" s="1"/>
  <c r="AB171" i="2"/>
  <c r="I235" i="9" s="1"/>
  <c r="AB162" i="2"/>
  <c r="I226" i="9" s="1"/>
  <c r="AB152" i="2"/>
  <c r="I222" i="9" s="1"/>
  <c r="AB139" i="2"/>
  <c r="I33" i="9" s="1"/>
  <c r="Q33" i="9" s="1"/>
  <c r="AB116" i="2"/>
  <c r="I66" i="9" s="1"/>
  <c r="AB280" i="2"/>
  <c r="AB110" i="2"/>
  <c r="I93" i="9" s="1"/>
  <c r="Q93" i="9" s="1"/>
  <c r="AB123" i="2"/>
  <c r="I17" i="9" s="1"/>
  <c r="Q17" i="9" s="1"/>
  <c r="AB99" i="2"/>
  <c r="I82" i="9" s="1"/>
  <c r="Q82" i="9" s="1"/>
  <c r="AB35" i="2"/>
  <c r="I161" i="9" s="1"/>
  <c r="Q161" i="9" s="1"/>
  <c r="AB302" i="2"/>
  <c r="I196" i="9" s="1"/>
  <c r="Q196" i="9" s="1"/>
  <c r="AB294" i="2"/>
  <c r="I253" i="9" s="1"/>
  <c r="AB244" i="2"/>
  <c r="I245" i="9" s="1"/>
  <c r="AB205" i="2"/>
  <c r="I136" i="9" s="1"/>
  <c r="AB173" i="2"/>
  <c r="I237" i="9" s="1"/>
  <c r="AB141" i="2"/>
  <c r="I35" i="9" s="1"/>
  <c r="Q35" i="9" s="1"/>
  <c r="AB87" i="2"/>
  <c r="I216" i="9" s="1"/>
  <c r="Q216" i="9" s="1"/>
  <c r="AB23" i="2"/>
  <c r="I155" i="9" s="1"/>
  <c r="AB298" i="2"/>
  <c r="AB259" i="2"/>
  <c r="I190" i="9" s="1"/>
  <c r="Q190" i="9" s="1"/>
  <c r="AB217" i="2"/>
  <c r="I289" i="9" s="1"/>
  <c r="AB185" i="2"/>
  <c r="AB153" i="2"/>
  <c r="I223" i="9" s="1"/>
  <c r="AB119" i="2"/>
  <c r="AB63" i="2"/>
  <c r="AB306" i="2"/>
  <c r="I200" i="9" s="1"/>
  <c r="Q200" i="9" s="1"/>
  <c r="AB273" i="2"/>
  <c r="AB241" i="2"/>
  <c r="I210" i="9" s="1"/>
  <c r="AB269" i="2"/>
  <c r="I114" i="9" s="1"/>
  <c r="Q114" i="9" s="1"/>
  <c r="AB237" i="2"/>
  <c r="I48" i="9" s="1"/>
  <c r="Q48" i="9" s="1"/>
  <c r="AB270" i="2"/>
  <c r="AB238" i="2"/>
  <c r="I208" i="9" s="1"/>
  <c r="AB282" i="2"/>
  <c r="AB250" i="2"/>
  <c r="I182" i="9" s="1"/>
  <c r="Q182" i="9" s="1"/>
  <c r="AB112" i="2"/>
  <c r="AB26" i="2"/>
  <c r="I171" i="9" s="1"/>
  <c r="Q171" i="9" s="1"/>
  <c r="AB20" i="2"/>
  <c r="I154" i="9" s="1"/>
  <c r="AB106" i="2"/>
  <c r="I89" i="9" s="1"/>
  <c r="Q89" i="9" s="1"/>
  <c r="AB96" i="2"/>
  <c r="AB117" i="2"/>
  <c r="I67" i="9" s="1"/>
  <c r="AB41" i="2"/>
  <c r="I167" i="9" s="1"/>
  <c r="Q167" i="9" s="1"/>
  <c r="AB16" i="2"/>
  <c r="I150" i="9" s="1"/>
  <c r="Q150" i="9" s="1"/>
  <c r="AB81" i="2"/>
  <c r="AB56" i="2"/>
  <c r="I58" i="9" s="1"/>
  <c r="AB60" i="2"/>
  <c r="AB34" i="2"/>
  <c r="AB93" i="2"/>
  <c r="I76" i="9" s="1"/>
  <c r="Q76" i="9" s="1"/>
  <c r="AB57" i="2"/>
  <c r="I59" i="9" s="1"/>
  <c r="Q59" i="9" s="1"/>
  <c r="AB36" i="2"/>
  <c r="I162" i="9" s="1"/>
  <c r="Q162" i="9" s="1"/>
  <c r="AB12" i="2"/>
  <c r="I146" i="9" s="1"/>
  <c r="Q146" i="9" s="1"/>
  <c r="AB73" i="2"/>
  <c r="I212" i="9" s="1"/>
  <c r="AB49" i="2"/>
  <c r="I63" i="9" s="1"/>
  <c r="AB307" i="2"/>
  <c r="I201" i="9" s="1"/>
  <c r="Q201" i="9" s="1"/>
  <c r="AB82" i="2"/>
  <c r="I9" i="9" s="1"/>
  <c r="Q9" i="9" s="1"/>
  <c r="AB61" i="2"/>
  <c r="I179" i="9" s="1"/>
  <c r="Q179" i="9" s="1"/>
  <c r="AB25" i="2"/>
  <c r="I170" i="9" s="1"/>
  <c r="AB251" i="2"/>
  <c r="I183" i="9" s="1"/>
  <c r="AB223" i="2"/>
  <c r="I242" i="9" s="1"/>
  <c r="AB214" i="2"/>
  <c r="I239" i="9" s="1"/>
  <c r="AB204" i="2"/>
  <c r="I106" i="9" s="1"/>
  <c r="AB191" i="2"/>
  <c r="I280" i="9" s="1"/>
  <c r="Q280" i="9" s="1"/>
  <c r="AB182" i="2"/>
  <c r="AB172" i="2"/>
  <c r="I236" i="9" s="1"/>
  <c r="AB159" i="2"/>
  <c r="I97" i="9" s="1"/>
  <c r="Q97" i="9" s="1"/>
  <c r="AB150" i="2"/>
  <c r="I221" i="9" s="1"/>
  <c r="AB140" i="2"/>
  <c r="I34" i="9" s="1"/>
  <c r="Q34" i="9" s="1"/>
  <c r="AB127" i="2"/>
  <c r="I21" i="9" s="1"/>
  <c r="Q21" i="9" s="1"/>
  <c r="AB105" i="2"/>
  <c r="I88" i="9" s="1"/>
  <c r="Q88" i="9" s="1"/>
  <c r="AB260" i="2"/>
  <c r="I191" i="9" s="1"/>
  <c r="Q191" i="9" s="1"/>
  <c r="AB240" i="2"/>
  <c r="I243" i="9" s="1"/>
  <c r="AB224" i="2"/>
  <c r="I142" i="9" s="1"/>
  <c r="AB211" i="2"/>
  <c r="I286" i="9" s="1"/>
  <c r="Q286" i="9" s="1"/>
  <c r="AB202" i="2"/>
  <c r="I56" i="9" s="1"/>
  <c r="AB192" i="2"/>
  <c r="I281" i="9" s="1"/>
  <c r="Q281" i="9" s="1"/>
  <c r="AB179" i="2"/>
  <c r="I268" i="9" s="1"/>
  <c r="Q268" i="9" s="1"/>
  <c r="AB170" i="2"/>
  <c r="I234" i="9" s="1"/>
  <c r="AB160" i="2"/>
  <c r="I98" i="9" s="1"/>
  <c r="AB147" i="2"/>
  <c r="AB138" i="2"/>
  <c r="I32" i="9" s="1"/>
  <c r="Q32" i="9" s="1"/>
  <c r="AB109" i="2"/>
  <c r="I92" i="9" s="1"/>
  <c r="Q92" i="9" s="1"/>
  <c r="AB276" i="2"/>
  <c r="I121" i="9" s="1"/>
  <c r="Q121" i="9" s="1"/>
  <c r="AB104" i="2"/>
  <c r="I87" i="9" s="1"/>
  <c r="Q87" i="9" s="1"/>
  <c r="AB122" i="2"/>
  <c r="I16" i="9" s="1"/>
  <c r="Q16" i="9" s="1"/>
  <c r="AB83" i="2"/>
  <c r="I10" i="9" s="1"/>
  <c r="Q10" i="9" s="1"/>
  <c r="AB19" i="2"/>
  <c r="I153" i="9" s="1"/>
  <c r="Q153" i="9" s="1"/>
  <c r="AB299" i="2"/>
  <c r="I265" i="9" s="1"/>
  <c r="AB291" i="2"/>
  <c r="I250" i="9" s="1"/>
  <c r="Q250" i="9" s="1"/>
  <c r="AB235" i="2"/>
  <c r="I46" i="9" s="1"/>
  <c r="AB197" i="2"/>
  <c r="I284" i="9" s="1"/>
  <c r="Q284" i="9" s="1"/>
  <c r="AB165" i="2"/>
  <c r="I229" i="9" s="1"/>
  <c r="AB133" i="2"/>
  <c r="I27" i="9" s="1"/>
  <c r="Q27" i="9" s="1"/>
  <c r="AB71" i="2"/>
  <c r="I5" i="9" s="1"/>
  <c r="Q5" i="9" s="1"/>
  <c r="AB303" i="2"/>
  <c r="I197" i="9" s="1"/>
  <c r="Q197" i="9" s="1"/>
  <c r="AB295" i="2"/>
  <c r="I254" i="9" s="1"/>
  <c r="Q254" i="9" s="1"/>
  <c r="AB252" i="2"/>
  <c r="I184" i="9" s="1"/>
  <c r="AB209" i="2"/>
  <c r="I138" i="9" s="1"/>
  <c r="AB177" i="2"/>
  <c r="I266" i="9" s="1"/>
  <c r="AB145" i="2"/>
  <c r="I39" i="9" s="1"/>
  <c r="Q39" i="9" s="1"/>
  <c r="AB111" i="2"/>
  <c r="I218" i="9" s="1"/>
  <c r="Q218" i="9" s="1"/>
  <c r="AB47" i="2"/>
  <c r="I177" i="9" s="1"/>
  <c r="AB293" i="2"/>
  <c r="I252" i="9" s="1"/>
  <c r="Q252" i="9" s="1"/>
  <c r="AB262" i="2"/>
  <c r="I192" i="9" s="1"/>
  <c r="Q192" i="9" s="1"/>
  <c r="AB290" i="2"/>
  <c r="I249" i="9" s="1"/>
  <c r="AB258" i="2"/>
  <c r="I263" i="9" s="1"/>
  <c r="Q263" i="9" s="1"/>
  <c r="G263" i="9" s="1"/>
  <c r="AB229" i="2"/>
  <c r="I50" i="9" s="1"/>
  <c r="AB265" i="2"/>
  <c r="I264" i="9" s="1"/>
  <c r="AB233" i="2"/>
  <c r="I54" i="9" s="1"/>
  <c r="AB277" i="2"/>
  <c r="AB245" i="2"/>
  <c r="I246" i="9" s="1"/>
  <c r="AB48" i="2"/>
  <c r="I314" i="9" s="1"/>
  <c r="AB275" i="2"/>
  <c r="AB10" i="2"/>
  <c r="I68" i="9" s="1"/>
  <c r="AB102" i="2"/>
  <c r="I85" i="9" s="1"/>
  <c r="Q85" i="9" s="1"/>
  <c r="AB77" i="2"/>
  <c r="I64" i="9" s="1"/>
  <c r="AB101" i="2"/>
  <c r="I84" i="9" s="1"/>
  <c r="Q84" i="9" s="1"/>
  <c r="AB38" i="2"/>
  <c r="I164" i="9" s="1"/>
  <c r="Q164" i="9" s="1"/>
  <c r="AB13" i="2"/>
  <c r="I147" i="9" s="1"/>
  <c r="Q147" i="9" s="1"/>
  <c r="AB74" i="2"/>
  <c r="I213" i="9" s="1"/>
  <c r="AB239" i="2"/>
  <c r="I209" i="9" s="1"/>
  <c r="AB53" i="2"/>
  <c r="I178" i="9" s="1"/>
  <c r="AB107" i="2"/>
  <c r="I90" i="9" s="1"/>
  <c r="Q90" i="9" s="1"/>
  <c r="AB78" i="2"/>
  <c r="I65" i="9" s="1"/>
  <c r="AB54" i="2"/>
  <c r="I110" i="9" s="1"/>
  <c r="Q110" i="9" s="1"/>
  <c r="AB33" i="2"/>
  <c r="I160" i="9" s="1"/>
  <c r="Q160" i="9" s="1"/>
  <c r="AB113" i="2"/>
  <c r="I219" i="9" s="1"/>
  <c r="AB70" i="2"/>
  <c r="I4" i="9" s="1"/>
  <c r="Q4" i="9" s="1"/>
  <c r="AB30" i="2"/>
  <c r="I157" i="9" s="1"/>
  <c r="Q157" i="9" s="1"/>
  <c r="AB108" i="2"/>
  <c r="I91" i="9" s="1"/>
  <c r="Q91" i="9" s="1"/>
  <c r="AB75" i="2"/>
  <c r="AB46" i="2"/>
  <c r="I176" i="9" s="1"/>
  <c r="AB22" i="2"/>
  <c r="AB243" i="2"/>
  <c r="I244" i="9" s="1"/>
  <c r="AB222" i="2"/>
  <c r="I139" i="9" s="1"/>
  <c r="AB212" i="2"/>
  <c r="I287" i="9" s="1"/>
  <c r="Q287" i="9" s="1"/>
  <c r="AB199" i="2"/>
  <c r="I141" i="9" s="1"/>
  <c r="AB190" i="2"/>
  <c r="I279" i="9" s="1"/>
  <c r="Q279" i="9" s="1"/>
  <c r="AB180" i="2"/>
  <c r="I269" i="9" s="1"/>
  <c r="Q269" i="9" s="1"/>
  <c r="AB167" i="2"/>
  <c r="I231" i="9" s="1"/>
  <c r="AB158" i="2"/>
  <c r="I96" i="9" s="1"/>
  <c r="Q96" i="9" s="1"/>
  <c r="AB148" i="2"/>
  <c r="I42" i="9" s="1"/>
  <c r="Q42" i="9" s="1"/>
  <c r="AB135" i="2"/>
  <c r="I29" i="9" s="1"/>
  <c r="Q29" i="9" s="1"/>
  <c r="AB126" i="2"/>
  <c r="I20" i="9" s="1"/>
  <c r="Q20" i="9" s="1"/>
  <c r="AB284" i="2"/>
  <c r="I129" i="9" s="1"/>
  <c r="Q129" i="9" s="1"/>
  <c r="AB118" i="2"/>
  <c r="I12" i="9" s="1"/>
  <c r="Q12" i="9" s="1"/>
  <c r="AB232" i="2"/>
  <c r="I53" i="9" s="1"/>
  <c r="AB219" i="2"/>
  <c r="I291" i="9" s="1"/>
  <c r="AB210" i="2"/>
  <c r="I70" i="9" s="1"/>
  <c r="AB200" i="2"/>
  <c r="I69" i="9" s="1"/>
  <c r="AB187" i="2"/>
  <c r="AB178" i="2"/>
  <c r="I267" i="9" s="1"/>
  <c r="Q267" i="9" s="1"/>
  <c r="AB168" i="2"/>
  <c r="I232" i="9" s="1"/>
  <c r="AB155" i="2"/>
  <c r="I225" i="9" s="1"/>
  <c r="AB146" i="2"/>
  <c r="AB136" i="2"/>
  <c r="I30" i="9" s="1"/>
  <c r="Q30" i="9" s="1"/>
  <c r="AB288" i="2"/>
  <c r="AB272" i="2"/>
  <c r="I117" i="9" s="1"/>
  <c r="Q117" i="9" s="1"/>
  <c r="AB130" i="2"/>
  <c r="I24" i="9" s="1"/>
  <c r="Q24" i="9" s="1"/>
  <c r="AB120" i="2"/>
  <c r="AB67" i="2"/>
  <c r="I207" i="9" s="1"/>
  <c r="Q207" i="9" s="1"/>
  <c r="AB305" i="2"/>
  <c r="I199" i="9" s="1"/>
  <c r="AB297" i="2"/>
  <c r="I256" i="9" s="1"/>
  <c r="Q256" i="9" s="1"/>
  <c r="AB256" i="2"/>
  <c r="I188" i="9" s="1"/>
  <c r="Q188" i="9" s="1"/>
  <c r="AB221" i="2"/>
  <c r="I293" i="9" s="1"/>
  <c r="Q293" i="9" s="1"/>
  <c r="AB189" i="2"/>
  <c r="I278" i="9" s="1"/>
  <c r="Q278" i="9" s="1"/>
  <c r="AB157" i="2"/>
  <c r="I95" i="9" s="1"/>
  <c r="AB125" i="2"/>
  <c r="I19" i="9" s="1"/>
  <c r="Q19" i="9" s="1"/>
  <c r="AB55" i="2"/>
  <c r="I57" i="9" s="1"/>
  <c r="Q57" i="9" s="1"/>
  <c r="AB301" i="2"/>
  <c r="I195" i="9" s="1"/>
  <c r="Q195" i="9" s="1"/>
  <c r="AB292" i="2"/>
  <c r="I251" i="9" s="1"/>
  <c r="Q251" i="9" s="1"/>
  <c r="AB247" i="2"/>
  <c r="I247" i="9" s="1"/>
  <c r="AB201" i="2"/>
  <c r="AB169" i="2"/>
  <c r="I233" i="9" s="1"/>
  <c r="AB137" i="2"/>
  <c r="I31" i="9" s="1"/>
  <c r="Q31" i="9" s="1"/>
  <c r="AB95" i="2"/>
  <c r="I78" i="9" s="1"/>
  <c r="AB31" i="2"/>
  <c r="I158" i="9" s="1"/>
  <c r="Q158" i="9" s="1"/>
  <c r="AB289" i="2"/>
  <c r="I134" i="9" s="1"/>
  <c r="Q134" i="9" s="1"/>
  <c r="AB257" i="2"/>
  <c r="I189" i="9" s="1"/>
  <c r="AB285" i="2"/>
  <c r="I130" i="9" s="1"/>
  <c r="Q130" i="9" s="1"/>
  <c r="AB253" i="2"/>
  <c r="I185" i="9" s="1"/>
  <c r="AB286" i="2"/>
  <c r="AB254" i="2"/>
  <c r="I186" i="9" s="1"/>
  <c r="AB231" i="2"/>
  <c r="I52" i="9" s="1"/>
  <c r="AB266" i="2"/>
  <c r="AB234" i="2"/>
  <c r="AB90" i="2"/>
  <c r="AB91" i="2"/>
  <c r="I74" i="9" s="1"/>
  <c r="Q74" i="9" s="1"/>
  <c r="AB21" i="2"/>
  <c r="AB271" i="2"/>
  <c r="I116" i="9" s="1"/>
  <c r="Q116" i="9" s="1"/>
  <c r="AB88" i="2"/>
  <c r="I217" i="9" s="1"/>
  <c r="Q217" i="9" s="1"/>
  <c r="AB98" i="2"/>
  <c r="AB32" i="2"/>
  <c r="I159" i="9" s="1"/>
  <c r="Q159" i="9" s="1"/>
  <c r="AB85" i="2"/>
  <c r="I214" i="9" s="1"/>
  <c r="AB66" i="2"/>
  <c r="I206" i="9" s="1"/>
  <c r="Q206" i="9" s="1"/>
  <c r="AB64" i="2"/>
  <c r="I204" i="9" s="1"/>
  <c r="Q204" i="9" s="1"/>
  <c r="AB45" i="2"/>
  <c r="I175" i="9" s="1"/>
  <c r="Q175" i="9" s="1"/>
  <c r="AB100" i="2"/>
  <c r="I83" i="9" s="1"/>
  <c r="Q83" i="9" s="1"/>
  <c r="AB76" i="2"/>
  <c r="AB50" i="2"/>
  <c r="I107" i="9" s="1"/>
  <c r="AB29" i="2"/>
  <c r="I156" i="9" s="1"/>
  <c r="Q156" i="9" s="1"/>
  <c r="AB94" i="2"/>
  <c r="I77" i="9" s="1"/>
  <c r="Q77" i="9" s="1"/>
  <c r="AB59" i="2"/>
  <c r="I61" i="9" s="1"/>
  <c r="AB28" i="2"/>
  <c r="I173" i="9" s="1"/>
  <c r="Q173" i="9" s="1"/>
  <c r="AB89" i="2"/>
  <c r="I72" i="9" s="1"/>
  <c r="Q72" i="9" s="1"/>
  <c r="AB68" i="2"/>
  <c r="I111" i="9" s="1"/>
  <c r="Q111" i="9" s="1"/>
  <c r="AB44" i="2"/>
  <c r="I174" i="9" s="1"/>
  <c r="Q174" i="9" s="1"/>
  <c r="AB18" i="2"/>
  <c r="I152" i="9" s="1"/>
  <c r="Q152" i="9" s="1"/>
  <c r="AB236" i="2"/>
  <c r="I47" i="9" s="1"/>
  <c r="Q47" i="9" s="1"/>
  <c r="AB220" i="2"/>
  <c r="I292" i="9" s="1"/>
  <c r="Q292" i="9" s="1"/>
  <c r="AB207" i="2"/>
  <c r="I137" i="9" s="1"/>
  <c r="AB198" i="2"/>
  <c r="I140" i="9" s="1"/>
  <c r="AB188" i="2"/>
  <c r="I277" i="9" s="1"/>
  <c r="Q277" i="9" s="1"/>
  <c r="AB175" i="2"/>
  <c r="I102" i="9" s="1"/>
  <c r="AB166" i="2"/>
  <c r="I230" i="9" s="1"/>
  <c r="AB156" i="2"/>
  <c r="AB143" i="2"/>
  <c r="I37" i="9" s="1"/>
  <c r="Q37" i="9" s="1"/>
  <c r="AB134" i="2"/>
  <c r="I28" i="9" s="1"/>
  <c r="Q28" i="9" s="1"/>
  <c r="AB124" i="2"/>
  <c r="I18" i="9" s="1"/>
  <c r="Q18" i="9" s="1"/>
  <c r="AB279" i="2"/>
  <c r="AB114" i="2"/>
  <c r="I101" i="9" s="1"/>
  <c r="AB227" i="2"/>
  <c r="I49" i="9" s="1"/>
  <c r="AB218" i="2"/>
  <c r="I290" i="9" s="1"/>
  <c r="Q290" i="9" s="1"/>
  <c r="AB208" i="2"/>
  <c r="I104" i="9" s="1"/>
  <c r="AB195" i="2"/>
  <c r="I144" i="9" s="1"/>
  <c r="AB186" i="2"/>
  <c r="I275" i="9" s="1"/>
  <c r="Q275" i="9" s="1"/>
  <c r="AB176" i="2"/>
  <c r="I103" i="9" s="1"/>
  <c r="AB163" i="2"/>
  <c r="I227" i="9" s="1"/>
  <c r="AB154" i="2"/>
  <c r="I224" i="9" s="1"/>
  <c r="AB144" i="2"/>
  <c r="I38" i="9" s="1"/>
  <c r="Q38" i="9" s="1"/>
  <c r="AB131" i="2"/>
  <c r="I25" i="9" s="1"/>
  <c r="Q25" i="9" s="1"/>
  <c r="AB283" i="2"/>
  <c r="AB263" i="2"/>
  <c r="I193" i="9" s="1"/>
  <c r="Q193" i="9" s="1"/>
  <c r="AB128" i="2"/>
  <c r="I22" i="9" s="1"/>
  <c r="Q22" i="9" s="1"/>
  <c r="AB115" i="2"/>
  <c r="I94" i="9" s="1"/>
  <c r="AB51" i="2"/>
  <c r="I108" i="9" s="1"/>
  <c r="AB304" i="2"/>
  <c r="I198" i="9" s="1"/>
  <c r="Q198" i="9" s="1"/>
  <c r="AB296" i="2"/>
  <c r="I255" i="9" s="1"/>
  <c r="Q255" i="9" s="1"/>
  <c r="AB248" i="2"/>
  <c r="I248" i="9" s="1"/>
  <c r="AB213" i="2"/>
  <c r="I288" i="9" s="1"/>
  <c r="AB181" i="2"/>
  <c r="I270" i="9" s="1"/>
  <c r="Q270" i="9" s="1"/>
  <c r="AB149" i="2"/>
  <c r="I220" i="9" s="1"/>
  <c r="Q220" i="9" s="1"/>
  <c r="AB103" i="2"/>
  <c r="I86" i="9" s="1"/>
  <c r="Q86" i="9" s="1"/>
  <c r="AB39" i="2"/>
  <c r="I165" i="9" s="1"/>
  <c r="Q165" i="9" s="1"/>
  <c r="AB300" i="2"/>
  <c r="I194" i="9" s="1"/>
  <c r="AB267" i="2"/>
  <c r="AB225" i="2"/>
  <c r="I143" i="9" s="1"/>
  <c r="AB193" i="2"/>
  <c r="I282" i="9" s="1"/>
  <c r="Q282" i="9" s="1"/>
  <c r="AB161" i="2"/>
  <c r="I99" i="9" s="1"/>
  <c r="Q99" i="9" s="1"/>
  <c r="AB129" i="2"/>
  <c r="I23" i="9" s="1"/>
  <c r="Q23" i="9" s="1"/>
  <c r="AB79" i="2"/>
  <c r="I6" i="9" s="1"/>
  <c r="AB15" i="2"/>
  <c r="I149" i="9" s="1"/>
  <c r="Q149" i="9" s="1"/>
  <c r="AB278" i="2"/>
  <c r="AB246" i="2"/>
  <c r="I262" i="9" s="1"/>
  <c r="AB274" i="2"/>
  <c r="AB242" i="2"/>
  <c r="AB281" i="2"/>
  <c r="I126" i="9" s="1"/>
  <c r="Q126" i="9" s="1"/>
  <c r="AB249" i="2"/>
  <c r="I181" i="9" s="1"/>
  <c r="AB230" i="2"/>
  <c r="I51" i="9" s="1"/>
  <c r="AB261" i="2"/>
  <c r="AB8" i="2"/>
  <c r="V325" i="7"/>
  <c r="W325" i="7"/>
  <c r="AH325" i="7" s="1"/>
  <c r="AI325" i="7" s="1"/>
  <c r="X325" i="7"/>
  <c r="Y325" i="7"/>
  <c r="Z325" i="7"/>
  <c r="AA325" i="7"/>
  <c r="AB325" i="7"/>
  <c r="AC325" i="7"/>
  <c r="AG325" i="7" s="1"/>
  <c r="AD325" i="7"/>
  <c r="AE325" i="7"/>
  <c r="AF325" i="7"/>
  <c r="V3" i="7"/>
  <c r="V4" i="7"/>
  <c r="V5" i="7"/>
  <c r="V6" i="7"/>
  <c r="V15" i="7"/>
  <c r="V16" i="7"/>
  <c r="V17" i="7"/>
  <c r="V18" i="7"/>
  <c r="V20" i="7"/>
  <c r="V41" i="7"/>
  <c r="V42" i="7"/>
  <c r="V43" i="7"/>
  <c r="V44" i="7"/>
  <c r="V45" i="7"/>
  <c r="V46" i="7"/>
  <c r="V48" i="7"/>
  <c r="V51" i="7"/>
  <c r="V54" i="7"/>
  <c r="V55" i="7"/>
  <c r="V64" i="7"/>
  <c r="V68" i="7"/>
  <c r="V69" i="7"/>
  <c r="V70" i="7"/>
  <c r="V72" i="7"/>
  <c r="V73" i="7"/>
  <c r="V74" i="7"/>
  <c r="V79" i="7"/>
  <c r="V80" i="7"/>
  <c r="V90" i="7"/>
  <c r="V91" i="7"/>
  <c r="V108" i="7"/>
  <c r="V109" i="7"/>
  <c r="V110" i="7"/>
  <c r="V111" i="7"/>
  <c r="V112" i="7"/>
  <c r="V137" i="7"/>
  <c r="V145" i="7"/>
  <c r="V146" i="7"/>
  <c r="V147" i="7"/>
  <c r="V148" i="7"/>
  <c r="V149" i="7"/>
  <c r="V150" i="7"/>
  <c r="V151" i="7"/>
  <c r="V152" i="7"/>
  <c r="V155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210" i="7"/>
  <c r="V211" i="7"/>
  <c r="V213" i="7"/>
  <c r="V214" i="7"/>
  <c r="V215" i="7"/>
  <c r="V216" i="7"/>
  <c r="V217" i="7"/>
  <c r="V219" i="7"/>
  <c r="V220" i="7"/>
  <c r="V221" i="7"/>
  <c r="V222" i="7"/>
  <c r="V223" i="7"/>
  <c r="V224" i="7"/>
  <c r="V225" i="7"/>
  <c r="V228" i="7"/>
  <c r="V229" i="7"/>
  <c r="V230" i="7"/>
  <c r="V231" i="7"/>
  <c r="V232" i="7"/>
  <c r="V234" i="7"/>
  <c r="V237" i="7"/>
  <c r="V238" i="7"/>
  <c r="V239" i="7"/>
  <c r="V240" i="7"/>
  <c r="V242" i="7"/>
  <c r="V244" i="7"/>
  <c r="V245" i="7"/>
  <c r="V246" i="7"/>
  <c r="V247" i="7"/>
  <c r="V248" i="7"/>
  <c r="V250" i="7"/>
  <c r="V253" i="7"/>
  <c r="V254" i="7"/>
  <c r="V255" i="7"/>
  <c r="V256" i="7"/>
  <c r="V257" i="7"/>
  <c r="V258" i="7"/>
  <c r="V259" i="7"/>
  <c r="V260" i="7"/>
  <c r="V261" i="7"/>
  <c r="V262" i="7"/>
  <c r="V263" i="7"/>
  <c r="V266" i="7"/>
  <c r="V268" i="7"/>
  <c r="V269" i="7"/>
  <c r="V270" i="7"/>
  <c r="V271" i="7"/>
  <c r="V274" i="7"/>
  <c r="V275" i="7"/>
  <c r="V281" i="7"/>
  <c r="V282" i="7"/>
  <c r="V283" i="7"/>
  <c r="V284" i="7"/>
  <c r="V307" i="7"/>
  <c r="V311" i="7"/>
  <c r="V315" i="7"/>
  <c r="V316" i="7"/>
  <c r="V317" i="7"/>
  <c r="V322" i="7"/>
  <c r="G46" i="7"/>
  <c r="G48" i="7"/>
  <c r="G51" i="7"/>
  <c r="G54" i="7"/>
  <c r="G55" i="7"/>
  <c r="G64" i="7"/>
  <c r="G68" i="7"/>
  <c r="G69" i="7"/>
  <c r="G70" i="7"/>
  <c r="G72" i="7"/>
  <c r="G73" i="7"/>
  <c r="G74" i="7"/>
  <c r="G79" i="7"/>
  <c r="G80" i="7"/>
  <c r="G90" i="7"/>
  <c r="G91" i="7"/>
  <c r="G108" i="7"/>
  <c r="G109" i="7"/>
  <c r="G110" i="7"/>
  <c r="G111" i="7"/>
  <c r="G112" i="7"/>
  <c r="G137" i="7"/>
  <c r="G145" i="7"/>
  <c r="G146" i="7"/>
  <c r="G147" i="7"/>
  <c r="G148" i="7"/>
  <c r="G149" i="7"/>
  <c r="G150" i="7"/>
  <c r="G151" i="7"/>
  <c r="G152" i="7"/>
  <c r="G155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210" i="7"/>
  <c r="G211" i="7"/>
  <c r="G213" i="7"/>
  <c r="G214" i="7"/>
  <c r="G215" i="7"/>
  <c r="G216" i="7"/>
  <c r="G217" i="7"/>
  <c r="G219" i="7"/>
  <c r="G220" i="7"/>
  <c r="G221" i="7"/>
  <c r="G222" i="7"/>
  <c r="G223" i="7"/>
  <c r="G224" i="7"/>
  <c r="G225" i="7"/>
  <c r="G228" i="7"/>
  <c r="G229" i="7"/>
  <c r="G230" i="7"/>
  <c r="G231" i="7"/>
  <c r="G232" i="7"/>
  <c r="G234" i="7"/>
  <c r="G237" i="7"/>
  <c r="G238" i="7"/>
  <c r="G239" i="7"/>
  <c r="G240" i="7"/>
  <c r="G242" i="7"/>
  <c r="G244" i="7"/>
  <c r="G245" i="7"/>
  <c r="G246" i="7"/>
  <c r="G247" i="7"/>
  <c r="G248" i="7"/>
  <c r="G250" i="7"/>
  <c r="G253" i="7"/>
  <c r="G254" i="7"/>
  <c r="G255" i="7"/>
  <c r="G256" i="7"/>
  <c r="G257" i="7"/>
  <c r="G258" i="7"/>
  <c r="G259" i="7"/>
  <c r="G260" i="7"/>
  <c r="G261" i="7"/>
  <c r="G262" i="7"/>
  <c r="G263" i="7"/>
  <c r="G266" i="7"/>
  <c r="G268" i="7"/>
  <c r="G269" i="7"/>
  <c r="G270" i="7"/>
  <c r="G271" i="7"/>
  <c r="G274" i="7"/>
  <c r="G275" i="7"/>
  <c r="G281" i="7"/>
  <c r="G282" i="7"/>
  <c r="G283" i="7"/>
  <c r="G284" i="7"/>
  <c r="G307" i="7"/>
  <c r="G311" i="7"/>
  <c r="G315" i="7"/>
  <c r="G316" i="7"/>
  <c r="G317" i="7"/>
  <c r="G322" i="7"/>
  <c r="G44" i="7"/>
  <c r="G45" i="7"/>
  <c r="G3" i="7"/>
  <c r="G4" i="7"/>
  <c r="G5" i="7"/>
  <c r="G6" i="7"/>
  <c r="G15" i="7"/>
  <c r="G16" i="7"/>
  <c r="G17" i="7"/>
  <c r="G18" i="7"/>
  <c r="G20" i="7"/>
  <c r="G41" i="7"/>
  <c r="G42" i="7"/>
  <c r="G43" i="7"/>
  <c r="I133" i="9" l="1"/>
  <c r="Q133" i="9" s="1"/>
  <c r="I16" i="21"/>
  <c r="I120" i="9"/>
  <c r="Q120" i="9" s="1"/>
  <c r="I7" i="21"/>
  <c r="I257" i="9"/>
  <c r="Q257" i="9" s="1"/>
  <c r="I17" i="21"/>
  <c r="I128" i="9"/>
  <c r="Q128" i="9" s="1"/>
  <c r="I13" i="21"/>
  <c r="I124" i="9"/>
  <c r="Q124" i="9" s="1"/>
  <c r="I10" i="21"/>
  <c r="I285" i="9"/>
  <c r="Q285" i="9" s="1"/>
  <c r="I115" i="9"/>
  <c r="Q115" i="9" s="1"/>
  <c r="I4" i="21"/>
  <c r="I118" i="9"/>
  <c r="Q118" i="9" s="1"/>
  <c r="I5" i="21"/>
  <c r="I119" i="9"/>
  <c r="Q119" i="9" s="1"/>
  <c r="I6" i="21"/>
  <c r="I127" i="9"/>
  <c r="Q127" i="9" s="1"/>
  <c r="I12" i="21"/>
  <c r="I296" i="9"/>
  <c r="Q296" i="9" s="1"/>
  <c r="I313" i="9"/>
  <c r="Q313" i="9" s="1"/>
  <c r="G313" i="9" s="1"/>
  <c r="I123" i="9"/>
  <c r="Q123" i="9" s="1"/>
  <c r="I9" i="21"/>
  <c r="I112" i="9"/>
  <c r="I3" i="21"/>
  <c r="I131" i="9"/>
  <c r="Q131" i="9" s="1"/>
  <c r="I14" i="21"/>
  <c r="I122" i="9"/>
  <c r="Q122" i="9" s="1"/>
  <c r="I8" i="21"/>
  <c r="I132" i="9"/>
  <c r="Q132" i="9" s="1"/>
  <c r="I15" i="21"/>
  <c r="I259" i="9"/>
  <c r="I261" i="9"/>
  <c r="I13" i="9"/>
  <c r="Q13" i="9" s="1"/>
  <c r="I14" i="9"/>
  <c r="Q14" i="9" s="1"/>
  <c r="I180" i="9"/>
  <c r="I203" i="9"/>
  <c r="I8" i="9"/>
  <c r="Q8" i="9" s="1"/>
  <c r="I43" i="9"/>
  <c r="Q43" i="9" s="1"/>
  <c r="I80" i="9"/>
  <c r="I79" i="9"/>
  <c r="I81" i="9"/>
  <c r="I272" i="9"/>
  <c r="Q272" i="9" s="1"/>
  <c r="I271" i="9"/>
  <c r="Q271" i="9" s="1"/>
  <c r="I274" i="9"/>
  <c r="Q274" i="9" s="1"/>
  <c r="I276" i="9"/>
  <c r="Q276" i="9" s="1"/>
  <c r="I41" i="9"/>
  <c r="Q41" i="9" s="1"/>
  <c r="I40" i="9"/>
  <c r="Q40" i="9" s="1"/>
  <c r="AJ325" i="7"/>
  <c r="S325" i="7" s="1"/>
  <c r="J15" i="21" l="1"/>
  <c r="Q15" i="21"/>
  <c r="G15" i="21" s="1"/>
  <c r="J14" i="21"/>
  <c r="Q14" i="21"/>
  <c r="G14" i="21" s="1"/>
  <c r="J9" i="21"/>
  <c r="Q9" i="21"/>
  <c r="G9" i="21" s="1"/>
  <c r="J12" i="21"/>
  <c r="Q12" i="21"/>
  <c r="G12" i="21" s="1"/>
  <c r="J5" i="21"/>
  <c r="Q5" i="21"/>
  <c r="G5" i="21" s="1"/>
  <c r="J7" i="21"/>
  <c r="Q7" i="21"/>
  <c r="G7" i="21" s="1"/>
  <c r="J10" i="21"/>
  <c r="Q10" i="21"/>
  <c r="G10" i="21" s="1"/>
  <c r="J17" i="21"/>
  <c r="Q17" i="21"/>
  <c r="G17" i="21" s="1"/>
  <c r="J16" i="21"/>
  <c r="Q16" i="21"/>
  <c r="G16" i="21" s="1"/>
  <c r="J13" i="21"/>
  <c r="Q13" i="21"/>
  <c r="G13" i="21" s="1"/>
  <c r="J8" i="21"/>
  <c r="Q8" i="21"/>
  <c r="G8" i="21" s="1"/>
  <c r="I18" i="21"/>
  <c r="J3" i="21"/>
  <c r="J6" i="21"/>
  <c r="Q6" i="21"/>
  <c r="G6" i="21" s="1"/>
  <c r="J4" i="21"/>
  <c r="Q4" i="21"/>
  <c r="G4" i="21" s="1"/>
  <c r="AK325" i="7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CU35" i="12"/>
  <c r="CV35" i="12"/>
  <c r="CW35" i="12"/>
  <c r="CX35" i="12"/>
  <c r="CY35" i="12"/>
  <c r="CZ35" i="12"/>
  <c r="DA35" i="12"/>
  <c r="DB35" i="12"/>
  <c r="DC35" i="12"/>
  <c r="DD35" i="12"/>
  <c r="DE35" i="12"/>
  <c r="DF35" i="12"/>
  <c r="DG35" i="12"/>
  <c r="DH35" i="12"/>
  <c r="DI35" i="12"/>
  <c r="DJ35" i="12"/>
  <c r="DK35" i="12"/>
  <c r="DL35" i="12"/>
  <c r="DM35" i="12"/>
  <c r="DN35" i="12"/>
  <c r="DO35" i="12"/>
  <c r="DP35" i="12"/>
  <c r="DQ35" i="12"/>
  <c r="DR35" i="12"/>
  <c r="DS35" i="12"/>
  <c r="DT35" i="12"/>
  <c r="DU35" i="12"/>
  <c r="DV35" i="12"/>
  <c r="DW35" i="12"/>
  <c r="DX35" i="12"/>
  <c r="DY35" i="12"/>
  <c r="DZ35" i="12"/>
  <c r="EA35" i="12"/>
  <c r="EB35" i="12"/>
  <c r="EC35" i="12"/>
  <c r="ED35" i="12"/>
  <c r="EE35" i="12"/>
  <c r="EF35" i="12"/>
  <c r="EG35" i="12"/>
  <c r="EH35" i="12"/>
  <c r="EI35" i="12"/>
  <c r="EJ35" i="12"/>
  <c r="EK35" i="12"/>
  <c r="EL35" i="12"/>
  <c r="EM35" i="12"/>
  <c r="EN35" i="12"/>
  <c r="EO35" i="12"/>
  <c r="EP35" i="12"/>
  <c r="EQ35" i="12"/>
  <c r="ER35" i="12"/>
  <c r="ES35" i="12"/>
  <c r="ET35" i="12"/>
  <c r="EU35" i="12"/>
  <c r="EV35" i="12"/>
  <c r="EW35" i="12"/>
  <c r="EX35" i="12"/>
  <c r="EY35" i="12"/>
  <c r="EZ35" i="12"/>
  <c r="FA35" i="12"/>
  <c r="FB35" i="12"/>
  <c r="FC35" i="12"/>
  <c r="FD35" i="12"/>
  <c r="FE35" i="12"/>
  <c r="FF35" i="12"/>
  <c r="FG35" i="12"/>
  <c r="FH35" i="12"/>
  <c r="FI35" i="12"/>
  <c r="FJ35" i="12"/>
  <c r="FK35" i="12"/>
  <c r="FL35" i="12"/>
  <c r="FM35" i="12"/>
  <c r="FN35" i="12"/>
  <c r="FO35" i="12"/>
  <c r="FP35" i="12"/>
  <c r="FQ35" i="12"/>
  <c r="FR35" i="12"/>
  <c r="FS35" i="12"/>
  <c r="FT35" i="12"/>
  <c r="FU35" i="12"/>
  <c r="FV35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K34" i="12"/>
  <c r="CL34" i="12"/>
  <c r="CM34" i="12"/>
  <c r="CN34" i="12"/>
  <c r="CO34" i="12"/>
  <c r="CP34" i="12"/>
  <c r="CQ34" i="12"/>
  <c r="CR34" i="12"/>
  <c r="CS34" i="12"/>
  <c r="CT34" i="12"/>
  <c r="CU34" i="12"/>
  <c r="CV34" i="12"/>
  <c r="CW34" i="12"/>
  <c r="CX34" i="12"/>
  <c r="CY34" i="12"/>
  <c r="CZ34" i="12"/>
  <c r="DA34" i="12"/>
  <c r="DB34" i="12"/>
  <c r="DC34" i="12"/>
  <c r="DD34" i="12"/>
  <c r="DE34" i="12"/>
  <c r="DF34" i="12"/>
  <c r="DG34" i="12"/>
  <c r="DH34" i="12"/>
  <c r="DI34" i="12"/>
  <c r="DJ34" i="12"/>
  <c r="DK34" i="12"/>
  <c r="DL34" i="12"/>
  <c r="DM34" i="12"/>
  <c r="DN34" i="12"/>
  <c r="DO34" i="12"/>
  <c r="DP34" i="12"/>
  <c r="DQ34" i="12"/>
  <c r="DR34" i="12"/>
  <c r="DS34" i="12"/>
  <c r="DT34" i="12"/>
  <c r="DU34" i="12"/>
  <c r="DV34" i="12"/>
  <c r="DW34" i="12"/>
  <c r="DX34" i="12"/>
  <c r="DY34" i="12"/>
  <c r="DZ34" i="12"/>
  <c r="EA34" i="12"/>
  <c r="EB34" i="12"/>
  <c r="EC34" i="12"/>
  <c r="ED34" i="12"/>
  <c r="EE34" i="12"/>
  <c r="EF34" i="12"/>
  <c r="EG34" i="12"/>
  <c r="EH34" i="12"/>
  <c r="EI34" i="12"/>
  <c r="EJ34" i="12"/>
  <c r="EK34" i="12"/>
  <c r="EL34" i="12"/>
  <c r="EM34" i="12"/>
  <c r="EN34" i="12"/>
  <c r="EO34" i="12"/>
  <c r="EP34" i="12"/>
  <c r="EQ34" i="12"/>
  <c r="ER34" i="12"/>
  <c r="ES34" i="12"/>
  <c r="ET34" i="12"/>
  <c r="EU34" i="12"/>
  <c r="EV34" i="12"/>
  <c r="EW34" i="12"/>
  <c r="EX34" i="12"/>
  <c r="EY34" i="12"/>
  <c r="EZ34" i="12"/>
  <c r="FA34" i="12"/>
  <c r="FB34" i="12"/>
  <c r="FC34" i="12"/>
  <c r="FD34" i="12"/>
  <c r="FE34" i="12"/>
  <c r="FF34" i="12"/>
  <c r="FG34" i="12"/>
  <c r="FH34" i="12"/>
  <c r="FI34" i="12"/>
  <c r="FJ34" i="12"/>
  <c r="FK34" i="12"/>
  <c r="FL34" i="12"/>
  <c r="FM34" i="12"/>
  <c r="FN34" i="12"/>
  <c r="FO34" i="12"/>
  <c r="FP34" i="12"/>
  <c r="FQ34" i="12"/>
  <c r="FR34" i="12"/>
  <c r="FS34" i="12"/>
  <c r="FT34" i="12"/>
  <c r="FU34" i="12"/>
  <c r="FV34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U33" i="12"/>
  <c r="CV33" i="12"/>
  <c r="CW33" i="12"/>
  <c r="CX33" i="12"/>
  <c r="CY33" i="12"/>
  <c r="CZ33" i="12"/>
  <c r="DA33" i="12"/>
  <c r="DB33" i="12"/>
  <c r="DC33" i="12"/>
  <c r="DD33" i="12"/>
  <c r="DE33" i="12"/>
  <c r="DF33" i="12"/>
  <c r="DG33" i="12"/>
  <c r="DH33" i="12"/>
  <c r="DI33" i="12"/>
  <c r="DJ33" i="12"/>
  <c r="DK33" i="12"/>
  <c r="DL33" i="12"/>
  <c r="DM33" i="12"/>
  <c r="DN33" i="12"/>
  <c r="DO33" i="12"/>
  <c r="DP33" i="12"/>
  <c r="DQ33" i="12"/>
  <c r="DR33" i="12"/>
  <c r="DS33" i="12"/>
  <c r="DT33" i="12"/>
  <c r="DU33" i="12"/>
  <c r="DV33" i="12"/>
  <c r="DW33" i="12"/>
  <c r="DX33" i="12"/>
  <c r="DY33" i="12"/>
  <c r="DZ33" i="12"/>
  <c r="EA33" i="12"/>
  <c r="EB33" i="12"/>
  <c r="EC33" i="12"/>
  <c r="ED33" i="12"/>
  <c r="EE33" i="12"/>
  <c r="EF33" i="12"/>
  <c r="EG33" i="12"/>
  <c r="EH33" i="12"/>
  <c r="EI33" i="12"/>
  <c r="EJ33" i="12"/>
  <c r="EK33" i="12"/>
  <c r="EL33" i="12"/>
  <c r="EM33" i="12"/>
  <c r="EN33" i="12"/>
  <c r="EO33" i="12"/>
  <c r="EP33" i="12"/>
  <c r="EQ33" i="12"/>
  <c r="ER33" i="12"/>
  <c r="ES33" i="12"/>
  <c r="ET33" i="12"/>
  <c r="EU33" i="12"/>
  <c r="EV33" i="12"/>
  <c r="EW33" i="12"/>
  <c r="EX33" i="12"/>
  <c r="EY33" i="12"/>
  <c r="EZ33" i="12"/>
  <c r="FA33" i="12"/>
  <c r="FB33" i="12"/>
  <c r="FC33" i="12"/>
  <c r="FD33" i="12"/>
  <c r="FE33" i="12"/>
  <c r="FF33" i="12"/>
  <c r="FG33" i="12"/>
  <c r="FH33" i="12"/>
  <c r="FI33" i="12"/>
  <c r="FJ33" i="12"/>
  <c r="FK33" i="12"/>
  <c r="FL33" i="12"/>
  <c r="FM33" i="12"/>
  <c r="FN33" i="12"/>
  <c r="FO33" i="12"/>
  <c r="FP33" i="12"/>
  <c r="FQ33" i="12"/>
  <c r="FR33" i="12"/>
  <c r="FS33" i="12"/>
  <c r="FT33" i="12"/>
  <c r="FU33" i="12"/>
  <c r="FV33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U32" i="12"/>
  <c r="CV32" i="12"/>
  <c r="CW32" i="12"/>
  <c r="CX32" i="12"/>
  <c r="CY32" i="12"/>
  <c r="CZ32" i="12"/>
  <c r="DA32" i="12"/>
  <c r="DB32" i="12"/>
  <c r="DC32" i="12"/>
  <c r="DD32" i="12"/>
  <c r="DE32" i="12"/>
  <c r="DF32" i="12"/>
  <c r="DG32" i="12"/>
  <c r="DH32" i="12"/>
  <c r="DI32" i="12"/>
  <c r="DJ32" i="12"/>
  <c r="DK32" i="12"/>
  <c r="DL32" i="12"/>
  <c r="DM32" i="12"/>
  <c r="DN32" i="12"/>
  <c r="DO32" i="12"/>
  <c r="DP32" i="12"/>
  <c r="DQ32" i="12"/>
  <c r="DR32" i="12"/>
  <c r="DS32" i="12"/>
  <c r="DT32" i="12"/>
  <c r="DU32" i="12"/>
  <c r="DV32" i="12"/>
  <c r="DW32" i="12"/>
  <c r="DX32" i="12"/>
  <c r="DY32" i="12"/>
  <c r="DZ32" i="12"/>
  <c r="EA32" i="12"/>
  <c r="EB32" i="12"/>
  <c r="EC32" i="12"/>
  <c r="ED32" i="12"/>
  <c r="EE32" i="12"/>
  <c r="EF32" i="12"/>
  <c r="EG32" i="12"/>
  <c r="EH32" i="12"/>
  <c r="EI32" i="12"/>
  <c r="EJ32" i="12"/>
  <c r="EK32" i="12"/>
  <c r="EL32" i="12"/>
  <c r="EM32" i="12"/>
  <c r="EN32" i="12"/>
  <c r="EO32" i="12"/>
  <c r="EP32" i="12"/>
  <c r="EQ32" i="12"/>
  <c r="ER32" i="12"/>
  <c r="ES32" i="12"/>
  <c r="ET32" i="12"/>
  <c r="EU32" i="12"/>
  <c r="EV32" i="12"/>
  <c r="EW32" i="12"/>
  <c r="EX32" i="12"/>
  <c r="EY32" i="12"/>
  <c r="EZ32" i="12"/>
  <c r="FA32" i="12"/>
  <c r="FB32" i="12"/>
  <c r="FC32" i="12"/>
  <c r="FD32" i="12"/>
  <c r="FE32" i="12"/>
  <c r="FF32" i="12"/>
  <c r="FG32" i="12"/>
  <c r="FH32" i="12"/>
  <c r="FI32" i="12"/>
  <c r="FJ32" i="12"/>
  <c r="FK32" i="12"/>
  <c r="FL32" i="12"/>
  <c r="FM32" i="12"/>
  <c r="FN32" i="12"/>
  <c r="FO32" i="12"/>
  <c r="FP32" i="12"/>
  <c r="FQ32" i="12"/>
  <c r="FR32" i="12"/>
  <c r="FS32" i="12"/>
  <c r="FT32" i="12"/>
  <c r="FU32" i="12"/>
  <c r="FV32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DN31" i="12"/>
  <c r="DO31" i="12"/>
  <c r="DP31" i="12"/>
  <c r="DQ31" i="12"/>
  <c r="DR31" i="12"/>
  <c r="DS31" i="12"/>
  <c r="DT31" i="12"/>
  <c r="DU31" i="12"/>
  <c r="DV31" i="12"/>
  <c r="DW31" i="12"/>
  <c r="DX31" i="12"/>
  <c r="DY31" i="12"/>
  <c r="DZ31" i="12"/>
  <c r="EA31" i="12"/>
  <c r="EB31" i="12"/>
  <c r="EC31" i="12"/>
  <c r="ED31" i="12"/>
  <c r="EE31" i="12"/>
  <c r="EF31" i="12"/>
  <c r="EG31" i="12"/>
  <c r="EH31" i="12"/>
  <c r="EI31" i="12"/>
  <c r="EJ31" i="12"/>
  <c r="EK31" i="12"/>
  <c r="EL31" i="12"/>
  <c r="EM31" i="12"/>
  <c r="EN31" i="12"/>
  <c r="EO31" i="12"/>
  <c r="EP31" i="12"/>
  <c r="EQ31" i="12"/>
  <c r="ER31" i="12"/>
  <c r="ES31" i="12"/>
  <c r="ET31" i="12"/>
  <c r="EU31" i="12"/>
  <c r="EV31" i="12"/>
  <c r="EW31" i="12"/>
  <c r="EX31" i="12"/>
  <c r="EY31" i="12"/>
  <c r="EZ31" i="12"/>
  <c r="FA31" i="12"/>
  <c r="FB31" i="12"/>
  <c r="FC31" i="12"/>
  <c r="FD31" i="12"/>
  <c r="FE31" i="12"/>
  <c r="FF31" i="12"/>
  <c r="FG31" i="12"/>
  <c r="FH31" i="12"/>
  <c r="FI31" i="12"/>
  <c r="FJ31" i="12"/>
  <c r="FK31" i="12"/>
  <c r="FL31" i="12"/>
  <c r="FM31" i="12"/>
  <c r="FN31" i="12"/>
  <c r="FO31" i="12"/>
  <c r="FP31" i="12"/>
  <c r="FQ31" i="12"/>
  <c r="FR31" i="12"/>
  <c r="FS31" i="12"/>
  <c r="FT31" i="12"/>
  <c r="FU31" i="12"/>
  <c r="FV31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CU30" i="12"/>
  <c r="CV30" i="12"/>
  <c r="CW30" i="12"/>
  <c r="CX30" i="12"/>
  <c r="CY30" i="12"/>
  <c r="CZ30" i="12"/>
  <c r="DA30" i="12"/>
  <c r="DB30" i="12"/>
  <c r="DC30" i="12"/>
  <c r="DD30" i="12"/>
  <c r="DE30" i="12"/>
  <c r="DF30" i="12"/>
  <c r="DG30" i="12"/>
  <c r="DH30" i="12"/>
  <c r="DI30" i="12"/>
  <c r="DJ30" i="12"/>
  <c r="DK30" i="12"/>
  <c r="DL30" i="12"/>
  <c r="DM30" i="12"/>
  <c r="DN30" i="12"/>
  <c r="DO30" i="12"/>
  <c r="DP30" i="12"/>
  <c r="DQ30" i="12"/>
  <c r="DR30" i="12"/>
  <c r="DS30" i="12"/>
  <c r="DT30" i="12"/>
  <c r="DU30" i="12"/>
  <c r="DV30" i="12"/>
  <c r="DW30" i="12"/>
  <c r="DX30" i="12"/>
  <c r="DY30" i="12"/>
  <c r="DZ30" i="12"/>
  <c r="EA30" i="12"/>
  <c r="EB30" i="12"/>
  <c r="EC30" i="12"/>
  <c r="ED30" i="12"/>
  <c r="EE30" i="12"/>
  <c r="EF30" i="12"/>
  <c r="EG30" i="12"/>
  <c r="EH30" i="12"/>
  <c r="EI30" i="12"/>
  <c r="EJ30" i="12"/>
  <c r="EK30" i="12"/>
  <c r="EL30" i="12"/>
  <c r="EM30" i="12"/>
  <c r="EN30" i="12"/>
  <c r="EO30" i="12"/>
  <c r="EP30" i="12"/>
  <c r="EQ30" i="12"/>
  <c r="ER30" i="12"/>
  <c r="ES30" i="12"/>
  <c r="ET30" i="12"/>
  <c r="EU30" i="12"/>
  <c r="EV30" i="12"/>
  <c r="EW30" i="12"/>
  <c r="EX30" i="12"/>
  <c r="EY30" i="12"/>
  <c r="EZ30" i="12"/>
  <c r="FA30" i="12"/>
  <c r="FB30" i="12"/>
  <c r="FC30" i="12"/>
  <c r="FD30" i="12"/>
  <c r="FE30" i="12"/>
  <c r="FF30" i="12"/>
  <c r="FG30" i="12"/>
  <c r="FH30" i="12"/>
  <c r="FI30" i="12"/>
  <c r="FJ30" i="12"/>
  <c r="FK30" i="12"/>
  <c r="FL30" i="12"/>
  <c r="FM30" i="12"/>
  <c r="FN30" i="12"/>
  <c r="FO30" i="12"/>
  <c r="FP30" i="12"/>
  <c r="FQ30" i="12"/>
  <c r="FR30" i="12"/>
  <c r="FS30" i="12"/>
  <c r="FT30" i="12"/>
  <c r="FU30" i="12"/>
  <c r="FV30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DN29" i="12"/>
  <c r="DO29" i="12"/>
  <c r="DP29" i="12"/>
  <c r="DQ29" i="12"/>
  <c r="DR29" i="12"/>
  <c r="DS29" i="12"/>
  <c r="DT29" i="12"/>
  <c r="DU29" i="12"/>
  <c r="DV29" i="12"/>
  <c r="DW29" i="12"/>
  <c r="DX29" i="12"/>
  <c r="DY29" i="12"/>
  <c r="DZ29" i="12"/>
  <c r="EA29" i="12"/>
  <c r="EB29" i="12"/>
  <c r="EC29" i="12"/>
  <c r="ED29" i="12"/>
  <c r="EE29" i="12"/>
  <c r="EF29" i="12"/>
  <c r="EG29" i="12"/>
  <c r="EH29" i="12"/>
  <c r="EI29" i="12"/>
  <c r="EJ29" i="12"/>
  <c r="EK29" i="12"/>
  <c r="EL29" i="12"/>
  <c r="EM29" i="12"/>
  <c r="EN29" i="12"/>
  <c r="EO29" i="12"/>
  <c r="EP29" i="12"/>
  <c r="EQ29" i="12"/>
  <c r="ER29" i="12"/>
  <c r="ES29" i="12"/>
  <c r="ET29" i="12"/>
  <c r="EU29" i="12"/>
  <c r="EV29" i="12"/>
  <c r="EW29" i="12"/>
  <c r="EX29" i="12"/>
  <c r="EY29" i="12"/>
  <c r="EZ29" i="12"/>
  <c r="FA29" i="12"/>
  <c r="FB29" i="12"/>
  <c r="FC29" i="12"/>
  <c r="FD29" i="12"/>
  <c r="FE29" i="12"/>
  <c r="FF29" i="12"/>
  <c r="FG29" i="12"/>
  <c r="FH29" i="12"/>
  <c r="FI29" i="12"/>
  <c r="FJ29" i="12"/>
  <c r="FK29" i="12"/>
  <c r="FL29" i="12"/>
  <c r="FM29" i="12"/>
  <c r="FN29" i="12"/>
  <c r="FO29" i="12"/>
  <c r="FP29" i="12"/>
  <c r="FQ29" i="12"/>
  <c r="FR29" i="12"/>
  <c r="FS29" i="12"/>
  <c r="FT29" i="12"/>
  <c r="FU29" i="12"/>
  <c r="FV29" i="12"/>
  <c r="B35" i="12"/>
  <c r="B34" i="12"/>
  <c r="B33" i="12"/>
  <c r="B32" i="12"/>
  <c r="B31" i="12"/>
  <c r="B30" i="12"/>
  <c r="B29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CU28" i="12"/>
  <c r="CV28" i="12"/>
  <c r="CW28" i="12"/>
  <c r="CX28" i="12"/>
  <c r="CY28" i="12"/>
  <c r="CZ28" i="12"/>
  <c r="DA28" i="12"/>
  <c r="DB28" i="12"/>
  <c r="DC28" i="12"/>
  <c r="DD28" i="12"/>
  <c r="DE28" i="12"/>
  <c r="DF28" i="12"/>
  <c r="DG28" i="12"/>
  <c r="DH28" i="12"/>
  <c r="DI28" i="12"/>
  <c r="DJ28" i="12"/>
  <c r="DK28" i="12"/>
  <c r="DL28" i="12"/>
  <c r="DM28" i="12"/>
  <c r="DN28" i="12"/>
  <c r="DO28" i="12"/>
  <c r="DP28" i="12"/>
  <c r="DQ28" i="12"/>
  <c r="DR28" i="12"/>
  <c r="DS28" i="12"/>
  <c r="DT28" i="12"/>
  <c r="DU28" i="12"/>
  <c r="DV28" i="12"/>
  <c r="DW28" i="12"/>
  <c r="DX28" i="12"/>
  <c r="DY28" i="12"/>
  <c r="DZ28" i="12"/>
  <c r="EA28" i="12"/>
  <c r="EB28" i="12"/>
  <c r="EC28" i="12"/>
  <c r="ED28" i="12"/>
  <c r="EE28" i="12"/>
  <c r="EF28" i="12"/>
  <c r="EG28" i="12"/>
  <c r="EH28" i="12"/>
  <c r="EI28" i="12"/>
  <c r="EJ28" i="12"/>
  <c r="EK28" i="12"/>
  <c r="EL28" i="12"/>
  <c r="EM28" i="12"/>
  <c r="EN28" i="12"/>
  <c r="EO28" i="12"/>
  <c r="EP28" i="12"/>
  <c r="EQ28" i="12"/>
  <c r="ER28" i="12"/>
  <c r="ES28" i="12"/>
  <c r="ET28" i="12"/>
  <c r="EU28" i="12"/>
  <c r="EV28" i="12"/>
  <c r="EW28" i="12"/>
  <c r="EX28" i="12"/>
  <c r="EY28" i="12"/>
  <c r="EZ28" i="12"/>
  <c r="FA28" i="12"/>
  <c r="FB28" i="12"/>
  <c r="FC28" i="12"/>
  <c r="FD28" i="12"/>
  <c r="FE28" i="12"/>
  <c r="FF28" i="12"/>
  <c r="FG28" i="12"/>
  <c r="FH28" i="12"/>
  <c r="FI28" i="12"/>
  <c r="FJ28" i="12"/>
  <c r="FK28" i="12"/>
  <c r="FL28" i="12"/>
  <c r="FM28" i="12"/>
  <c r="FN28" i="12"/>
  <c r="FO28" i="12"/>
  <c r="FP28" i="12"/>
  <c r="FQ28" i="12"/>
  <c r="FR28" i="12"/>
  <c r="FS28" i="12"/>
  <c r="FT28" i="12"/>
  <c r="FU28" i="12"/>
  <c r="FV28" i="12"/>
  <c r="C28" i="12"/>
  <c r="D28" i="12"/>
  <c r="B28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CU26" i="12"/>
  <c r="CV26" i="12"/>
  <c r="CW26" i="12"/>
  <c r="CX26" i="12"/>
  <c r="CY26" i="12"/>
  <c r="CZ26" i="12"/>
  <c r="DA26" i="12"/>
  <c r="DB26" i="12"/>
  <c r="DC26" i="12"/>
  <c r="DD26" i="12"/>
  <c r="DE26" i="12"/>
  <c r="DF26" i="12"/>
  <c r="DG26" i="12"/>
  <c r="DH26" i="12"/>
  <c r="DI26" i="12"/>
  <c r="DJ26" i="12"/>
  <c r="DK26" i="12"/>
  <c r="DL26" i="12"/>
  <c r="DM26" i="12"/>
  <c r="DN26" i="12"/>
  <c r="DO26" i="12"/>
  <c r="DP26" i="12"/>
  <c r="DQ26" i="12"/>
  <c r="DR26" i="12"/>
  <c r="DS26" i="12"/>
  <c r="DT26" i="12"/>
  <c r="DU26" i="12"/>
  <c r="DV26" i="12"/>
  <c r="DW26" i="12"/>
  <c r="DX26" i="12"/>
  <c r="DY26" i="12"/>
  <c r="DZ26" i="12"/>
  <c r="EA26" i="12"/>
  <c r="EB26" i="12"/>
  <c r="EC26" i="12"/>
  <c r="ED26" i="12"/>
  <c r="EE26" i="12"/>
  <c r="EF26" i="12"/>
  <c r="EG26" i="12"/>
  <c r="EH26" i="12"/>
  <c r="EI26" i="12"/>
  <c r="EJ26" i="12"/>
  <c r="EK26" i="12"/>
  <c r="EL26" i="12"/>
  <c r="EM26" i="12"/>
  <c r="EN26" i="12"/>
  <c r="EO26" i="12"/>
  <c r="EP26" i="12"/>
  <c r="EQ26" i="12"/>
  <c r="ER26" i="12"/>
  <c r="ES26" i="12"/>
  <c r="ET26" i="12"/>
  <c r="EU26" i="12"/>
  <c r="EV26" i="12"/>
  <c r="EW26" i="12"/>
  <c r="EX26" i="12"/>
  <c r="EY26" i="12"/>
  <c r="EZ26" i="12"/>
  <c r="FA26" i="12"/>
  <c r="FB26" i="12"/>
  <c r="FC26" i="12"/>
  <c r="FD26" i="12"/>
  <c r="FE26" i="12"/>
  <c r="FF26" i="12"/>
  <c r="FG26" i="12"/>
  <c r="FH26" i="12"/>
  <c r="FI26" i="12"/>
  <c r="FJ26" i="12"/>
  <c r="FK26" i="12"/>
  <c r="FL26" i="12"/>
  <c r="FM26" i="12"/>
  <c r="FN26" i="12"/>
  <c r="FO26" i="12"/>
  <c r="FP26" i="12"/>
  <c r="FQ26" i="12"/>
  <c r="FR26" i="12"/>
  <c r="FS26" i="12"/>
  <c r="FT26" i="12"/>
  <c r="FU26" i="12"/>
  <c r="FV26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DN25" i="12"/>
  <c r="DO25" i="12"/>
  <c r="DP25" i="12"/>
  <c r="DQ25" i="12"/>
  <c r="DR25" i="12"/>
  <c r="DS25" i="12"/>
  <c r="DT25" i="12"/>
  <c r="DU25" i="12"/>
  <c r="DV25" i="12"/>
  <c r="DW25" i="12"/>
  <c r="DX25" i="12"/>
  <c r="DY25" i="12"/>
  <c r="DZ25" i="12"/>
  <c r="EA25" i="12"/>
  <c r="EB25" i="12"/>
  <c r="EC25" i="12"/>
  <c r="ED25" i="12"/>
  <c r="EE25" i="12"/>
  <c r="EF25" i="12"/>
  <c r="EG25" i="12"/>
  <c r="EH25" i="12"/>
  <c r="EI25" i="12"/>
  <c r="EJ25" i="12"/>
  <c r="EK25" i="12"/>
  <c r="EL25" i="12"/>
  <c r="EM25" i="12"/>
  <c r="EN25" i="12"/>
  <c r="EO25" i="12"/>
  <c r="EP25" i="12"/>
  <c r="EQ25" i="12"/>
  <c r="ER25" i="12"/>
  <c r="ES25" i="12"/>
  <c r="ET25" i="12"/>
  <c r="EU25" i="12"/>
  <c r="EV25" i="12"/>
  <c r="EW25" i="12"/>
  <c r="EX25" i="12"/>
  <c r="EY25" i="12"/>
  <c r="EZ25" i="12"/>
  <c r="FA25" i="12"/>
  <c r="FB25" i="12"/>
  <c r="FC25" i="12"/>
  <c r="FD25" i="12"/>
  <c r="FE25" i="12"/>
  <c r="FF25" i="12"/>
  <c r="FG25" i="12"/>
  <c r="FH25" i="12"/>
  <c r="FI25" i="12"/>
  <c r="FJ25" i="12"/>
  <c r="FK25" i="12"/>
  <c r="FL25" i="12"/>
  <c r="FM25" i="12"/>
  <c r="FN25" i="12"/>
  <c r="FO25" i="12"/>
  <c r="FP25" i="12"/>
  <c r="FQ25" i="12"/>
  <c r="FR25" i="12"/>
  <c r="FS25" i="12"/>
  <c r="FT25" i="12"/>
  <c r="FU25" i="12"/>
  <c r="FV25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BN24" i="12"/>
  <c r="BO24" i="12"/>
  <c r="BP24" i="12"/>
  <c r="BQ24" i="12"/>
  <c r="BR24" i="12"/>
  <c r="BS24" i="12"/>
  <c r="BT24" i="12"/>
  <c r="BU24" i="12"/>
  <c r="BV24" i="12"/>
  <c r="BW24" i="12"/>
  <c r="BX24" i="12"/>
  <c r="BY24" i="12"/>
  <c r="BZ24" i="12"/>
  <c r="CA24" i="12"/>
  <c r="CB24" i="12"/>
  <c r="CC24" i="12"/>
  <c r="CD24" i="12"/>
  <c r="CE24" i="12"/>
  <c r="CF24" i="12"/>
  <c r="CG24" i="12"/>
  <c r="CH24" i="12"/>
  <c r="CI24" i="12"/>
  <c r="CJ24" i="12"/>
  <c r="CK24" i="12"/>
  <c r="CL24" i="12"/>
  <c r="CM24" i="12"/>
  <c r="CN24" i="12"/>
  <c r="CO24" i="12"/>
  <c r="CP24" i="12"/>
  <c r="CQ24" i="12"/>
  <c r="CR24" i="12"/>
  <c r="CS24" i="12"/>
  <c r="CT24" i="12"/>
  <c r="CU24" i="12"/>
  <c r="CV24" i="12"/>
  <c r="CW24" i="12"/>
  <c r="CX24" i="12"/>
  <c r="CY24" i="12"/>
  <c r="CZ24" i="12"/>
  <c r="DA24" i="12"/>
  <c r="DB24" i="12"/>
  <c r="DC24" i="12"/>
  <c r="DD24" i="12"/>
  <c r="DE24" i="12"/>
  <c r="DF24" i="12"/>
  <c r="DG24" i="12"/>
  <c r="DH24" i="12"/>
  <c r="DI24" i="12"/>
  <c r="DJ24" i="12"/>
  <c r="DK24" i="12"/>
  <c r="DL24" i="12"/>
  <c r="DM24" i="12"/>
  <c r="DN24" i="12"/>
  <c r="DO24" i="12"/>
  <c r="DP24" i="12"/>
  <c r="DQ24" i="12"/>
  <c r="DR24" i="12"/>
  <c r="DS24" i="12"/>
  <c r="DT24" i="12"/>
  <c r="DU24" i="12"/>
  <c r="DV24" i="12"/>
  <c r="DW24" i="12"/>
  <c r="DX24" i="12"/>
  <c r="DY24" i="12"/>
  <c r="DZ24" i="12"/>
  <c r="EA24" i="12"/>
  <c r="EB24" i="12"/>
  <c r="EC24" i="12"/>
  <c r="ED24" i="12"/>
  <c r="EE24" i="12"/>
  <c r="EF24" i="12"/>
  <c r="EG24" i="12"/>
  <c r="EH24" i="12"/>
  <c r="EI24" i="12"/>
  <c r="EJ24" i="12"/>
  <c r="EK24" i="12"/>
  <c r="EL24" i="12"/>
  <c r="EM24" i="12"/>
  <c r="EN24" i="12"/>
  <c r="EO24" i="12"/>
  <c r="EP24" i="12"/>
  <c r="EQ24" i="12"/>
  <c r="ER24" i="12"/>
  <c r="ES24" i="12"/>
  <c r="ET24" i="12"/>
  <c r="EU24" i="12"/>
  <c r="EV24" i="12"/>
  <c r="EW24" i="12"/>
  <c r="EX24" i="12"/>
  <c r="EY24" i="12"/>
  <c r="EZ24" i="12"/>
  <c r="FA24" i="12"/>
  <c r="FB24" i="12"/>
  <c r="FC24" i="12"/>
  <c r="FD24" i="12"/>
  <c r="FE24" i="12"/>
  <c r="FF24" i="12"/>
  <c r="FG24" i="12"/>
  <c r="FH24" i="12"/>
  <c r="FI24" i="12"/>
  <c r="FJ24" i="12"/>
  <c r="FK24" i="12"/>
  <c r="FL24" i="12"/>
  <c r="FM24" i="12"/>
  <c r="FN24" i="12"/>
  <c r="FO24" i="12"/>
  <c r="FP24" i="12"/>
  <c r="FQ24" i="12"/>
  <c r="FR24" i="12"/>
  <c r="FS24" i="12"/>
  <c r="FT24" i="12"/>
  <c r="FU24" i="12"/>
  <c r="FV24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U23" i="12"/>
  <c r="CV23" i="12"/>
  <c r="CW23" i="12"/>
  <c r="CX23" i="12"/>
  <c r="CY23" i="12"/>
  <c r="CZ23" i="12"/>
  <c r="DA23" i="12"/>
  <c r="DB23" i="12"/>
  <c r="DC23" i="12"/>
  <c r="DD23" i="12"/>
  <c r="DE23" i="12"/>
  <c r="DF23" i="12"/>
  <c r="DG23" i="12"/>
  <c r="DH23" i="12"/>
  <c r="DI23" i="12"/>
  <c r="DJ23" i="12"/>
  <c r="DK23" i="12"/>
  <c r="DL23" i="12"/>
  <c r="DM23" i="12"/>
  <c r="DN23" i="12"/>
  <c r="DO23" i="12"/>
  <c r="DP23" i="12"/>
  <c r="DQ23" i="12"/>
  <c r="DR23" i="12"/>
  <c r="DS23" i="12"/>
  <c r="DT23" i="12"/>
  <c r="DU23" i="12"/>
  <c r="DV23" i="12"/>
  <c r="DW23" i="12"/>
  <c r="DX23" i="12"/>
  <c r="DY23" i="12"/>
  <c r="DZ23" i="12"/>
  <c r="EA23" i="12"/>
  <c r="EB23" i="12"/>
  <c r="EC23" i="12"/>
  <c r="ED23" i="12"/>
  <c r="EE23" i="12"/>
  <c r="EF23" i="12"/>
  <c r="EG23" i="12"/>
  <c r="EH23" i="12"/>
  <c r="EI23" i="12"/>
  <c r="EJ23" i="12"/>
  <c r="EK23" i="12"/>
  <c r="EL23" i="12"/>
  <c r="EM23" i="12"/>
  <c r="EN23" i="12"/>
  <c r="EO23" i="12"/>
  <c r="EP23" i="12"/>
  <c r="EQ23" i="12"/>
  <c r="ER23" i="12"/>
  <c r="ES23" i="12"/>
  <c r="ET23" i="12"/>
  <c r="EU23" i="12"/>
  <c r="EV23" i="12"/>
  <c r="EW23" i="12"/>
  <c r="EX23" i="12"/>
  <c r="EY23" i="12"/>
  <c r="EZ23" i="12"/>
  <c r="FA23" i="12"/>
  <c r="FB23" i="12"/>
  <c r="FC23" i="12"/>
  <c r="FD23" i="12"/>
  <c r="FE23" i="12"/>
  <c r="FF23" i="12"/>
  <c r="FG23" i="12"/>
  <c r="FH23" i="12"/>
  <c r="FI23" i="12"/>
  <c r="FJ23" i="12"/>
  <c r="FK23" i="12"/>
  <c r="FL23" i="12"/>
  <c r="FM23" i="12"/>
  <c r="FN23" i="12"/>
  <c r="FO23" i="12"/>
  <c r="FP23" i="12"/>
  <c r="FQ23" i="12"/>
  <c r="FR23" i="12"/>
  <c r="FS23" i="12"/>
  <c r="FT23" i="12"/>
  <c r="FU23" i="12"/>
  <c r="FV23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U22" i="12"/>
  <c r="CV22" i="12"/>
  <c r="CW22" i="12"/>
  <c r="CX22" i="12"/>
  <c r="CY22" i="12"/>
  <c r="CZ22" i="12"/>
  <c r="DA22" i="12"/>
  <c r="DB22" i="12"/>
  <c r="DC22" i="12"/>
  <c r="DD22" i="12"/>
  <c r="DE22" i="12"/>
  <c r="DF22" i="12"/>
  <c r="DG22" i="12"/>
  <c r="DH22" i="12"/>
  <c r="DI22" i="12"/>
  <c r="DJ22" i="12"/>
  <c r="DK22" i="12"/>
  <c r="DL22" i="12"/>
  <c r="DM22" i="12"/>
  <c r="DN22" i="12"/>
  <c r="DO22" i="12"/>
  <c r="DP22" i="12"/>
  <c r="DQ22" i="12"/>
  <c r="DR22" i="12"/>
  <c r="DS22" i="12"/>
  <c r="DT22" i="12"/>
  <c r="DU22" i="12"/>
  <c r="DV22" i="12"/>
  <c r="DW22" i="12"/>
  <c r="DX22" i="12"/>
  <c r="DY22" i="12"/>
  <c r="DZ22" i="12"/>
  <c r="EA22" i="12"/>
  <c r="EB22" i="12"/>
  <c r="EC22" i="12"/>
  <c r="ED22" i="12"/>
  <c r="EE22" i="12"/>
  <c r="EF22" i="12"/>
  <c r="EG22" i="12"/>
  <c r="EH22" i="12"/>
  <c r="EI22" i="12"/>
  <c r="EJ22" i="12"/>
  <c r="EK22" i="12"/>
  <c r="EL22" i="12"/>
  <c r="EM22" i="12"/>
  <c r="EN22" i="12"/>
  <c r="EO22" i="12"/>
  <c r="EP22" i="12"/>
  <c r="EQ22" i="12"/>
  <c r="ER22" i="12"/>
  <c r="ES22" i="12"/>
  <c r="ET22" i="12"/>
  <c r="EU22" i="12"/>
  <c r="EV22" i="12"/>
  <c r="EW22" i="12"/>
  <c r="EX22" i="12"/>
  <c r="EY22" i="12"/>
  <c r="EZ22" i="12"/>
  <c r="FA22" i="12"/>
  <c r="FB22" i="12"/>
  <c r="FC22" i="12"/>
  <c r="FD22" i="12"/>
  <c r="FE22" i="12"/>
  <c r="FF22" i="12"/>
  <c r="FG22" i="12"/>
  <c r="FH22" i="12"/>
  <c r="FI22" i="12"/>
  <c r="FJ22" i="12"/>
  <c r="FK22" i="12"/>
  <c r="FL22" i="12"/>
  <c r="FM22" i="12"/>
  <c r="FN22" i="12"/>
  <c r="FO22" i="12"/>
  <c r="FP22" i="12"/>
  <c r="FQ22" i="12"/>
  <c r="FR22" i="12"/>
  <c r="FS22" i="12"/>
  <c r="FT22" i="12"/>
  <c r="FU22" i="12"/>
  <c r="FV22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CU21" i="12"/>
  <c r="CV21" i="12"/>
  <c r="CW21" i="12"/>
  <c r="CX21" i="12"/>
  <c r="CY21" i="12"/>
  <c r="CZ21" i="12"/>
  <c r="DA21" i="12"/>
  <c r="DB21" i="12"/>
  <c r="DC21" i="12"/>
  <c r="DD21" i="12"/>
  <c r="DE21" i="12"/>
  <c r="DF21" i="12"/>
  <c r="DG21" i="12"/>
  <c r="DH21" i="12"/>
  <c r="DI21" i="12"/>
  <c r="DJ21" i="12"/>
  <c r="DK21" i="12"/>
  <c r="DL21" i="12"/>
  <c r="DM21" i="12"/>
  <c r="DN21" i="12"/>
  <c r="DO21" i="12"/>
  <c r="DP21" i="12"/>
  <c r="DQ21" i="12"/>
  <c r="DR21" i="12"/>
  <c r="DS21" i="12"/>
  <c r="DT21" i="12"/>
  <c r="DU21" i="12"/>
  <c r="DV21" i="12"/>
  <c r="DW21" i="12"/>
  <c r="DX21" i="12"/>
  <c r="DY21" i="12"/>
  <c r="DZ21" i="12"/>
  <c r="EA21" i="12"/>
  <c r="EB21" i="12"/>
  <c r="EC21" i="12"/>
  <c r="ED21" i="12"/>
  <c r="EE21" i="12"/>
  <c r="EF21" i="12"/>
  <c r="EG21" i="12"/>
  <c r="EH21" i="12"/>
  <c r="EI21" i="12"/>
  <c r="EJ21" i="12"/>
  <c r="EK21" i="12"/>
  <c r="EL21" i="12"/>
  <c r="EM21" i="12"/>
  <c r="EN21" i="12"/>
  <c r="EO21" i="12"/>
  <c r="EP21" i="12"/>
  <c r="EQ21" i="12"/>
  <c r="ER21" i="12"/>
  <c r="ES21" i="12"/>
  <c r="ET21" i="12"/>
  <c r="EU21" i="12"/>
  <c r="EV21" i="12"/>
  <c r="EW21" i="12"/>
  <c r="EX21" i="12"/>
  <c r="EY21" i="12"/>
  <c r="EZ21" i="12"/>
  <c r="FA21" i="12"/>
  <c r="FB21" i="12"/>
  <c r="FC21" i="12"/>
  <c r="FD21" i="12"/>
  <c r="FE21" i="12"/>
  <c r="FF21" i="12"/>
  <c r="FG21" i="12"/>
  <c r="FH21" i="12"/>
  <c r="FI21" i="12"/>
  <c r="FJ21" i="12"/>
  <c r="FK21" i="12"/>
  <c r="FL21" i="12"/>
  <c r="FM21" i="12"/>
  <c r="FN21" i="12"/>
  <c r="FO21" i="12"/>
  <c r="FP21" i="12"/>
  <c r="FQ21" i="12"/>
  <c r="FR21" i="12"/>
  <c r="FS21" i="12"/>
  <c r="FT21" i="12"/>
  <c r="FU21" i="12"/>
  <c r="FV21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CU19" i="12"/>
  <c r="CV19" i="12"/>
  <c r="CW19" i="12"/>
  <c r="CX19" i="12"/>
  <c r="CY19" i="12"/>
  <c r="CZ19" i="12"/>
  <c r="DA19" i="12"/>
  <c r="DB19" i="12"/>
  <c r="DC19" i="12"/>
  <c r="DD19" i="12"/>
  <c r="DE19" i="12"/>
  <c r="DF19" i="12"/>
  <c r="DG19" i="12"/>
  <c r="DH19" i="12"/>
  <c r="DI19" i="12"/>
  <c r="DJ19" i="12"/>
  <c r="DK19" i="12"/>
  <c r="DL19" i="12"/>
  <c r="DM19" i="12"/>
  <c r="DN19" i="12"/>
  <c r="DO19" i="12"/>
  <c r="DP19" i="12"/>
  <c r="DQ19" i="12"/>
  <c r="DR19" i="12"/>
  <c r="DS19" i="12"/>
  <c r="DT19" i="12"/>
  <c r="DU19" i="12"/>
  <c r="DV19" i="12"/>
  <c r="DW19" i="12"/>
  <c r="DX19" i="12"/>
  <c r="DY19" i="12"/>
  <c r="DZ19" i="12"/>
  <c r="EA19" i="12"/>
  <c r="EB19" i="12"/>
  <c r="EC19" i="12"/>
  <c r="ED19" i="12"/>
  <c r="EE19" i="12"/>
  <c r="EF19" i="12"/>
  <c r="EG19" i="12"/>
  <c r="EH19" i="12"/>
  <c r="EI19" i="12"/>
  <c r="EJ19" i="12"/>
  <c r="EK19" i="12"/>
  <c r="EL19" i="12"/>
  <c r="EM19" i="12"/>
  <c r="EN19" i="12"/>
  <c r="EO19" i="12"/>
  <c r="EP19" i="12"/>
  <c r="EQ19" i="12"/>
  <c r="ER19" i="12"/>
  <c r="ES19" i="12"/>
  <c r="ET19" i="12"/>
  <c r="EU19" i="12"/>
  <c r="EV19" i="12"/>
  <c r="EW19" i="12"/>
  <c r="EX19" i="12"/>
  <c r="EY19" i="12"/>
  <c r="EZ19" i="12"/>
  <c r="FA19" i="12"/>
  <c r="FB19" i="12"/>
  <c r="FC19" i="12"/>
  <c r="FD19" i="12"/>
  <c r="FE19" i="12"/>
  <c r="FF19" i="12"/>
  <c r="FG19" i="12"/>
  <c r="FH19" i="12"/>
  <c r="FI19" i="12"/>
  <c r="FJ19" i="12"/>
  <c r="FK19" i="12"/>
  <c r="FL19" i="12"/>
  <c r="FM19" i="12"/>
  <c r="FN19" i="12"/>
  <c r="FO19" i="12"/>
  <c r="FP19" i="12"/>
  <c r="FQ19" i="12"/>
  <c r="FR19" i="12"/>
  <c r="FS19" i="12"/>
  <c r="FT19" i="12"/>
  <c r="FU19" i="12"/>
  <c r="FV19" i="12"/>
  <c r="B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CU20" i="12"/>
  <c r="CV20" i="12"/>
  <c r="CW20" i="12"/>
  <c r="CX20" i="12"/>
  <c r="CY20" i="12"/>
  <c r="CZ20" i="12"/>
  <c r="DA20" i="12"/>
  <c r="DB20" i="12"/>
  <c r="DC20" i="12"/>
  <c r="DD20" i="12"/>
  <c r="DE20" i="12"/>
  <c r="DF20" i="12"/>
  <c r="DG20" i="12"/>
  <c r="DH20" i="12"/>
  <c r="DI20" i="12"/>
  <c r="DJ20" i="12"/>
  <c r="DK20" i="12"/>
  <c r="DL20" i="12"/>
  <c r="DM20" i="12"/>
  <c r="DN20" i="12"/>
  <c r="DO20" i="12"/>
  <c r="DP20" i="12"/>
  <c r="DQ20" i="12"/>
  <c r="DR20" i="12"/>
  <c r="DS20" i="12"/>
  <c r="DT20" i="12"/>
  <c r="DU20" i="12"/>
  <c r="DV20" i="12"/>
  <c r="DW20" i="12"/>
  <c r="DX20" i="12"/>
  <c r="DY20" i="12"/>
  <c r="DZ20" i="12"/>
  <c r="EA20" i="12"/>
  <c r="EB20" i="12"/>
  <c r="EC20" i="12"/>
  <c r="ED20" i="12"/>
  <c r="EE20" i="12"/>
  <c r="EF20" i="12"/>
  <c r="EG20" i="12"/>
  <c r="EH20" i="12"/>
  <c r="EI20" i="12"/>
  <c r="EJ20" i="12"/>
  <c r="EK20" i="12"/>
  <c r="EL20" i="12"/>
  <c r="EM20" i="12"/>
  <c r="EN20" i="12"/>
  <c r="EO20" i="12"/>
  <c r="EP20" i="12"/>
  <c r="EQ20" i="12"/>
  <c r="ER20" i="12"/>
  <c r="ES20" i="12"/>
  <c r="ET20" i="12"/>
  <c r="EU20" i="12"/>
  <c r="EV20" i="12"/>
  <c r="EW20" i="12"/>
  <c r="EX20" i="12"/>
  <c r="EY20" i="12"/>
  <c r="EZ20" i="12"/>
  <c r="FA20" i="12"/>
  <c r="FB20" i="12"/>
  <c r="FC20" i="12"/>
  <c r="FD20" i="12"/>
  <c r="FE20" i="12"/>
  <c r="FF20" i="12"/>
  <c r="FG20" i="12"/>
  <c r="FH20" i="12"/>
  <c r="FI20" i="12"/>
  <c r="FJ20" i="12"/>
  <c r="FK20" i="12"/>
  <c r="FL20" i="12"/>
  <c r="FM20" i="12"/>
  <c r="FN20" i="12"/>
  <c r="FO20" i="12"/>
  <c r="FP20" i="12"/>
  <c r="FQ20" i="12"/>
  <c r="FR20" i="12"/>
  <c r="FS20" i="12"/>
  <c r="FT20" i="12"/>
  <c r="FU20" i="12"/>
  <c r="FV20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CU18" i="12"/>
  <c r="CV18" i="12"/>
  <c r="CW18" i="12"/>
  <c r="CX18" i="12"/>
  <c r="CY18" i="12"/>
  <c r="CZ18" i="12"/>
  <c r="DA18" i="12"/>
  <c r="DB18" i="12"/>
  <c r="DC18" i="12"/>
  <c r="DD18" i="12"/>
  <c r="DE18" i="12"/>
  <c r="DF18" i="12"/>
  <c r="DG18" i="12"/>
  <c r="DH18" i="12"/>
  <c r="DI18" i="12"/>
  <c r="DJ18" i="12"/>
  <c r="DK18" i="12"/>
  <c r="DL18" i="12"/>
  <c r="DM18" i="12"/>
  <c r="DN18" i="12"/>
  <c r="DO18" i="12"/>
  <c r="DP18" i="12"/>
  <c r="DQ18" i="12"/>
  <c r="DR18" i="12"/>
  <c r="DS18" i="12"/>
  <c r="DT18" i="12"/>
  <c r="DU18" i="12"/>
  <c r="DV18" i="12"/>
  <c r="DW18" i="12"/>
  <c r="DX18" i="12"/>
  <c r="DY18" i="12"/>
  <c r="DZ18" i="12"/>
  <c r="EA18" i="12"/>
  <c r="EB18" i="12"/>
  <c r="EC18" i="12"/>
  <c r="ED18" i="12"/>
  <c r="EE18" i="12"/>
  <c r="EF18" i="12"/>
  <c r="EG18" i="12"/>
  <c r="EH18" i="12"/>
  <c r="EI18" i="12"/>
  <c r="EJ18" i="12"/>
  <c r="EK18" i="12"/>
  <c r="EL18" i="12"/>
  <c r="EM18" i="12"/>
  <c r="EN18" i="12"/>
  <c r="EO18" i="12"/>
  <c r="EP18" i="12"/>
  <c r="EQ18" i="12"/>
  <c r="ER18" i="12"/>
  <c r="ES18" i="12"/>
  <c r="ET18" i="12"/>
  <c r="EU18" i="12"/>
  <c r="EV18" i="12"/>
  <c r="EW18" i="12"/>
  <c r="EX18" i="12"/>
  <c r="EY18" i="12"/>
  <c r="EZ18" i="12"/>
  <c r="FA18" i="12"/>
  <c r="FB18" i="12"/>
  <c r="FC18" i="12"/>
  <c r="FD18" i="12"/>
  <c r="FE18" i="12"/>
  <c r="FF18" i="12"/>
  <c r="FG18" i="12"/>
  <c r="FH18" i="12"/>
  <c r="FI18" i="12"/>
  <c r="FJ18" i="12"/>
  <c r="FK18" i="12"/>
  <c r="FL18" i="12"/>
  <c r="FM18" i="12"/>
  <c r="FN18" i="12"/>
  <c r="FO18" i="12"/>
  <c r="FP18" i="12"/>
  <c r="FQ18" i="12"/>
  <c r="FR18" i="12"/>
  <c r="FS18" i="12"/>
  <c r="FT18" i="12"/>
  <c r="FU18" i="12"/>
  <c r="FV18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CU17" i="12"/>
  <c r="CV17" i="12"/>
  <c r="CW17" i="12"/>
  <c r="CX17" i="12"/>
  <c r="CY17" i="12"/>
  <c r="CZ17" i="12"/>
  <c r="DA17" i="12"/>
  <c r="DB17" i="12"/>
  <c r="DC17" i="12"/>
  <c r="DD17" i="12"/>
  <c r="DE17" i="12"/>
  <c r="DF17" i="12"/>
  <c r="DG17" i="12"/>
  <c r="DH17" i="12"/>
  <c r="DI17" i="12"/>
  <c r="DJ17" i="12"/>
  <c r="DK17" i="12"/>
  <c r="DL17" i="12"/>
  <c r="DM17" i="12"/>
  <c r="DN17" i="12"/>
  <c r="DO17" i="12"/>
  <c r="DP17" i="12"/>
  <c r="DQ17" i="12"/>
  <c r="DR17" i="12"/>
  <c r="DS17" i="12"/>
  <c r="DT17" i="12"/>
  <c r="DU17" i="12"/>
  <c r="DV17" i="12"/>
  <c r="DW17" i="12"/>
  <c r="DX17" i="12"/>
  <c r="DY17" i="12"/>
  <c r="DZ17" i="12"/>
  <c r="EA17" i="12"/>
  <c r="EB17" i="12"/>
  <c r="EC17" i="12"/>
  <c r="ED17" i="12"/>
  <c r="EE17" i="12"/>
  <c r="EF17" i="12"/>
  <c r="EG17" i="12"/>
  <c r="EH17" i="12"/>
  <c r="EI17" i="12"/>
  <c r="EJ17" i="12"/>
  <c r="EK17" i="12"/>
  <c r="EL17" i="12"/>
  <c r="EM17" i="12"/>
  <c r="EN17" i="12"/>
  <c r="EO17" i="12"/>
  <c r="EP17" i="12"/>
  <c r="EQ17" i="12"/>
  <c r="ER17" i="12"/>
  <c r="ES17" i="12"/>
  <c r="ET17" i="12"/>
  <c r="EU17" i="12"/>
  <c r="EV17" i="12"/>
  <c r="EW17" i="12"/>
  <c r="EX17" i="12"/>
  <c r="EY17" i="12"/>
  <c r="EZ17" i="12"/>
  <c r="FA17" i="12"/>
  <c r="FB17" i="12"/>
  <c r="FC17" i="12"/>
  <c r="FD17" i="12"/>
  <c r="FE17" i="12"/>
  <c r="FF17" i="12"/>
  <c r="FG17" i="12"/>
  <c r="FH17" i="12"/>
  <c r="FI17" i="12"/>
  <c r="FJ17" i="12"/>
  <c r="FK17" i="12"/>
  <c r="FL17" i="12"/>
  <c r="FM17" i="12"/>
  <c r="FN17" i="12"/>
  <c r="FO17" i="12"/>
  <c r="FP17" i="12"/>
  <c r="FQ17" i="12"/>
  <c r="FR17" i="12"/>
  <c r="FS17" i="12"/>
  <c r="FT17" i="12"/>
  <c r="FU17" i="12"/>
  <c r="FV17" i="12"/>
  <c r="B26" i="12"/>
  <c r="B25" i="12"/>
  <c r="B24" i="12"/>
  <c r="B23" i="12"/>
  <c r="B22" i="12"/>
  <c r="B21" i="12"/>
  <c r="B20" i="12"/>
  <c r="B18" i="12"/>
  <c r="B17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CU16" i="12"/>
  <c r="CV16" i="12"/>
  <c r="CW16" i="12"/>
  <c r="CX16" i="12"/>
  <c r="CY16" i="12"/>
  <c r="CZ16" i="12"/>
  <c r="DA16" i="12"/>
  <c r="DB16" i="12"/>
  <c r="DC16" i="12"/>
  <c r="DD16" i="12"/>
  <c r="DE16" i="12"/>
  <c r="DF16" i="12"/>
  <c r="DG16" i="12"/>
  <c r="DH16" i="12"/>
  <c r="DI16" i="12"/>
  <c r="DJ16" i="12"/>
  <c r="DK16" i="12"/>
  <c r="DL16" i="12"/>
  <c r="DM16" i="12"/>
  <c r="DN16" i="12"/>
  <c r="DO16" i="12"/>
  <c r="DP16" i="12"/>
  <c r="DQ16" i="12"/>
  <c r="DR16" i="12"/>
  <c r="DS16" i="12"/>
  <c r="DT16" i="12"/>
  <c r="DU16" i="12"/>
  <c r="DV16" i="12"/>
  <c r="DW16" i="12"/>
  <c r="DX16" i="12"/>
  <c r="DY16" i="12"/>
  <c r="DZ16" i="12"/>
  <c r="EA16" i="12"/>
  <c r="EB16" i="12"/>
  <c r="EC16" i="12"/>
  <c r="ED16" i="12"/>
  <c r="EE16" i="12"/>
  <c r="EF16" i="12"/>
  <c r="EG16" i="12"/>
  <c r="EH16" i="12"/>
  <c r="EI16" i="12"/>
  <c r="EJ16" i="12"/>
  <c r="EK16" i="12"/>
  <c r="EL16" i="12"/>
  <c r="EM16" i="12"/>
  <c r="EN16" i="12"/>
  <c r="EO16" i="12"/>
  <c r="EP16" i="12"/>
  <c r="EQ16" i="12"/>
  <c r="ER16" i="12"/>
  <c r="ES16" i="12"/>
  <c r="ET16" i="12"/>
  <c r="EU16" i="12"/>
  <c r="EV16" i="12"/>
  <c r="EW16" i="12"/>
  <c r="EX16" i="12"/>
  <c r="EY16" i="12"/>
  <c r="EZ16" i="12"/>
  <c r="FA16" i="12"/>
  <c r="FB16" i="12"/>
  <c r="FC16" i="12"/>
  <c r="FD16" i="12"/>
  <c r="FE16" i="12"/>
  <c r="FF16" i="12"/>
  <c r="FG16" i="12"/>
  <c r="FH16" i="12"/>
  <c r="FI16" i="12"/>
  <c r="FJ16" i="12"/>
  <c r="FK16" i="12"/>
  <c r="FL16" i="12"/>
  <c r="FM16" i="12"/>
  <c r="FN16" i="12"/>
  <c r="FO16" i="12"/>
  <c r="FP16" i="12"/>
  <c r="FQ16" i="12"/>
  <c r="FR16" i="12"/>
  <c r="FS16" i="12"/>
  <c r="FT16" i="12"/>
  <c r="FU16" i="12"/>
  <c r="FV16" i="12"/>
  <c r="B16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BH14" i="12"/>
  <c r="BI14" i="12"/>
  <c r="BJ14" i="12"/>
  <c r="BK14" i="12"/>
  <c r="BL14" i="12"/>
  <c r="BM14" i="12"/>
  <c r="BN14" i="12"/>
  <c r="BO14" i="12"/>
  <c r="BP14" i="12"/>
  <c r="BQ14" i="12"/>
  <c r="BR14" i="12"/>
  <c r="BS14" i="12"/>
  <c r="BT14" i="12"/>
  <c r="BU14" i="12"/>
  <c r="BV14" i="12"/>
  <c r="BW14" i="12"/>
  <c r="BX14" i="12"/>
  <c r="BY14" i="12"/>
  <c r="BZ14" i="12"/>
  <c r="CA14" i="12"/>
  <c r="CB14" i="12"/>
  <c r="CC14" i="12"/>
  <c r="CD14" i="12"/>
  <c r="CE14" i="12"/>
  <c r="CF14" i="12"/>
  <c r="CG14" i="12"/>
  <c r="CH14" i="12"/>
  <c r="CI14" i="12"/>
  <c r="CJ14" i="12"/>
  <c r="CK14" i="12"/>
  <c r="CL14" i="12"/>
  <c r="CM14" i="12"/>
  <c r="CN14" i="12"/>
  <c r="CO14" i="12"/>
  <c r="CP14" i="12"/>
  <c r="CQ14" i="12"/>
  <c r="CR14" i="12"/>
  <c r="CS14" i="12"/>
  <c r="CT14" i="12"/>
  <c r="CU14" i="12"/>
  <c r="CV14" i="12"/>
  <c r="CW14" i="12"/>
  <c r="CX14" i="12"/>
  <c r="CY14" i="12"/>
  <c r="CZ14" i="12"/>
  <c r="DA14" i="12"/>
  <c r="DB14" i="12"/>
  <c r="DC14" i="12"/>
  <c r="DD14" i="12"/>
  <c r="DE14" i="12"/>
  <c r="DF14" i="12"/>
  <c r="DG14" i="12"/>
  <c r="DH14" i="12"/>
  <c r="DI14" i="12"/>
  <c r="DJ14" i="12"/>
  <c r="DK14" i="12"/>
  <c r="DL14" i="12"/>
  <c r="DM14" i="12"/>
  <c r="DN14" i="12"/>
  <c r="DO14" i="12"/>
  <c r="DP14" i="12"/>
  <c r="DQ14" i="12"/>
  <c r="DR14" i="12"/>
  <c r="DS14" i="12"/>
  <c r="DT14" i="12"/>
  <c r="DU14" i="12"/>
  <c r="DV14" i="12"/>
  <c r="DW14" i="12"/>
  <c r="DX14" i="12"/>
  <c r="DY14" i="12"/>
  <c r="DZ14" i="12"/>
  <c r="EA14" i="12"/>
  <c r="EB14" i="12"/>
  <c r="EC14" i="12"/>
  <c r="ED14" i="12"/>
  <c r="EE14" i="12"/>
  <c r="EF14" i="12"/>
  <c r="EG14" i="12"/>
  <c r="EH14" i="12"/>
  <c r="EI14" i="12"/>
  <c r="EJ14" i="12"/>
  <c r="EK14" i="12"/>
  <c r="EL14" i="12"/>
  <c r="EM14" i="12"/>
  <c r="EN14" i="12"/>
  <c r="EO14" i="12"/>
  <c r="EP14" i="12"/>
  <c r="EQ14" i="12"/>
  <c r="ER14" i="12"/>
  <c r="ES14" i="12"/>
  <c r="ET14" i="12"/>
  <c r="EU14" i="12"/>
  <c r="EV14" i="12"/>
  <c r="EW14" i="12"/>
  <c r="EX14" i="12"/>
  <c r="EY14" i="12"/>
  <c r="EZ14" i="12"/>
  <c r="FA14" i="12"/>
  <c r="FB14" i="12"/>
  <c r="FC14" i="12"/>
  <c r="FD14" i="12"/>
  <c r="FE14" i="12"/>
  <c r="FF14" i="12"/>
  <c r="FG14" i="12"/>
  <c r="FH14" i="12"/>
  <c r="FI14" i="12"/>
  <c r="FJ14" i="12"/>
  <c r="FK14" i="12"/>
  <c r="FL14" i="12"/>
  <c r="FM14" i="12"/>
  <c r="FN14" i="12"/>
  <c r="FO14" i="12"/>
  <c r="FP14" i="12"/>
  <c r="FQ14" i="12"/>
  <c r="FR14" i="12"/>
  <c r="FS14" i="12"/>
  <c r="FT14" i="12"/>
  <c r="FU14" i="12"/>
  <c r="FV14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U13" i="12"/>
  <c r="CV13" i="12"/>
  <c r="CW13" i="12"/>
  <c r="CX13" i="12"/>
  <c r="CY13" i="12"/>
  <c r="CZ13" i="12"/>
  <c r="DA13" i="12"/>
  <c r="DB13" i="12"/>
  <c r="DC13" i="12"/>
  <c r="DD13" i="12"/>
  <c r="DE13" i="12"/>
  <c r="DF13" i="12"/>
  <c r="DG13" i="12"/>
  <c r="DH13" i="12"/>
  <c r="DI13" i="12"/>
  <c r="DJ13" i="12"/>
  <c r="DK13" i="12"/>
  <c r="DL13" i="12"/>
  <c r="DM13" i="12"/>
  <c r="DN13" i="12"/>
  <c r="DO13" i="12"/>
  <c r="DP13" i="12"/>
  <c r="DQ13" i="12"/>
  <c r="DR13" i="12"/>
  <c r="DS13" i="12"/>
  <c r="DT13" i="12"/>
  <c r="DU13" i="12"/>
  <c r="DV13" i="12"/>
  <c r="DW13" i="12"/>
  <c r="DX13" i="12"/>
  <c r="DY13" i="12"/>
  <c r="DZ13" i="12"/>
  <c r="EA13" i="12"/>
  <c r="EB13" i="12"/>
  <c r="EC13" i="12"/>
  <c r="ED13" i="12"/>
  <c r="EE13" i="12"/>
  <c r="EF13" i="12"/>
  <c r="EG13" i="12"/>
  <c r="EH13" i="12"/>
  <c r="EI13" i="12"/>
  <c r="EJ13" i="12"/>
  <c r="EK13" i="12"/>
  <c r="EL13" i="12"/>
  <c r="EM13" i="12"/>
  <c r="EN13" i="12"/>
  <c r="EO13" i="12"/>
  <c r="EP13" i="12"/>
  <c r="EQ13" i="12"/>
  <c r="ER13" i="12"/>
  <c r="ES13" i="12"/>
  <c r="ET13" i="12"/>
  <c r="EU13" i="12"/>
  <c r="EV13" i="12"/>
  <c r="EW13" i="12"/>
  <c r="EX13" i="12"/>
  <c r="EY13" i="12"/>
  <c r="EZ13" i="12"/>
  <c r="FA13" i="12"/>
  <c r="FB13" i="12"/>
  <c r="FC13" i="12"/>
  <c r="FD13" i="12"/>
  <c r="FE13" i="12"/>
  <c r="FF13" i="12"/>
  <c r="FG13" i="12"/>
  <c r="FH13" i="12"/>
  <c r="FI13" i="12"/>
  <c r="FJ13" i="12"/>
  <c r="FK13" i="12"/>
  <c r="FL13" i="12"/>
  <c r="FM13" i="12"/>
  <c r="FN13" i="12"/>
  <c r="FO13" i="12"/>
  <c r="FP13" i="12"/>
  <c r="FQ13" i="12"/>
  <c r="FR13" i="12"/>
  <c r="FS13" i="12"/>
  <c r="FT13" i="12"/>
  <c r="FU13" i="12"/>
  <c r="FV13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U12" i="12"/>
  <c r="CV12" i="12"/>
  <c r="CW12" i="12"/>
  <c r="CX12" i="12"/>
  <c r="CY12" i="12"/>
  <c r="CZ12" i="12"/>
  <c r="DA12" i="12"/>
  <c r="DB12" i="12"/>
  <c r="DC12" i="12"/>
  <c r="DD12" i="12"/>
  <c r="DE12" i="12"/>
  <c r="DF12" i="12"/>
  <c r="DG12" i="12"/>
  <c r="DH12" i="12"/>
  <c r="DI12" i="12"/>
  <c r="DJ12" i="12"/>
  <c r="DK12" i="12"/>
  <c r="DL12" i="12"/>
  <c r="DM12" i="12"/>
  <c r="DN12" i="12"/>
  <c r="DO12" i="12"/>
  <c r="DP12" i="12"/>
  <c r="DQ12" i="12"/>
  <c r="DR12" i="12"/>
  <c r="DS12" i="12"/>
  <c r="DT12" i="12"/>
  <c r="DU12" i="12"/>
  <c r="DV12" i="12"/>
  <c r="DW12" i="12"/>
  <c r="DX12" i="12"/>
  <c r="DY12" i="12"/>
  <c r="DZ12" i="12"/>
  <c r="EA12" i="12"/>
  <c r="EB12" i="12"/>
  <c r="EC12" i="12"/>
  <c r="ED12" i="12"/>
  <c r="EE12" i="12"/>
  <c r="EF12" i="12"/>
  <c r="EG12" i="12"/>
  <c r="EH12" i="12"/>
  <c r="EI12" i="12"/>
  <c r="EJ12" i="12"/>
  <c r="EK12" i="12"/>
  <c r="EL12" i="12"/>
  <c r="EM12" i="12"/>
  <c r="EN12" i="12"/>
  <c r="EO12" i="12"/>
  <c r="EP12" i="12"/>
  <c r="EQ12" i="12"/>
  <c r="ER12" i="12"/>
  <c r="ES12" i="12"/>
  <c r="ET12" i="12"/>
  <c r="EU12" i="12"/>
  <c r="EV12" i="12"/>
  <c r="EW12" i="12"/>
  <c r="EX12" i="12"/>
  <c r="EY12" i="12"/>
  <c r="EZ12" i="12"/>
  <c r="FA12" i="12"/>
  <c r="FB12" i="12"/>
  <c r="FC12" i="12"/>
  <c r="FD12" i="12"/>
  <c r="FE12" i="12"/>
  <c r="FF12" i="12"/>
  <c r="FG12" i="12"/>
  <c r="FH12" i="12"/>
  <c r="FI12" i="12"/>
  <c r="FJ12" i="12"/>
  <c r="FK12" i="12"/>
  <c r="FL12" i="12"/>
  <c r="FM12" i="12"/>
  <c r="FN12" i="12"/>
  <c r="FO12" i="12"/>
  <c r="FP12" i="12"/>
  <c r="FQ12" i="12"/>
  <c r="FR12" i="12"/>
  <c r="FS12" i="12"/>
  <c r="FT12" i="12"/>
  <c r="FU12" i="12"/>
  <c r="FV12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DP11" i="12"/>
  <c r="DQ11" i="12"/>
  <c r="DR11" i="12"/>
  <c r="DS11" i="12"/>
  <c r="DT11" i="12"/>
  <c r="DU11" i="12"/>
  <c r="DV11" i="12"/>
  <c r="DW11" i="12"/>
  <c r="DX11" i="12"/>
  <c r="DY11" i="12"/>
  <c r="DZ11" i="12"/>
  <c r="EA11" i="12"/>
  <c r="EB11" i="12"/>
  <c r="EC11" i="12"/>
  <c r="ED11" i="12"/>
  <c r="EE11" i="12"/>
  <c r="EF11" i="12"/>
  <c r="EG11" i="12"/>
  <c r="EH11" i="12"/>
  <c r="EI11" i="12"/>
  <c r="EJ11" i="12"/>
  <c r="EK11" i="12"/>
  <c r="EL11" i="12"/>
  <c r="EM11" i="12"/>
  <c r="EN11" i="12"/>
  <c r="EO11" i="12"/>
  <c r="EP11" i="12"/>
  <c r="EQ11" i="12"/>
  <c r="ER11" i="12"/>
  <c r="ES11" i="12"/>
  <c r="ET11" i="12"/>
  <c r="EU11" i="12"/>
  <c r="EV11" i="12"/>
  <c r="EW11" i="12"/>
  <c r="EX11" i="12"/>
  <c r="EY11" i="12"/>
  <c r="EZ11" i="12"/>
  <c r="FA11" i="12"/>
  <c r="FB11" i="12"/>
  <c r="FC11" i="12"/>
  <c r="FD11" i="12"/>
  <c r="FE11" i="12"/>
  <c r="FF11" i="12"/>
  <c r="FG11" i="12"/>
  <c r="FH11" i="12"/>
  <c r="FI11" i="12"/>
  <c r="FJ11" i="12"/>
  <c r="FK11" i="12"/>
  <c r="FL11" i="12"/>
  <c r="FM11" i="12"/>
  <c r="FN11" i="12"/>
  <c r="FO11" i="12"/>
  <c r="FP11" i="12"/>
  <c r="FQ11" i="12"/>
  <c r="FR11" i="12"/>
  <c r="FS11" i="12"/>
  <c r="FT11" i="12"/>
  <c r="FU11" i="12"/>
  <c r="FV11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DR10" i="12"/>
  <c r="DS10" i="12"/>
  <c r="DT10" i="12"/>
  <c r="DU10" i="12"/>
  <c r="DV10" i="12"/>
  <c r="DW10" i="12"/>
  <c r="DX10" i="12"/>
  <c r="DY10" i="12"/>
  <c r="DZ10" i="12"/>
  <c r="EA10" i="12"/>
  <c r="EB10" i="12"/>
  <c r="EC10" i="12"/>
  <c r="ED10" i="12"/>
  <c r="EE10" i="12"/>
  <c r="EF10" i="12"/>
  <c r="EG10" i="12"/>
  <c r="EH10" i="12"/>
  <c r="EI10" i="12"/>
  <c r="EJ10" i="12"/>
  <c r="EK10" i="12"/>
  <c r="EL10" i="12"/>
  <c r="EM10" i="12"/>
  <c r="EN10" i="12"/>
  <c r="EO10" i="12"/>
  <c r="EP10" i="12"/>
  <c r="EQ10" i="12"/>
  <c r="ER10" i="12"/>
  <c r="ES10" i="12"/>
  <c r="ET10" i="12"/>
  <c r="EU10" i="12"/>
  <c r="EV10" i="12"/>
  <c r="EW10" i="12"/>
  <c r="EX10" i="12"/>
  <c r="EY10" i="12"/>
  <c r="EZ10" i="12"/>
  <c r="FA10" i="12"/>
  <c r="FB10" i="12"/>
  <c r="FC10" i="12"/>
  <c r="FD10" i="12"/>
  <c r="FE10" i="12"/>
  <c r="FF10" i="12"/>
  <c r="FG10" i="12"/>
  <c r="FH10" i="12"/>
  <c r="FI10" i="12"/>
  <c r="FJ10" i="12"/>
  <c r="FK10" i="12"/>
  <c r="FL10" i="12"/>
  <c r="FM10" i="12"/>
  <c r="FN10" i="12"/>
  <c r="FO10" i="12"/>
  <c r="FP10" i="12"/>
  <c r="FQ10" i="12"/>
  <c r="FR10" i="12"/>
  <c r="FS10" i="12"/>
  <c r="FT10" i="12"/>
  <c r="FU10" i="12"/>
  <c r="FV10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BH9" i="12"/>
  <c r="BI9" i="12"/>
  <c r="BJ9" i="12"/>
  <c r="BK9" i="12"/>
  <c r="BL9" i="12"/>
  <c r="BM9" i="12"/>
  <c r="BN9" i="12"/>
  <c r="BO9" i="12"/>
  <c r="BP9" i="12"/>
  <c r="BQ9" i="12"/>
  <c r="BR9" i="12"/>
  <c r="BS9" i="12"/>
  <c r="BT9" i="12"/>
  <c r="BU9" i="12"/>
  <c r="BV9" i="12"/>
  <c r="BW9" i="12"/>
  <c r="BX9" i="12"/>
  <c r="BY9" i="12"/>
  <c r="BZ9" i="12"/>
  <c r="CA9" i="12"/>
  <c r="CB9" i="12"/>
  <c r="CC9" i="12"/>
  <c r="CD9" i="12"/>
  <c r="CE9" i="12"/>
  <c r="CF9" i="12"/>
  <c r="CG9" i="12"/>
  <c r="CH9" i="12"/>
  <c r="CI9" i="12"/>
  <c r="CJ9" i="12"/>
  <c r="CK9" i="12"/>
  <c r="CL9" i="12"/>
  <c r="CM9" i="12"/>
  <c r="CN9" i="12"/>
  <c r="CO9" i="12"/>
  <c r="CP9" i="12"/>
  <c r="CQ9" i="12"/>
  <c r="CR9" i="12"/>
  <c r="CS9" i="12"/>
  <c r="CT9" i="12"/>
  <c r="CU9" i="12"/>
  <c r="CV9" i="12"/>
  <c r="CW9" i="12"/>
  <c r="CX9" i="12"/>
  <c r="CY9" i="12"/>
  <c r="CZ9" i="12"/>
  <c r="DA9" i="12"/>
  <c r="DB9" i="12"/>
  <c r="DC9" i="12"/>
  <c r="DD9" i="12"/>
  <c r="DE9" i="12"/>
  <c r="DF9" i="12"/>
  <c r="DG9" i="12"/>
  <c r="DH9" i="12"/>
  <c r="DI9" i="12"/>
  <c r="DJ9" i="12"/>
  <c r="DK9" i="12"/>
  <c r="DL9" i="12"/>
  <c r="DM9" i="12"/>
  <c r="DN9" i="12"/>
  <c r="DO9" i="12"/>
  <c r="DP9" i="12"/>
  <c r="DQ9" i="12"/>
  <c r="DR9" i="12"/>
  <c r="DS9" i="12"/>
  <c r="DT9" i="12"/>
  <c r="DU9" i="12"/>
  <c r="DV9" i="12"/>
  <c r="DW9" i="12"/>
  <c r="DX9" i="12"/>
  <c r="DY9" i="12"/>
  <c r="DZ9" i="12"/>
  <c r="EA9" i="12"/>
  <c r="EB9" i="12"/>
  <c r="EC9" i="12"/>
  <c r="ED9" i="12"/>
  <c r="EE9" i="12"/>
  <c r="EF9" i="12"/>
  <c r="EG9" i="12"/>
  <c r="EH9" i="12"/>
  <c r="EI9" i="12"/>
  <c r="EJ9" i="12"/>
  <c r="EK9" i="12"/>
  <c r="EL9" i="12"/>
  <c r="EM9" i="12"/>
  <c r="EN9" i="12"/>
  <c r="EO9" i="12"/>
  <c r="EP9" i="12"/>
  <c r="EQ9" i="12"/>
  <c r="ER9" i="12"/>
  <c r="ES9" i="12"/>
  <c r="ET9" i="12"/>
  <c r="EU9" i="12"/>
  <c r="EV9" i="12"/>
  <c r="EW9" i="12"/>
  <c r="EX9" i="12"/>
  <c r="EY9" i="12"/>
  <c r="EZ9" i="12"/>
  <c r="FA9" i="12"/>
  <c r="FB9" i="12"/>
  <c r="FC9" i="12"/>
  <c r="FD9" i="12"/>
  <c r="FE9" i="12"/>
  <c r="FF9" i="12"/>
  <c r="FG9" i="12"/>
  <c r="FH9" i="12"/>
  <c r="FI9" i="12"/>
  <c r="FJ9" i="12"/>
  <c r="FK9" i="12"/>
  <c r="FL9" i="12"/>
  <c r="FM9" i="12"/>
  <c r="FN9" i="12"/>
  <c r="FO9" i="12"/>
  <c r="FP9" i="12"/>
  <c r="FQ9" i="12"/>
  <c r="FR9" i="12"/>
  <c r="FS9" i="12"/>
  <c r="FT9" i="12"/>
  <c r="FU9" i="12"/>
  <c r="FV9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W8" i="12"/>
  <c r="CX8" i="12"/>
  <c r="CY8" i="12"/>
  <c r="CZ8" i="12"/>
  <c r="DA8" i="12"/>
  <c r="DB8" i="12"/>
  <c r="DC8" i="12"/>
  <c r="DD8" i="12"/>
  <c r="DE8" i="12"/>
  <c r="DF8" i="12"/>
  <c r="DG8" i="12"/>
  <c r="DH8" i="12"/>
  <c r="DI8" i="12"/>
  <c r="DJ8" i="12"/>
  <c r="DK8" i="12"/>
  <c r="DL8" i="12"/>
  <c r="DM8" i="12"/>
  <c r="DN8" i="12"/>
  <c r="DO8" i="12"/>
  <c r="DP8" i="12"/>
  <c r="DQ8" i="12"/>
  <c r="DR8" i="12"/>
  <c r="DS8" i="12"/>
  <c r="DT8" i="12"/>
  <c r="DU8" i="12"/>
  <c r="DV8" i="12"/>
  <c r="DW8" i="12"/>
  <c r="DX8" i="12"/>
  <c r="DY8" i="12"/>
  <c r="DZ8" i="12"/>
  <c r="EA8" i="12"/>
  <c r="EB8" i="12"/>
  <c r="EC8" i="12"/>
  <c r="ED8" i="12"/>
  <c r="EE8" i="12"/>
  <c r="EF8" i="12"/>
  <c r="EG8" i="12"/>
  <c r="EH8" i="12"/>
  <c r="EI8" i="12"/>
  <c r="EJ8" i="12"/>
  <c r="EK8" i="12"/>
  <c r="EL8" i="12"/>
  <c r="EM8" i="12"/>
  <c r="EN8" i="12"/>
  <c r="EO8" i="12"/>
  <c r="EP8" i="12"/>
  <c r="EQ8" i="12"/>
  <c r="ER8" i="12"/>
  <c r="ES8" i="12"/>
  <c r="ET8" i="12"/>
  <c r="EU8" i="12"/>
  <c r="EV8" i="12"/>
  <c r="EW8" i="12"/>
  <c r="EX8" i="12"/>
  <c r="EY8" i="12"/>
  <c r="EZ8" i="12"/>
  <c r="FA8" i="12"/>
  <c r="FB8" i="12"/>
  <c r="FC8" i="12"/>
  <c r="FD8" i="12"/>
  <c r="FE8" i="12"/>
  <c r="FF8" i="12"/>
  <c r="FG8" i="12"/>
  <c r="FH8" i="12"/>
  <c r="FI8" i="12"/>
  <c r="FJ8" i="12"/>
  <c r="FK8" i="12"/>
  <c r="FL8" i="12"/>
  <c r="FM8" i="12"/>
  <c r="FN8" i="12"/>
  <c r="FO8" i="12"/>
  <c r="FP8" i="12"/>
  <c r="FQ8" i="12"/>
  <c r="FR8" i="12"/>
  <c r="FS8" i="12"/>
  <c r="FT8" i="12"/>
  <c r="FU8" i="12"/>
  <c r="FV8" i="12"/>
  <c r="B14" i="12"/>
  <c r="B13" i="12"/>
  <c r="B12" i="12"/>
  <c r="B11" i="12"/>
  <c r="B9" i="12"/>
  <c r="B10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R7" i="12"/>
  <c r="BS7" i="12"/>
  <c r="BT7" i="12"/>
  <c r="BU7" i="12"/>
  <c r="BV7" i="12"/>
  <c r="BW7" i="12"/>
  <c r="BX7" i="12"/>
  <c r="BY7" i="12"/>
  <c r="BZ7" i="12"/>
  <c r="CA7" i="12"/>
  <c r="CB7" i="12"/>
  <c r="CC7" i="12"/>
  <c r="CD7" i="12"/>
  <c r="CE7" i="12"/>
  <c r="CF7" i="12"/>
  <c r="CG7" i="12"/>
  <c r="CH7" i="12"/>
  <c r="CI7" i="12"/>
  <c r="CJ7" i="12"/>
  <c r="CK7" i="12"/>
  <c r="CL7" i="12"/>
  <c r="CM7" i="12"/>
  <c r="CN7" i="12"/>
  <c r="CO7" i="12"/>
  <c r="CP7" i="12"/>
  <c r="CQ7" i="12"/>
  <c r="CR7" i="12"/>
  <c r="CS7" i="12"/>
  <c r="CT7" i="12"/>
  <c r="CU7" i="12"/>
  <c r="CV7" i="12"/>
  <c r="CW7" i="12"/>
  <c r="CX7" i="12"/>
  <c r="CY7" i="12"/>
  <c r="CZ7" i="12"/>
  <c r="DA7" i="12"/>
  <c r="DB7" i="12"/>
  <c r="DC7" i="12"/>
  <c r="DD7" i="12"/>
  <c r="DE7" i="12"/>
  <c r="DF7" i="12"/>
  <c r="DG7" i="12"/>
  <c r="DH7" i="12"/>
  <c r="DI7" i="12"/>
  <c r="DJ7" i="12"/>
  <c r="DK7" i="12"/>
  <c r="DL7" i="12"/>
  <c r="DM7" i="12"/>
  <c r="DN7" i="12"/>
  <c r="DO7" i="12"/>
  <c r="DP7" i="12"/>
  <c r="DQ7" i="12"/>
  <c r="DR7" i="12"/>
  <c r="DS7" i="12"/>
  <c r="DT7" i="12"/>
  <c r="DU7" i="12"/>
  <c r="DV7" i="12"/>
  <c r="DW7" i="12"/>
  <c r="DX7" i="12"/>
  <c r="DY7" i="12"/>
  <c r="DZ7" i="12"/>
  <c r="EA7" i="12"/>
  <c r="EB7" i="12"/>
  <c r="EC7" i="12"/>
  <c r="ED7" i="12"/>
  <c r="EE7" i="12"/>
  <c r="EF7" i="12"/>
  <c r="EG7" i="12"/>
  <c r="EH7" i="12"/>
  <c r="EI7" i="12"/>
  <c r="EJ7" i="12"/>
  <c r="EK7" i="12"/>
  <c r="EL7" i="12"/>
  <c r="EM7" i="12"/>
  <c r="EN7" i="12"/>
  <c r="EO7" i="12"/>
  <c r="EP7" i="12"/>
  <c r="EQ7" i="12"/>
  <c r="ER7" i="12"/>
  <c r="ES7" i="12"/>
  <c r="ET7" i="12"/>
  <c r="EU7" i="12"/>
  <c r="EV7" i="12"/>
  <c r="EW7" i="12"/>
  <c r="EX7" i="12"/>
  <c r="EY7" i="12"/>
  <c r="EZ7" i="12"/>
  <c r="FA7" i="12"/>
  <c r="FB7" i="12"/>
  <c r="FC7" i="12"/>
  <c r="FD7" i="12"/>
  <c r="FE7" i="12"/>
  <c r="FF7" i="12"/>
  <c r="FG7" i="12"/>
  <c r="FH7" i="12"/>
  <c r="FI7" i="12"/>
  <c r="FJ7" i="12"/>
  <c r="FK7" i="12"/>
  <c r="FL7" i="12"/>
  <c r="FM7" i="12"/>
  <c r="FN7" i="12"/>
  <c r="FO7" i="12"/>
  <c r="FP7" i="12"/>
  <c r="FQ7" i="12"/>
  <c r="FR7" i="12"/>
  <c r="FS7" i="12"/>
  <c r="FT7" i="12"/>
  <c r="FU7" i="12"/>
  <c r="FV7" i="12"/>
  <c r="B7" i="12"/>
  <c r="B8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BH6" i="12"/>
  <c r="BI6" i="12"/>
  <c r="BJ6" i="12"/>
  <c r="BK6" i="12"/>
  <c r="BL6" i="12"/>
  <c r="BM6" i="12"/>
  <c r="BN6" i="12"/>
  <c r="BO6" i="12"/>
  <c r="BP6" i="12"/>
  <c r="BQ6" i="12"/>
  <c r="BR6" i="12"/>
  <c r="BS6" i="12"/>
  <c r="BT6" i="12"/>
  <c r="BU6" i="12"/>
  <c r="BV6" i="12"/>
  <c r="BW6" i="12"/>
  <c r="BX6" i="12"/>
  <c r="BY6" i="12"/>
  <c r="BZ6" i="12"/>
  <c r="CA6" i="12"/>
  <c r="CB6" i="12"/>
  <c r="CC6" i="12"/>
  <c r="CD6" i="12"/>
  <c r="CE6" i="12"/>
  <c r="CF6" i="12"/>
  <c r="CG6" i="12"/>
  <c r="CH6" i="12"/>
  <c r="CI6" i="12"/>
  <c r="CJ6" i="12"/>
  <c r="CK6" i="12"/>
  <c r="CL6" i="12"/>
  <c r="CM6" i="12"/>
  <c r="CN6" i="12"/>
  <c r="CO6" i="12"/>
  <c r="CP6" i="12"/>
  <c r="CQ6" i="12"/>
  <c r="CR6" i="12"/>
  <c r="CS6" i="12"/>
  <c r="CT6" i="12"/>
  <c r="CU6" i="12"/>
  <c r="CV6" i="12"/>
  <c r="CW6" i="12"/>
  <c r="CX6" i="12"/>
  <c r="CY6" i="12"/>
  <c r="CZ6" i="12"/>
  <c r="DA6" i="12"/>
  <c r="DB6" i="12"/>
  <c r="DC6" i="12"/>
  <c r="DD6" i="12"/>
  <c r="DE6" i="12"/>
  <c r="DF6" i="12"/>
  <c r="DG6" i="12"/>
  <c r="DH6" i="12"/>
  <c r="DI6" i="12"/>
  <c r="DJ6" i="12"/>
  <c r="DK6" i="12"/>
  <c r="DL6" i="12"/>
  <c r="DM6" i="12"/>
  <c r="DN6" i="12"/>
  <c r="DO6" i="12"/>
  <c r="DP6" i="12"/>
  <c r="DQ6" i="12"/>
  <c r="DR6" i="12"/>
  <c r="DS6" i="12"/>
  <c r="DT6" i="12"/>
  <c r="DU6" i="12"/>
  <c r="DV6" i="12"/>
  <c r="DW6" i="12"/>
  <c r="DX6" i="12"/>
  <c r="DY6" i="12"/>
  <c r="DZ6" i="12"/>
  <c r="EA6" i="12"/>
  <c r="EB6" i="12"/>
  <c r="EC6" i="12"/>
  <c r="ED6" i="12"/>
  <c r="EE6" i="12"/>
  <c r="EF6" i="12"/>
  <c r="EG6" i="12"/>
  <c r="EH6" i="12"/>
  <c r="EI6" i="12"/>
  <c r="EJ6" i="12"/>
  <c r="EK6" i="12"/>
  <c r="EL6" i="12"/>
  <c r="EM6" i="12"/>
  <c r="EN6" i="12"/>
  <c r="EO6" i="12"/>
  <c r="EP6" i="12"/>
  <c r="EQ6" i="12"/>
  <c r="ER6" i="12"/>
  <c r="ES6" i="12"/>
  <c r="ET6" i="12"/>
  <c r="EU6" i="12"/>
  <c r="EV6" i="12"/>
  <c r="EW6" i="12"/>
  <c r="EX6" i="12"/>
  <c r="EY6" i="12"/>
  <c r="EZ6" i="12"/>
  <c r="FA6" i="12"/>
  <c r="FB6" i="12"/>
  <c r="FC6" i="12"/>
  <c r="FD6" i="12"/>
  <c r="FE6" i="12"/>
  <c r="FF6" i="12"/>
  <c r="FG6" i="12"/>
  <c r="FH6" i="12"/>
  <c r="FI6" i="12"/>
  <c r="FJ6" i="12"/>
  <c r="FK6" i="12"/>
  <c r="FL6" i="12"/>
  <c r="FM6" i="12"/>
  <c r="FN6" i="12"/>
  <c r="FO6" i="12"/>
  <c r="FP6" i="12"/>
  <c r="FQ6" i="12"/>
  <c r="FR6" i="12"/>
  <c r="FS6" i="12"/>
  <c r="FT6" i="12"/>
  <c r="FU6" i="12"/>
  <c r="FV6" i="12"/>
  <c r="B6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I5" i="12"/>
  <c r="CJ5" i="12"/>
  <c r="CK5" i="12"/>
  <c r="CL5" i="12"/>
  <c r="CM5" i="12"/>
  <c r="CN5" i="12"/>
  <c r="CO5" i="12"/>
  <c r="CP5" i="12"/>
  <c r="CQ5" i="12"/>
  <c r="CR5" i="12"/>
  <c r="CS5" i="12"/>
  <c r="CT5" i="12"/>
  <c r="CU5" i="12"/>
  <c r="CV5" i="12"/>
  <c r="CW5" i="12"/>
  <c r="CX5" i="12"/>
  <c r="CY5" i="12"/>
  <c r="CZ5" i="12"/>
  <c r="DA5" i="12"/>
  <c r="DB5" i="12"/>
  <c r="DC5" i="12"/>
  <c r="DD5" i="12"/>
  <c r="DE5" i="12"/>
  <c r="DF5" i="12"/>
  <c r="DG5" i="12"/>
  <c r="DH5" i="12"/>
  <c r="DI5" i="12"/>
  <c r="DJ5" i="12"/>
  <c r="DK5" i="12"/>
  <c r="DL5" i="12"/>
  <c r="DM5" i="12"/>
  <c r="DN5" i="12"/>
  <c r="DO5" i="12"/>
  <c r="DP5" i="12"/>
  <c r="DQ5" i="12"/>
  <c r="DR5" i="12"/>
  <c r="DS5" i="12"/>
  <c r="DT5" i="12"/>
  <c r="DU5" i="12"/>
  <c r="DV5" i="12"/>
  <c r="DW5" i="12"/>
  <c r="DX5" i="12"/>
  <c r="DY5" i="12"/>
  <c r="DZ5" i="12"/>
  <c r="EA5" i="12"/>
  <c r="EB5" i="12"/>
  <c r="EC5" i="12"/>
  <c r="ED5" i="12"/>
  <c r="EE5" i="12"/>
  <c r="EF5" i="12"/>
  <c r="EG5" i="12"/>
  <c r="EH5" i="12"/>
  <c r="EI5" i="12"/>
  <c r="EJ5" i="12"/>
  <c r="EK5" i="12"/>
  <c r="EL5" i="12"/>
  <c r="EM5" i="12"/>
  <c r="EN5" i="12"/>
  <c r="EO5" i="12"/>
  <c r="EP5" i="12"/>
  <c r="EQ5" i="12"/>
  <c r="ER5" i="12"/>
  <c r="ES5" i="12"/>
  <c r="ET5" i="12"/>
  <c r="EU5" i="12"/>
  <c r="EV5" i="12"/>
  <c r="EW5" i="12"/>
  <c r="EX5" i="12"/>
  <c r="EY5" i="12"/>
  <c r="EZ5" i="12"/>
  <c r="FA5" i="12"/>
  <c r="FB5" i="12"/>
  <c r="FC5" i="12"/>
  <c r="FD5" i="12"/>
  <c r="FE5" i="12"/>
  <c r="FF5" i="12"/>
  <c r="FG5" i="12"/>
  <c r="FH5" i="12"/>
  <c r="FI5" i="12"/>
  <c r="FJ5" i="12"/>
  <c r="FK5" i="12"/>
  <c r="FL5" i="12"/>
  <c r="FM5" i="12"/>
  <c r="FN5" i="12"/>
  <c r="FO5" i="12"/>
  <c r="FP5" i="12"/>
  <c r="FQ5" i="12"/>
  <c r="FR5" i="12"/>
  <c r="FS5" i="12"/>
  <c r="FT5" i="12"/>
  <c r="FU5" i="12"/>
  <c r="FV5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I4" i="12"/>
  <c r="CJ4" i="12"/>
  <c r="CK4" i="12"/>
  <c r="CL4" i="12"/>
  <c r="CM4" i="12"/>
  <c r="CN4" i="12"/>
  <c r="CO4" i="12"/>
  <c r="CP4" i="12"/>
  <c r="CQ4" i="12"/>
  <c r="CR4" i="12"/>
  <c r="CS4" i="12"/>
  <c r="CT4" i="12"/>
  <c r="CU4" i="12"/>
  <c r="CV4" i="12"/>
  <c r="CW4" i="12"/>
  <c r="CX4" i="12"/>
  <c r="CY4" i="12"/>
  <c r="CZ4" i="12"/>
  <c r="DA4" i="12"/>
  <c r="DB4" i="12"/>
  <c r="DC4" i="12"/>
  <c r="DD4" i="12"/>
  <c r="DE4" i="12"/>
  <c r="DF4" i="12"/>
  <c r="DG4" i="12"/>
  <c r="DH4" i="12"/>
  <c r="DI4" i="12"/>
  <c r="DJ4" i="12"/>
  <c r="DK4" i="12"/>
  <c r="DL4" i="12"/>
  <c r="DM4" i="12"/>
  <c r="DN4" i="12"/>
  <c r="DO4" i="12"/>
  <c r="DP4" i="12"/>
  <c r="DQ4" i="12"/>
  <c r="DR4" i="12"/>
  <c r="DS4" i="12"/>
  <c r="DT4" i="12"/>
  <c r="DU4" i="12"/>
  <c r="DV4" i="12"/>
  <c r="DW4" i="12"/>
  <c r="DX4" i="12"/>
  <c r="DY4" i="12"/>
  <c r="DZ4" i="12"/>
  <c r="EA4" i="12"/>
  <c r="EB4" i="12"/>
  <c r="EC4" i="12"/>
  <c r="ED4" i="12"/>
  <c r="EE4" i="12"/>
  <c r="EF4" i="12"/>
  <c r="EG4" i="12"/>
  <c r="EH4" i="12"/>
  <c r="EI4" i="12"/>
  <c r="EJ4" i="12"/>
  <c r="EK4" i="12"/>
  <c r="EL4" i="12"/>
  <c r="EM4" i="12"/>
  <c r="EN4" i="12"/>
  <c r="EO4" i="12"/>
  <c r="EP4" i="12"/>
  <c r="EQ4" i="12"/>
  <c r="ER4" i="12"/>
  <c r="ES4" i="12"/>
  <c r="ET4" i="12"/>
  <c r="EU4" i="12"/>
  <c r="EV4" i="12"/>
  <c r="EW4" i="12"/>
  <c r="EX4" i="12"/>
  <c r="EY4" i="12"/>
  <c r="EZ4" i="12"/>
  <c r="FA4" i="12"/>
  <c r="FB4" i="12"/>
  <c r="FC4" i="12"/>
  <c r="FD4" i="12"/>
  <c r="FE4" i="12"/>
  <c r="FF4" i="12"/>
  <c r="FG4" i="12"/>
  <c r="FH4" i="12"/>
  <c r="FI4" i="12"/>
  <c r="FJ4" i="12"/>
  <c r="FK4" i="12"/>
  <c r="FL4" i="12"/>
  <c r="FM4" i="12"/>
  <c r="FN4" i="12"/>
  <c r="FO4" i="12"/>
  <c r="FP4" i="12"/>
  <c r="FQ4" i="12"/>
  <c r="FR4" i="12"/>
  <c r="FS4" i="12"/>
  <c r="FT4" i="12"/>
  <c r="FU4" i="12"/>
  <c r="FV4" i="12"/>
  <c r="B4" i="12"/>
  <c r="K4" i="10"/>
  <c r="R258" i="9" s="1"/>
  <c r="K5" i="10"/>
  <c r="R68" i="9" s="1"/>
  <c r="K6" i="10"/>
  <c r="R145" i="9" s="1"/>
  <c r="K7" i="10"/>
  <c r="R146" i="9" s="1"/>
  <c r="K8" i="10"/>
  <c r="R147" i="9" s="1"/>
  <c r="K9" i="10"/>
  <c r="R148" i="9" s="1"/>
  <c r="K10" i="10"/>
  <c r="R149" i="9" s="1"/>
  <c r="K11" i="10"/>
  <c r="R150" i="9" s="1"/>
  <c r="K12" i="10"/>
  <c r="R151" i="9" s="1"/>
  <c r="K13" i="10"/>
  <c r="R152" i="9" s="1"/>
  <c r="K14" i="10"/>
  <c r="R153" i="9" s="1"/>
  <c r="K15" i="10"/>
  <c r="R154" i="9" s="1"/>
  <c r="K16" i="10"/>
  <c r="R180" i="9" s="1"/>
  <c r="K17" i="10"/>
  <c r="R259" i="9" s="1"/>
  <c r="K18" i="10"/>
  <c r="R155" i="9" s="1"/>
  <c r="K19" i="10"/>
  <c r="R260" i="9" s="1"/>
  <c r="K20" i="10"/>
  <c r="R170" i="9" s="1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R89" i="9" s="1"/>
  <c r="K102" i="10"/>
  <c r="R90" i="9" s="1"/>
  <c r="K103" i="10"/>
  <c r="R91" i="9" s="1"/>
  <c r="K104" i="10"/>
  <c r="R92" i="9" s="1"/>
  <c r="K105" i="10"/>
  <c r="R93" i="9" s="1"/>
  <c r="K106" i="10"/>
  <c r="R218" i="9" s="1"/>
  <c r="K107" i="10"/>
  <c r="K108" i="10"/>
  <c r="R219" i="9" s="1"/>
  <c r="K109" i="10"/>
  <c r="R101" i="9" s="1"/>
  <c r="K110" i="10"/>
  <c r="R94" i="9" s="1"/>
  <c r="K111" i="10"/>
  <c r="R66" i="9" s="1"/>
  <c r="K112" i="10"/>
  <c r="R67" i="9" s="1"/>
  <c r="K113" i="10"/>
  <c r="R12" i="9" s="1"/>
  <c r="K114" i="10"/>
  <c r="K115" i="10"/>
  <c r="K116" i="10"/>
  <c r="R15" i="9" s="1"/>
  <c r="K117" i="10"/>
  <c r="R16" i="9" s="1"/>
  <c r="K118" i="10"/>
  <c r="R17" i="9" s="1"/>
  <c r="K119" i="10"/>
  <c r="R18" i="9" s="1"/>
  <c r="K120" i="10"/>
  <c r="R19" i="9" s="1"/>
  <c r="K121" i="10"/>
  <c r="R20" i="9" s="1"/>
  <c r="K122" i="10"/>
  <c r="R21" i="9" s="1"/>
  <c r="K123" i="10"/>
  <c r="R22" i="9" s="1"/>
  <c r="K124" i="10"/>
  <c r="R23" i="9" s="1"/>
  <c r="K125" i="10"/>
  <c r="R24" i="9" s="1"/>
  <c r="K126" i="10"/>
  <c r="R25" i="9" s="1"/>
  <c r="K127" i="10"/>
  <c r="R26" i="9" s="1"/>
  <c r="K128" i="10"/>
  <c r="R27" i="9" s="1"/>
  <c r="K129" i="10"/>
  <c r="R28" i="9" s="1"/>
  <c r="K130" i="10"/>
  <c r="R29" i="9" s="1"/>
  <c r="K131" i="10"/>
  <c r="R30" i="9" s="1"/>
  <c r="K132" i="10"/>
  <c r="R31" i="9" s="1"/>
  <c r="K133" i="10"/>
  <c r="R32" i="9" s="1"/>
  <c r="K134" i="10"/>
  <c r="R33" i="9" s="1"/>
  <c r="K135" i="10"/>
  <c r="R34" i="9" s="1"/>
  <c r="K136" i="10"/>
  <c r="R35" i="9" s="1"/>
  <c r="K137" i="10"/>
  <c r="R36" i="9" s="1"/>
  <c r="K138" i="10"/>
  <c r="R37" i="9" s="1"/>
  <c r="K139" i="10"/>
  <c r="R38" i="9" s="1"/>
  <c r="K140" i="10"/>
  <c r="R39" i="9" s="1"/>
  <c r="K141" i="10"/>
  <c r="K142" i="10"/>
  <c r="K143" i="10"/>
  <c r="R42" i="9" s="1"/>
  <c r="K144" i="10"/>
  <c r="R220" i="9" s="1"/>
  <c r="K145" i="10"/>
  <c r="R221" i="9" s="1"/>
  <c r="K146" i="10"/>
  <c r="R100" i="9" s="1"/>
  <c r="K147" i="10"/>
  <c r="R222" i="9" s="1"/>
  <c r="K148" i="10"/>
  <c r="R223" i="9" s="1"/>
  <c r="K149" i="10"/>
  <c r="R224" i="9" s="1"/>
  <c r="K150" i="10"/>
  <c r="R225" i="9" s="1"/>
  <c r="K151" i="10"/>
  <c r="K152" i="10"/>
  <c r="R95" i="9" s="1"/>
  <c r="K153" i="10"/>
  <c r="R96" i="9" s="1"/>
  <c r="K154" i="10"/>
  <c r="R97" i="9" s="1"/>
  <c r="K155" i="10"/>
  <c r="R98" i="9" s="1"/>
  <c r="K156" i="10"/>
  <c r="R99" i="9" s="1"/>
  <c r="K157" i="10"/>
  <c r="R226" i="9" s="1"/>
  <c r="K158" i="10"/>
  <c r="R227" i="9" s="1"/>
  <c r="K159" i="10"/>
  <c r="R228" i="9" s="1"/>
  <c r="K160" i="10"/>
  <c r="R229" i="9" s="1"/>
  <c r="K161" i="10"/>
  <c r="R230" i="9" s="1"/>
  <c r="K162" i="10"/>
  <c r="R231" i="9" s="1"/>
  <c r="K163" i="10"/>
  <c r="R232" i="9" s="1"/>
  <c r="K164" i="10"/>
  <c r="R233" i="9" s="1"/>
  <c r="K165" i="10"/>
  <c r="R234" i="9" s="1"/>
  <c r="K166" i="10"/>
  <c r="R235" i="9" s="1"/>
  <c r="K167" i="10"/>
  <c r="R236" i="9" s="1"/>
  <c r="K168" i="10"/>
  <c r="R237" i="9" s="1"/>
  <c r="K169" i="10"/>
  <c r="R238" i="9" s="1"/>
  <c r="K170" i="10"/>
  <c r="R102" i="9" s="1"/>
  <c r="K171" i="10"/>
  <c r="R103" i="9" s="1"/>
  <c r="K172" i="10"/>
  <c r="R266" i="9" s="1"/>
  <c r="K173" i="10"/>
  <c r="R267" i="9" s="1"/>
  <c r="K174" i="10"/>
  <c r="R268" i="9" s="1"/>
  <c r="K175" i="10"/>
  <c r="R269" i="9" s="1"/>
  <c r="K176" i="10"/>
  <c r="R270" i="9" s="1"/>
  <c r="K177" i="10"/>
  <c r="K178" i="10"/>
  <c r="K179" i="10"/>
  <c r="R273" i="9" s="1"/>
  <c r="K3" i="10"/>
  <c r="R62" i="9" s="1"/>
  <c r="J4" i="10"/>
  <c r="S258" i="9" s="1"/>
  <c r="J5" i="10"/>
  <c r="S68" i="9" s="1"/>
  <c r="J6" i="10"/>
  <c r="S145" i="9" s="1"/>
  <c r="J7" i="10"/>
  <c r="S146" i="9" s="1"/>
  <c r="J8" i="10"/>
  <c r="S147" i="9" s="1"/>
  <c r="J9" i="10"/>
  <c r="S148" i="9" s="1"/>
  <c r="J10" i="10"/>
  <c r="S149" i="9" s="1"/>
  <c r="J11" i="10"/>
  <c r="S150" i="9" s="1"/>
  <c r="J12" i="10"/>
  <c r="S151" i="9" s="1"/>
  <c r="J13" i="10"/>
  <c r="S152" i="9" s="1"/>
  <c r="J14" i="10"/>
  <c r="S153" i="9" s="1"/>
  <c r="J15" i="10"/>
  <c r="S154" i="9" s="1"/>
  <c r="J16" i="10"/>
  <c r="S180" i="9" s="1"/>
  <c r="J17" i="10"/>
  <c r="S259" i="9" s="1"/>
  <c r="J18" i="10"/>
  <c r="S155" i="9" s="1"/>
  <c r="J19" i="10"/>
  <c r="S260" i="9" s="1"/>
  <c r="J20" i="10"/>
  <c r="S170" i="9" s="1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S89" i="9" s="1"/>
  <c r="J102" i="10"/>
  <c r="S90" i="9" s="1"/>
  <c r="J103" i="10"/>
  <c r="S91" i="9" s="1"/>
  <c r="J104" i="10"/>
  <c r="S92" i="9" s="1"/>
  <c r="J105" i="10"/>
  <c r="S93" i="9" s="1"/>
  <c r="J106" i="10"/>
  <c r="S218" i="9" s="1"/>
  <c r="J107" i="10"/>
  <c r="J108" i="10"/>
  <c r="S219" i="9" s="1"/>
  <c r="J109" i="10"/>
  <c r="S101" i="9" s="1"/>
  <c r="J110" i="10"/>
  <c r="S94" i="9" s="1"/>
  <c r="J111" i="10"/>
  <c r="S66" i="9" s="1"/>
  <c r="J112" i="10"/>
  <c r="S67" i="9" s="1"/>
  <c r="J113" i="10"/>
  <c r="S12" i="9" s="1"/>
  <c r="J114" i="10"/>
  <c r="J115" i="10"/>
  <c r="J116" i="10"/>
  <c r="S15" i="9" s="1"/>
  <c r="J117" i="10"/>
  <c r="S16" i="9" s="1"/>
  <c r="J118" i="10"/>
  <c r="S17" i="9" s="1"/>
  <c r="J119" i="10"/>
  <c r="S18" i="9" s="1"/>
  <c r="J120" i="10"/>
  <c r="S19" i="9" s="1"/>
  <c r="J121" i="10"/>
  <c r="S20" i="9" s="1"/>
  <c r="J122" i="10"/>
  <c r="S21" i="9" s="1"/>
  <c r="J123" i="10"/>
  <c r="S22" i="9" s="1"/>
  <c r="J124" i="10"/>
  <c r="S23" i="9" s="1"/>
  <c r="J125" i="10"/>
  <c r="S24" i="9" s="1"/>
  <c r="J126" i="10"/>
  <c r="S25" i="9" s="1"/>
  <c r="J127" i="10"/>
  <c r="S26" i="9" s="1"/>
  <c r="J128" i="10"/>
  <c r="S27" i="9" s="1"/>
  <c r="J129" i="10"/>
  <c r="S28" i="9" s="1"/>
  <c r="J130" i="10"/>
  <c r="S29" i="9" s="1"/>
  <c r="J131" i="10"/>
  <c r="S30" i="9" s="1"/>
  <c r="J132" i="10"/>
  <c r="S31" i="9" s="1"/>
  <c r="J133" i="10"/>
  <c r="S32" i="9" s="1"/>
  <c r="J134" i="10"/>
  <c r="S33" i="9" s="1"/>
  <c r="J135" i="10"/>
  <c r="S34" i="9" s="1"/>
  <c r="J136" i="10"/>
  <c r="S35" i="9" s="1"/>
  <c r="J137" i="10"/>
  <c r="S36" i="9" s="1"/>
  <c r="J138" i="10"/>
  <c r="S37" i="9" s="1"/>
  <c r="J139" i="10"/>
  <c r="S38" i="9" s="1"/>
  <c r="J140" i="10"/>
  <c r="S39" i="9" s="1"/>
  <c r="J141" i="10"/>
  <c r="J142" i="10"/>
  <c r="J143" i="10"/>
  <c r="S42" i="9" s="1"/>
  <c r="J144" i="10"/>
  <c r="S220" i="9" s="1"/>
  <c r="J145" i="10"/>
  <c r="S221" i="9" s="1"/>
  <c r="J146" i="10"/>
  <c r="S100" i="9" s="1"/>
  <c r="J147" i="10"/>
  <c r="S222" i="9" s="1"/>
  <c r="J148" i="10"/>
  <c r="S223" i="9" s="1"/>
  <c r="J149" i="10"/>
  <c r="S224" i="9" s="1"/>
  <c r="J150" i="10"/>
  <c r="S225" i="9" s="1"/>
  <c r="J151" i="10"/>
  <c r="S43" i="9" s="1"/>
  <c r="J152" i="10"/>
  <c r="S95" i="9" s="1"/>
  <c r="J153" i="10"/>
  <c r="S96" i="9" s="1"/>
  <c r="J154" i="10"/>
  <c r="S97" i="9" s="1"/>
  <c r="J155" i="10"/>
  <c r="S98" i="9" s="1"/>
  <c r="J156" i="10"/>
  <c r="S99" i="9" s="1"/>
  <c r="J157" i="10"/>
  <c r="S226" i="9" s="1"/>
  <c r="J158" i="10"/>
  <c r="S227" i="9" s="1"/>
  <c r="J159" i="10"/>
  <c r="S228" i="9" s="1"/>
  <c r="J160" i="10"/>
  <c r="S229" i="9" s="1"/>
  <c r="J161" i="10"/>
  <c r="S230" i="9" s="1"/>
  <c r="J162" i="10"/>
  <c r="S231" i="9" s="1"/>
  <c r="J163" i="10"/>
  <c r="S232" i="9" s="1"/>
  <c r="J164" i="10"/>
  <c r="S233" i="9" s="1"/>
  <c r="J165" i="10"/>
  <c r="S234" i="9" s="1"/>
  <c r="J166" i="10"/>
  <c r="S235" i="9" s="1"/>
  <c r="J167" i="10"/>
  <c r="S236" i="9" s="1"/>
  <c r="J168" i="10"/>
  <c r="S237" i="9" s="1"/>
  <c r="J169" i="10"/>
  <c r="S238" i="9" s="1"/>
  <c r="J170" i="10"/>
  <c r="S102" i="9" s="1"/>
  <c r="J171" i="10"/>
  <c r="S103" i="9" s="1"/>
  <c r="J172" i="10"/>
  <c r="S266" i="9" s="1"/>
  <c r="J173" i="10"/>
  <c r="S267" i="9" s="1"/>
  <c r="J174" i="10"/>
  <c r="S268" i="9" s="1"/>
  <c r="J175" i="10"/>
  <c r="S269" i="9" s="1"/>
  <c r="J176" i="10"/>
  <c r="S270" i="9" s="1"/>
  <c r="J177" i="10"/>
  <c r="J178" i="10"/>
  <c r="J179" i="10"/>
  <c r="J3" i="10"/>
  <c r="S62" i="9" s="1"/>
  <c r="T220" i="9" l="1"/>
  <c r="T62" i="9"/>
  <c r="T270" i="9"/>
  <c r="T237" i="9"/>
  <c r="T233" i="9"/>
  <c r="T229" i="9"/>
  <c r="T99" i="9"/>
  <c r="T95" i="9"/>
  <c r="T223" i="9"/>
  <c r="T103" i="9"/>
  <c r="T232" i="9"/>
  <c r="T98" i="9"/>
  <c r="T236" i="9"/>
  <c r="T228" i="9"/>
  <c r="T222" i="9"/>
  <c r="T42" i="9"/>
  <c r="T38" i="9"/>
  <c r="T34" i="9"/>
  <c r="T30" i="9"/>
  <c r="T26" i="9"/>
  <c r="T22" i="9"/>
  <c r="T18" i="9"/>
  <c r="T66" i="9"/>
  <c r="T91" i="9"/>
  <c r="T260" i="9"/>
  <c r="T154" i="9"/>
  <c r="T150" i="9"/>
  <c r="T146" i="9"/>
  <c r="T269" i="9"/>
  <c r="T266" i="9"/>
  <c r="T268" i="9"/>
  <c r="T102" i="9"/>
  <c r="T235" i="9"/>
  <c r="T231" i="9"/>
  <c r="T227" i="9"/>
  <c r="T97" i="9"/>
  <c r="T225" i="9"/>
  <c r="T100" i="9"/>
  <c r="T37" i="9"/>
  <c r="T33" i="9"/>
  <c r="T29" i="9"/>
  <c r="T25" i="9"/>
  <c r="T21" i="9"/>
  <c r="T17" i="9"/>
  <c r="T94" i="9"/>
  <c r="T218" i="9"/>
  <c r="T90" i="9"/>
  <c r="T155" i="9"/>
  <c r="T153" i="9"/>
  <c r="T149" i="9"/>
  <c r="T145" i="9"/>
  <c r="T267" i="9"/>
  <c r="T238" i="9"/>
  <c r="T234" i="9"/>
  <c r="T230" i="9"/>
  <c r="T226" i="9"/>
  <c r="T96" i="9"/>
  <c r="T224" i="9"/>
  <c r="T221" i="9"/>
  <c r="T36" i="9"/>
  <c r="T32" i="9"/>
  <c r="T28" i="9"/>
  <c r="T24" i="9"/>
  <c r="T20" i="9"/>
  <c r="T16" i="9"/>
  <c r="T12" i="9"/>
  <c r="T101" i="9"/>
  <c r="T93" i="9"/>
  <c r="T89" i="9"/>
  <c r="T259" i="9"/>
  <c r="T152" i="9"/>
  <c r="T148" i="9"/>
  <c r="T68" i="9"/>
  <c r="T39" i="9"/>
  <c r="T35" i="9"/>
  <c r="T31" i="9"/>
  <c r="T27" i="9"/>
  <c r="T23" i="9"/>
  <c r="T19" i="9"/>
  <c r="T15" i="9"/>
  <c r="T67" i="9"/>
  <c r="T219" i="9"/>
  <c r="T92" i="9"/>
  <c r="T170" i="9"/>
  <c r="T180" i="9"/>
  <c r="T151" i="9"/>
  <c r="T147" i="9"/>
  <c r="T258" i="9"/>
  <c r="S40" i="9"/>
  <c r="S41" i="9"/>
  <c r="R14" i="9"/>
  <c r="R13" i="9"/>
  <c r="S273" i="9"/>
  <c r="T273" i="9" s="1"/>
  <c r="R43" i="9"/>
  <c r="T43" i="9" s="1"/>
  <c r="S14" i="9"/>
  <c r="S13" i="9"/>
  <c r="S271" i="9"/>
  <c r="S272" i="9"/>
  <c r="R271" i="9"/>
  <c r="R272" i="9"/>
  <c r="R41" i="9"/>
  <c r="R40" i="9"/>
  <c r="T40" i="9" s="1"/>
  <c r="FT36" i="12"/>
  <c r="FP36" i="12"/>
  <c r="FL36" i="12"/>
  <c r="FH36" i="12"/>
  <c r="FD36" i="12"/>
  <c r="EZ36" i="12"/>
  <c r="EV36" i="12"/>
  <c r="ER36" i="12"/>
  <c r="EN36" i="12"/>
  <c r="EJ36" i="12"/>
  <c r="EF36" i="12"/>
  <c r="EB36" i="12"/>
  <c r="DX36" i="12"/>
  <c r="DT36" i="12"/>
  <c r="DP36" i="12"/>
  <c r="DL36" i="12"/>
  <c r="DH36" i="12"/>
  <c r="DD36" i="12"/>
  <c r="CZ36" i="12"/>
  <c r="CV36" i="12"/>
  <c r="CR36" i="12"/>
  <c r="CN36" i="12"/>
  <c r="CJ36" i="12"/>
  <c r="CF36" i="12"/>
  <c r="CB36" i="12"/>
  <c r="BX36" i="12"/>
  <c r="BT36" i="12"/>
  <c r="BP36" i="12"/>
  <c r="BL36" i="12"/>
  <c r="BH36" i="12"/>
  <c r="BD36" i="12"/>
  <c r="AZ36" i="12"/>
  <c r="AV36" i="12"/>
  <c r="AR36" i="12"/>
  <c r="AN36" i="12"/>
  <c r="AJ36" i="12"/>
  <c r="AF36" i="12"/>
  <c r="AB36" i="12"/>
  <c r="X36" i="12"/>
  <c r="T36" i="12"/>
  <c r="P36" i="12"/>
  <c r="L36" i="12"/>
  <c r="H36" i="12"/>
  <c r="D36" i="12"/>
  <c r="FS36" i="12"/>
  <c r="FO36" i="12"/>
  <c r="FK36" i="12"/>
  <c r="FG36" i="12"/>
  <c r="FC36" i="12"/>
  <c r="EY36" i="12"/>
  <c r="EU36" i="12"/>
  <c r="EQ36" i="12"/>
  <c r="EM36" i="12"/>
  <c r="EI36" i="12"/>
  <c r="EE36" i="12"/>
  <c r="EA36" i="12"/>
  <c r="DW36" i="12"/>
  <c r="DS36" i="12"/>
  <c r="DO36" i="12"/>
  <c r="DK36" i="12"/>
  <c r="DG36" i="12"/>
  <c r="DC36" i="12"/>
  <c r="CY36" i="12"/>
  <c r="CU36" i="12"/>
  <c r="CQ36" i="12"/>
  <c r="CM36" i="12"/>
  <c r="CI36" i="12"/>
  <c r="CE36" i="12"/>
  <c r="CA36" i="12"/>
  <c r="BW36" i="12"/>
  <c r="BS36" i="12"/>
  <c r="BO36" i="12"/>
  <c r="BK36" i="12"/>
  <c r="BG36" i="12"/>
  <c r="BC36" i="12"/>
  <c r="AY36" i="12"/>
  <c r="AU36" i="12"/>
  <c r="AQ36" i="12"/>
  <c r="AM36" i="12"/>
  <c r="AI36" i="12"/>
  <c r="AE36" i="12"/>
  <c r="AA36" i="12"/>
  <c r="W36" i="12"/>
  <c r="S36" i="12"/>
  <c r="O36" i="12"/>
  <c r="K36" i="12"/>
  <c r="G36" i="12"/>
  <c r="C36" i="12"/>
  <c r="FR36" i="12"/>
  <c r="FF36" i="12"/>
  <c r="EX36" i="12"/>
  <c r="EL36" i="12"/>
  <c r="DZ36" i="12"/>
  <c r="DR36" i="12"/>
  <c r="DF36" i="12"/>
  <c r="CT36" i="12"/>
  <c r="CL36" i="12"/>
  <c r="BZ36" i="12"/>
  <c r="BN36" i="12"/>
  <c r="BB36" i="12"/>
  <c r="AT36" i="12"/>
  <c r="AD36" i="12"/>
  <c r="R36" i="12"/>
  <c r="FV36" i="12"/>
  <c r="FN36" i="12"/>
  <c r="FJ36" i="12"/>
  <c r="FB36" i="12"/>
  <c r="ET36" i="12"/>
  <c r="EP36" i="12"/>
  <c r="EH36" i="12"/>
  <c r="ED36" i="12"/>
  <c r="DV36" i="12"/>
  <c r="DN36" i="12"/>
  <c r="DJ36" i="12"/>
  <c r="DB36" i="12"/>
  <c r="CX36" i="12"/>
  <c r="CP36" i="12"/>
  <c r="CH36" i="12"/>
  <c r="CD36" i="12"/>
  <c r="BV36" i="12"/>
  <c r="BR36" i="12"/>
  <c r="BJ36" i="12"/>
  <c r="BF36" i="12"/>
  <c r="AX36" i="12"/>
  <c r="AP36" i="12"/>
  <c r="AL36" i="12"/>
  <c r="AH36" i="12"/>
  <c r="Z36" i="12"/>
  <c r="V36" i="12"/>
  <c r="N36" i="12"/>
  <c r="J36" i="12"/>
  <c r="F36" i="12"/>
  <c r="FU36" i="12"/>
  <c r="FQ36" i="12"/>
  <c r="FM36" i="12"/>
  <c r="FI36" i="12"/>
  <c r="FE36" i="12"/>
  <c r="FA36" i="12"/>
  <c r="EW36" i="12"/>
  <c r="ES36" i="12"/>
  <c r="EO36" i="12"/>
  <c r="EK36" i="12"/>
  <c r="EG36" i="12"/>
  <c r="EC36" i="12"/>
  <c r="DY36" i="12"/>
  <c r="DU36" i="12"/>
  <c r="DQ36" i="12"/>
  <c r="DM36" i="12"/>
  <c r="DI36" i="12"/>
  <c r="DE36" i="12"/>
  <c r="DA36" i="12"/>
  <c r="CW36" i="12"/>
  <c r="CS36" i="12"/>
  <c r="CO36" i="12"/>
  <c r="CK36" i="12"/>
  <c r="CG36" i="12"/>
  <c r="CC36" i="12"/>
  <c r="BY36" i="12"/>
  <c r="BU36" i="12"/>
  <c r="BQ36" i="12"/>
  <c r="BM36" i="12"/>
  <c r="BI36" i="12"/>
  <c r="BE36" i="12"/>
  <c r="BA36" i="12"/>
  <c r="AW36" i="12"/>
  <c r="AS36" i="12"/>
  <c r="AO36" i="12"/>
  <c r="AK36" i="12"/>
  <c r="AG36" i="12"/>
  <c r="AC36" i="12"/>
  <c r="Y36" i="12"/>
  <c r="U36" i="12"/>
  <c r="Q36" i="12"/>
  <c r="M36" i="12"/>
  <c r="I36" i="12"/>
  <c r="E36" i="12"/>
  <c r="B36" i="12"/>
  <c r="U313" i="9" l="1"/>
  <c r="U311" i="9"/>
  <c r="U263" i="9"/>
  <c r="T41" i="9"/>
  <c r="T271" i="9"/>
  <c r="T13" i="9"/>
  <c r="T272" i="9"/>
  <c r="T14" i="9"/>
  <c r="U303" i="9" l="1"/>
  <c r="U308" i="9"/>
  <c r="U297" i="9"/>
  <c r="U310" i="9"/>
  <c r="U309" i="9"/>
  <c r="U300" i="9"/>
  <c r="U301" i="9"/>
  <c r="U307" i="9"/>
  <c r="U296" i="9"/>
  <c r="U298" i="9"/>
  <c r="U302" i="9"/>
  <c r="U315" i="9"/>
  <c r="U294" i="9"/>
  <c r="U295" i="9"/>
  <c r="U306" i="9"/>
  <c r="U305" i="9"/>
  <c r="U299" i="9"/>
  <c r="U304" i="9"/>
  <c r="AF3" i="7"/>
  <c r="AF4" i="7"/>
  <c r="AF5" i="7"/>
  <c r="AF6" i="7"/>
  <c r="AF15" i="7"/>
  <c r="AF16" i="7"/>
  <c r="AF17" i="7"/>
  <c r="AF18" i="7"/>
  <c r="AF20" i="7"/>
  <c r="AF41" i="7"/>
  <c r="AF42" i="7"/>
  <c r="AF43" i="7"/>
  <c r="AF44" i="7"/>
  <c r="AF45" i="7"/>
  <c r="AF46" i="7"/>
  <c r="AF48" i="7"/>
  <c r="AF51" i="7"/>
  <c r="AF54" i="7"/>
  <c r="AF55" i="7"/>
  <c r="AF64" i="7"/>
  <c r="AF68" i="7"/>
  <c r="AF69" i="7"/>
  <c r="AF70" i="7"/>
  <c r="AF72" i="7"/>
  <c r="AF73" i="7"/>
  <c r="AF74" i="7"/>
  <c r="AF79" i="7"/>
  <c r="AF80" i="7"/>
  <c r="AF90" i="7"/>
  <c r="AF91" i="7"/>
  <c r="AF108" i="7"/>
  <c r="AF109" i="7"/>
  <c r="AF110" i="7"/>
  <c r="AF111" i="7"/>
  <c r="AF112" i="7"/>
  <c r="AF137" i="7"/>
  <c r="AF145" i="7"/>
  <c r="AF146" i="7"/>
  <c r="AF147" i="7"/>
  <c r="AF148" i="7"/>
  <c r="AF149" i="7"/>
  <c r="AF150" i="7"/>
  <c r="AF151" i="7"/>
  <c r="AF152" i="7"/>
  <c r="AF155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210" i="7"/>
  <c r="AF211" i="7"/>
  <c r="AF213" i="7"/>
  <c r="AF214" i="7"/>
  <c r="AF215" i="7"/>
  <c r="AF216" i="7"/>
  <c r="AF217" i="7"/>
  <c r="AF219" i="7"/>
  <c r="AF220" i="7"/>
  <c r="AF221" i="7"/>
  <c r="AF222" i="7"/>
  <c r="AF223" i="7"/>
  <c r="AF224" i="7"/>
  <c r="AF225" i="7"/>
  <c r="AF228" i="7"/>
  <c r="AF229" i="7"/>
  <c r="AF230" i="7"/>
  <c r="AF231" i="7"/>
  <c r="AF232" i="7"/>
  <c r="AF234" i="7"/>
  <c r="AF237" i="7"/>
  <c r="AF238" i="7"/>
  <c r="AF239" i="7"/>
  <c r="AF240" i="7"/>
  <c r="AF242" i="7"/>
  <c r="AF244" i="7"/>
  <c r="AF245" i="7"/>
  <c r="AF246" i="7"/>
  <c r="AF247" i="7"/>
  <c r="AF248" i="7"/>
  <c r="AF250" i="7"/>
  <c r="AF253" i="7"/>
  <c r="AF254" i="7"/>
  <c r="AF255" i="7"/>
  <c r="AF256" i="7"/>
  <c r="AF257" i="7"/>
  <c r="AF258" i="7"/>
  <c r="AF259" i="7"/>
  <c r="AF260" i="7"/>
  <c r="AF261" i="7"/>
  <c r="AF262" i="7"/>
  <c r="AF263" i="7"/>
  <c r="AF266" i="7"/>
  <c r="AF268" i="7"/>
  <c r="AF269" i="7"/>
  <c r="AF270" i="7"/>
  <c r="AF271" i="7"/>
  <c r="AF274" i="7"/>
  <c r="AF275" i="7"/>
  <c r="AF281" i="7"/>
  <c r="AF282" i="7"/>
  <c r="AF283" i="7"/>
  <c r="AF284" i="7"/>
  <c r="AF307" i="7"/>
  <c r="AF311" i="7"/>
  <c r="AF315" i="7"/>
  <c r="AF316" i="7"/>
  <c r="AF317" i="7"/>
  <c r="AF322" i="7"/>
  <c r="AE111" i="7" l="1"/>
  <c r="AE112" i="7"/>
  <c r="AE137" i="7"/>
  <c r="AE145" i="7"/>
  <c r="AE146" i="7"/>
  <c r="AE147" i="7"/>
  <c r="AE148" i="7"/>
  <c r="AE149" i="7"/>
  <c r="AE150" i="7"/>
  <c r="AE151" i="7"/>
  <c r="AE152" i="7"/>
  <c r="AE155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210" i="7"/>
  <c r="AE211" i="7"/>
  <c r="AE213" i="7"/>
  <c r="AE214" i="7"/>
  <c r="AE215" i="7"/>
  <c r="AE216" i="7"/>
  <c r="AE217" i="7"/>
  <c r="AE219" i="7"/>
  <c r="AE220" i="7"/>
  <c r="AE221" i="7"/>
  <c r="AE222" i="7"/>
  <c r="AE223" i="7"/>
  <c r="AE224" i="7"/>
  <c r="AE225" i="7"/>
  <c r="AE228" i="7"/>
  <c r="AE229" i="7"/>
  <c r="AE230" i="7"/>
  <c r="AE231" i="7"/>
  <c r="AE232" i="7"/>
  <c r="AE234" i="7"/>
  <c r="AE237" i="7"/>
  <c r="AE238" i="7"/>
  <c r="AE239" i="7"/>
  <c r="AE240" i="7"/>
  <c r="AE242" i="7"/>
  <c r="AE244" i="7"/>
  <c r="AE245" i="7"/>
  <c r="AE246" i="7"/>
  <c r="AE247" i="7"/>
  <c r="AE248" i="7"/>
  <c r="AE250" i="7"/>
  <c r="AE253" i="7"/>
  <c r="AE254" i="7"/>
  <c r="AE255" i="7"/>
  <c r="AE256" i="7"/>
  <c r="AE257" i="7"/>
  <c r="AE258" i="7"/>
  <c r="AE259" i="7"/>
  <c r="AE260" i="7"/>
  <c r="AE261" i="7"/>
  <c r="AE262" i="7"/>
  <c r="AE263" i="7"/>
  <c r="AE266" i="7"/>
  <c r="AE268" i="7"/>
  <c r="AE269" i="7"/>
  <c r="AE270" i="7"/>
  <c r="AE271" i="7"/>
  <c r="AE274" i="7"/>
  <c r="AE275" i="7"/>
  <c r="AE281" i="7"/>
  <c r="AE282" i="7"/>
  <c r="AE283" i="7"/>
  <c r="AE284" i="7"/>
  <c r="AE307" i="7"/>
  <c r="AE311" i="7"/>
  <c r="AE315" i="7"/>
  <c r="AE316" i="7"/>
  <c r="AE317" i="7"/>
  <c r="AE322" i="7"/>
  <c r="AD111" i="7"/>
  <c r="AD112" i="7"/>
  <c r="AD137" i="7"/>
  <c r="AD145" i="7"/>
  <c r="AD146" i="7"/>
  <c r="AD147" i="7"/>
  <c r="AD148" i="7"/>
  <c r="AD149" i="7"/>
  <c r="AD150" i="7"/>
  <c r="AD151" i="7"/>
  <c r="AD152" i="7"/>
  <c r="AD155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210" i="7"/>
  <c r="AD211" i="7"/>
  <c r="AD213" i="7"/>
  <c r="AD214" i="7"/>
  <c r="AD215" i="7"/>
  <c r="AD216" i="7"/>
  <c r="AD217" i="7"/>
  <c r="AD219" i="7"/>
  <c r="AD220" i="7"/>
  <c r="AD221" i="7"/>
  <c r="AD222" i="7"/>
  <c r="AD223" i="7"/>
  <c r="AD224" i="7"/>
  <c r="AD225" i="7"/>
  <c r="AD228" i="7"/>
  <c r="AD229" i="7"/>
  <c r="AD230" i="7"/>
  <c r="AD231" i="7"/>
  <c r="AD232" i="7"/>
  <c r="AD234" i="7"/>
  <c r="AD237" i="7"/>
  <c r="AD238" i="7"/>
  <c r="AD239" i="7"/>
  <c r="AD240" i="7"/>
  <c r="AD242" i="7"/>
  <c r="AD244" i="7"/>
  <c r="AD245" i="7"/>
  <c r="AD246" i="7"/>
  <c r="AD247" i="7"/>
  <c r="AD248" i="7"/>
  <c r="AD250" i="7"/>
  <c r="AD253" i="7"/>
  <c r="AD254" i="7"/>
  <c r="AD255" i="7"/>
  <c r="AD256" i="7"/>
  <c r="AD257" i="7"/>
  <c r="AD258" i="7"/>
  <c r="AD259" i="7"/>
  <c r="AD260" i="7"/>
  <c r="AD261" i="7"/>
  <c r="AD262" i="7"/>
  <c r="AD263" i="7"/>
  <c r="AD266" i="7"/>
  <c r="AD268" i="7"/>
  <c r="AD269" i="7"/>
  <c r="AD270" i="7"/>
  <c r="AD271" i="7"/>
  <c r="AD274" i="7"/>
  <c r="AD275" i="7"/>
  <c r="AD281" i="7"/>
  <c r="AD282" i="7"/>
  <c r="AD283" i="7"/>
  <c r="AD284" i="7"/>
  <c r="AD307" i="7"/>
  <c r="AD311" i="7"/>
  <c r="AD315" i="7"/>
  <c r="AD316" i="7"/>
  <c r="AD317" i="7"/>
  <c r="AD322" i="7"/>
  <c r="AC111" i="7"/>
  <c r="AG111" i="7" s="1"/>
  <c r="AC112" i="7"/>
  <c r="AG112" i="7" s="1"/>
  <c r="AC137" i="7"/>
  <c r="AG137" i="7" s="1"/>
  <c r="AC145" i="7"/>
  <c r="AG145" i="7" s="1"/>
  <c r="AC146" i="7"/>
  <c r="AG146" i="7" s="1"/>
  <c r="AC147" i="7"/>
  <c r="AG147" i="7" s="1"/>
  <c r="AC148" i="7"/>
  <c r="AG148" i="7" s="1"/>
  <c r="AC149" i="7"/>
  <c r="AG149" i="7" s="1"/>
  <c r="AC150" i="7"/>
  <c r="AG150" i="7" s="1"/>
  <c r="AC151" i="7"/>
  <c r="AG151" i="7" s="1"/>
  <c r="AC152" i="7"/>
  <c r="AG152" i="7" s="1"/>
  <c r="AC155" i="7"/>
  <c r="AG155" i="7" s="1"/>
  <c r="AC157" i="7"/>
  <c r="AG157" i="7" s="1"/>
  <c r="AC158" i="7"/>
  <c r="AG158" i="7" s="1"/>
  <c r="AC159" i="7"/>
  <c r="AG159" i="7" s="1"/>
  <c r="AC160" i="7"/>
  <c r="AG160" i="7" s="1"/>
  <c r="AC161" i="7"/>
  <c r="AG161" i="7" s="1"/>
  <c r="AC162" i="7"/>
  <c r="AG162" i="7" s="1"/>
  <c r="AC163" i="7"/>
  <c r="AG163" i="7" s="1"/>
  <c r="AC164" i="7"/>
  <c r="AG164" i="7" s="1"/>
  <c r="AC165" i="7"/>
  <c r="AG165" i="7" s="1"/>
  <c r="AC166" i="7"/>
  <c r="AG166" i="7" s="1"/>
  <c r="AC167" i="7"/>
  <c r="AG167" i="7" s="1"/>
  <c r="AC168" i="7"/>
  <c r="AG168" i="7" s="1"/>
  <c r="AC169" i="7"/>
  <c r="AG169" i="7" s="1"/>
  <c r="AC170" i="7"/>
  <c r="AG170" i="7" s="1"/>
  <c r="AC171" i="7"/>
  <c r="AG171" i="7" s="1"/>
  <c r="AC172" i="7"/>
  <c r="AG172" i="7" s="1"/>
  <c r="AC210" i="7"/>
  <c r="AG210" i="7" s="1"/>
  <c r="AC211" i="7"/>
  <c r="AG211" i="7" s="1"/>
  <c r="AC213" i="7"/>
  <c r="AG213" i="7" s="1"/>
  <c r="AC214" i="7"/>
  <c r="AG214" i="7" s="1"/>
  <c r="AC215" i="7"/>
  <c r="AG215" i="7" s="1"/>
  <c r="AC216" i="7"/>
  <c r="AG216" i="7" s="1"/>
  <c r="AC217" i="7"/>
  <c r="AG217" i="7" s="1"/>
  <c r="AC219" i="7"/>
  <c r="AG219" i="7" s="1"/>
  <c r="AC220" i="7"/>
  <c r="AG220" i="7" s="1"/>
  <c r="AC221" i="7"/>
  <c r="AG221" i="7" s="1"/>
  <c r="AC222" i="7"/>
  <c r="AG222" i="7" s="1"/>
  <c r="AC223" i="7"/>
  <c r="AG223" i="7" s="1"/>
  <c r="AC224" i="7"/>
  <c r="AG224" i="7" s="1"/>
  <c r="AC225" i="7"/>
  <c r="AG225" i="7" s="1"/>
  <c r="AC228" i="7"/>
  <c r="AG228" i="7" s="1"/>
  <c r="AC229" i="7"/>
  <c r="AG229" i="7" s="1"/>
  <c r="AC230" i="7"/>
  <c r="AG230" i="7" s="1"/>
  <c r="AC231" i="7"/>
  <c r="AG231" i="7" s="1"/>
  <c r="AC232" i="7"/>
  <c r="AG232" i="7" s="1"/>
  <c r="AC234" i="7"/>
  <c r="AG234" i="7" s="1"/>
  <c r="AC237" i="7"/>
  <c r="AG237" i="7" s="1"/>
  <c r="AC238" i="7"/>
  <c r="AG238" i="7" s="1"/>
  <c r="AC239" i="7"/>
  <c r="AG239" i="7" s="1"/>
  <c r="AC240" i="7"/>
  <c r="AG240" i="7" s="1"/>
  <c r="AC242" i="7"/>
  <c r="AG242" i="7" s="1"/>
  <c r="AC244" i="7"/>
  <c r="AG244" i="7" s="1"/>
  <c r="AC245" i="7"/>
  <c r="AG245" i="7" s="1"/>
  <c r="AC246" i="7"/>
  <c r="AG246" i="7" s="1"/>
  <c r="AC247" i="7"/>
  <c r="AG247" i="7" s="1"/>
  <c r="AC248" i="7"/>
  <c r="AG248" i="7" s="1"/>
  <c r="AC250" i="7"/>
  <c r="AG250" i="7" s="1"/>
  <c r="AC253" i="7"/>
  <c r="AG253" i="7" s="1"/>
  <c r="AC254" i="7"/>
  <c r="AG254" i="7" s="1"/>
  <c r="AC255" i="7"/>
  <c r="AG255" i="7" s="1"/>
  <c r="AC256" i="7"/>
  <c r="AG256" i="7" s="1"/>
  <c r="AC257" i="7"/>
  <c r="AG257" i="7" s="1"/>
  <c r="AC258" i="7"/>
  <c r="AG258" i="7" s="1"/>
  <c r="AC259" i="7"/>
  <c r="AG259" i="7" s="1"/>
  <c r="AC260" i="7"/>
  <c r="AG260" i="7" s="1"/>
  <c r="AC261" i="7"/>
  <c r="AG261" i="7" s="1"/>
  <c r="AC262" i="7"/>
  <c r="AG262" i="7" s="1"/>
  <c r="AC263" i="7"/>
  <c r="AG263" i="7" s="1"/>
  <c r="AC266" i="7"/>
  <c r="AG266" i="7" s="1"/>
  <c r="AC268" i="7"/>
  <c r="AG268" i="7" s="1"/>
  <c r="AC269" i="7"/>
  <c r="AG269" i="7" s="1"/>
  <c r="AC270" i="7"/>
  <c r="AG270" i="7" s="1"/>
  <c r="AC271" i="7"/>
  <c r="AG271" i="7" s="1"/>
  <c r="AC274" i="7"/>
  <c r="AG274" i="7" s="1"/>
  <c r="AC275" i="7"/>
  <c r="AG275" i="7" s="1"/>
  <c r="AC281" i="7"/>
  <c r="AG281" i="7" s="1"/>
  <c r="AC282" i="7"/>
  <c r="AG282" i="7" s="1"/>
  <c r="AC283" i="7"/>
  <c r="AG283" i="7" s="1"/>
  <c r="AC284" i="7"/>
  <c r="AG284" i="7" s="1"/>
  <c r="AC307" i="7"/>
  <c r="AG307" i="7" s="1"/>
  <c r="AC311" i="7"/>
  <c r="AG311" i="7" s="1"/>
  <c r="AC315" i="7"/>
  <c r="AG315" i="7" s="1"/>
  <c r="AC316" i="7"/>
  <c r="AG316" i="7" s="1"/>
  <c r="AC317" i="7"/>
  <c r="AG317" i="7" s="1"/>
  <c r="AC322" i="7"/>
  <c r="AG322" i="7" s="1"/>
  <c r="AB111" i="7"/>
  <c r="AB112" i="7"/>
  <c r="AB137" i="7"/>
  <c r="AB145" i="7"/>
  <c r="AB146" i="7"/>
  <c r="AB147" i="7"/>
  <c r="AB148" i="7"/>
  <c r="AB149" i="7"/>
  <c r="AB150" i="7"/>
  <c r="AB151" i="7"/>
  <c r="AB152" i="7"/>
  <c r="AB155" i="7"/>
  <c r="AB157" i="7"/>
  <c r="AB158" i="7"/>
  <c r="AB159" i="7"/>
  <c r="AB160" i="7"/>
  <c r="AB161" i="7"/>
  <c r="AB162" i="7"/>
  <c r="AB163" i="7"/>
  <c r="AB164" i="7"/>
  <c r="AB165" i="7"/>
  <c r="AB166" i="7"/>
  <c r="AB167" i="7"/>
  <c r="AB168" i="7"/>
  <c r="AB169" i="7"/>
  <c r="AB170" i="7"/>
  <c r="AB171" i="7"/>
  <c r="AB172" i="7"/>
  <c r="AB210" i="7"/>
  <c r="AB211" i="7"/>
  <c r="AB213" i="7"/>
  <c r="AB214" i="7"/>
  <c r="AB215" i="7"/>
  <c r="AB216" i="7"/>
  <c r="AB217" i="7"/>
  <c r="AB219" i="7"/>
  <c r="AB220" i="7"/>
  <c r="AB221" i="7"/>
  <c r="AB222" i="7"/>
  <c r="AB223" i="7"/>
  <c r="AB224" i="7"/>
  <c r="AB225" i="7"/>
  <c r="AB228" i="7"/>
  <c r="AB229" i="7"/>
  <c r="AB230" i="7"/>
  <c r="AB231" i="7"/>
  <c r="AB232" i="7"/>
  <c r="AB234" i="7"/>
  <c r="AB237" i="7"/>
  <c r="AB238" i="7"/>
  <c r="AB239" i="7"/>
  <c r="AB240" i="7"/>
  <c r="AB242" i="7"/>
  <c r="AB244" i="7"/>
  <c r="AB245" i="7"/>
  <c r="AB246" i="7"/>
  <c r="AB247" i="7"/>
  <c r="AB248" i="7"/>
  <c r="AB250" i="7"/>
  <c r="AB253" i="7"/>
  <c r="AB254" i="7"/>
  <c r="AB255" i="7"/>
  <c r="AB256" i="7"/>
  <c r="AB257" i="7"/>
  <c r="AB258" i="7"/>
  <c r="AB259" i="7"/>
  <c r="AB260" i="7"/>
  <c r="AB261" i="7"/>
  <c r="AB262" i="7"/>
  <c r="AB263" i="7"/>
  <c r="AB266" i="7"/>
  <c r="AB268" i="7"/>
  <c r="AB269" i="7"/>
  <c r="AB270" i="7"/>
  <c r="AB271" i="7"/>
  <c r="AB274" i="7"/>
  <c r="AB275" i="7"/>
  <c r="AB281" i="7"/>
  <c r="AB282" i="7"/>
  <c r="AB283" i="7"/>
  <c r="AB284" i="7"/>
  <c r="AB307" i="7"/>
  <c r="AB311" i="7"/>
  <c r="AB315" i="7"/>
  <c r="AB316" i="7"/>
  <c r="AB317" i="7"/>
  <c r="AB322" i="7"/>
  <c r="AA111" i="7"/>
  <c r="AA112" i="7"/>
  <c r="AA137" i="7"/>
  <c r="AA145" i="7"/>
  <c r="AA146" i="7"/>
  <c r="AA147" i="7"/>
  <c r="AA148" i="7"/>
  <c r="AA149" i="7"/>
  <c r="AA150" i="7"/>
  <c r="AA151" i="7"/>
  <c r="AA152" i="7"/>
  <c r="AA155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210" i="7"/>
  <c r="AA211" i="7"/>
  <c r="AA213" i="7"/>
  <c r="AA214" i="7"/>
  <c r="AA215" i="7"/>
  <c r="AA216" i="7"/>
  <c r="AA217" i="7"/>
  <c r="AA219" i="7"/>
  <c r="AA220" i="7"/>
  <c r="AA221" i="7"/>
  <c r="AA222" i="7"/>
  <c r="AA223" i="7"/>
  <c r="AA224" i="7"/>
  <c r="AA225" i="7"/>
  <c r="AA228" i="7"/>
  <c r="AA229" i="7"/>
  <c r="AA230" i="7"/>
  <c r="AA231" i="7"/>
  <c r="AA232" i="7"/>
  <c r="AA234" i="7"/>
  <c r="AA237" i="7"/>
  <c r="AA238" i="7"/>
  <c r="AA239" i="7"/>
  <c r="AA240" i="7"/>
  <c r="AA242" i="7"/>
  <c r="AA244" i="7"/>
  <c r="AA245" i="7"/>
  <c r="AA246" i="7"/>
  <c r="AA247" i="7"/>
  <c r="AA248" i="7"/>
  <c r="AA250" i="7"/>
  <c r="AA253" i="7"/>
  <c r="AA254" i="7"/>
  <c r="AA255" i="7"/>
  <c r="AA256" i="7"/>
  <c r="AA257" i="7"/>
  <c r="AA258" i="7"/>
  <c r="AA259" i="7"/>
  <c r="AA260" i="7"/>
  <c r="AA261" i="7"/>
  <c r="AA262" i="7"/>
  <c r="AA263" i="7"/>
  <c r="AA266" i="7"/>
  <c r="AA268" i="7"/>
  <c r="AA269" i="7"/>
  <c r="AA270" i="7"/>
  <c r="AA271" i="7"/>
  <c r="AA274" i="7"/>
  <c r="AA275" i="7"/>
  <c r="AA281" i="7"/>
  <c r="AA282" i="7"/>
  <c r="AA283" i="7"/>
  <c r="AA284" i="7"/>
  <c r="AA307" i="7"/>
  <c r="AA311" i="7"/>
  <c r="AA315" i="7"/>
  <c r="AA316" i="7"/>
  <c r="AA317" i="7"/>
  <c r="AA322" i="7"/>
  <c r="Z111" i="7"/>
  <c r="Z112" i="7"/>
  <c r="Z137" i="7"/>
  <c r="Z145" i="7"/>
  <c r="Z146" i="7"/>
  <c r="Z147" i="7"/>
  <c r="Z148" i="7"/>
  <c r="Z149" i="7"/>
  <c r="Z150" i="7"/>
  <c r="Z151" i="7"/>
  <c r="Z152" i="7"/>
  <c r="Z155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210" i="7"/>
  <c r="Z211" i="7"/>
  <c r="Z213" i="7"/>
  <c r="Z214" i="7"/>
  <c r="Z215" i="7"/>
  <c r="Z216" i="7"/>
  <c r="Z217" i="7"/>
  <c r="Z219" i="7"/>
  <c r="Z220" i="7"/>
  <c r="Z221" i="7"/>
  <c r="Z222" i="7"/>
  <c r="Z223" i="7"/>
  <c r="Z224" i="7"/>
  <c r="Z225" i="7"/>
  <c r="Z228" i="7"/>
  <c r="Z229" i="7"/>
  <c r="Z230" i="7"/>
  <c r="Z231" i="7"/>
  <c r="Z232" i="7"/>
  <c r="Z234" i="7"/>
  <c r="Z237" i="7"/>
  <c r="Z238" i="7"/>
  <c r="Z239" i="7"/>
  <c r="Z240" i="7"/>
  <c r="Z242" i="7"/>
  <c r="Z244" i="7"/>
  <c r="Z245" i="7"/>
  <c r="Z246" i="7"/>
  <c r="Z247" i="7"/>
  <c r="Z248" i="7"/>
  <c r="Z250" i="7"/>
  <c r="Z253" i="7"/>
  <c r="Z254" i="7"/>
  <c r="Z255" i="7"/>
  <c r="Z256" i="7"/>
  <c r="Z257" i="7"/>
  <c r="Z258" i="7"/>
  <c r="Z259" i="7"/>
  <c r="Z260" i="7"/>
  <c r="Z261" i="7"/>
  <c r="Z262" i="7"/>
  <c r="Z263" i="7"/>
  <c r="Z266" i="7"/>
  <c r="Z268" i="7"/>
  <c r="Z269" i="7"/>
  <c r="Z270" i="7"/>
  <c r="Z271" i="7"/>
  <c r="Z274" i="7"/>
  <c r="Z275" i="7"/>
  <c r="Z281" i="7"/>
  <c r="Z282" i="7"/>
  <c r="Z283" i="7"/>
  <c r="Z284" i="7"/>
  <c r="Z307" i="7"/>
  <c r="Z311" i="7"/>
  <c r="Z315" i="7"/>
  <c r="Z316" i="7"/>
  <c r="Z317" i="7"/>
  <c r="Z322" i="7"/>
  <c r="Y111" i="7"/>
  <c r="Y112" i="7"/>
  <c r="Y137" i="7"/>
  <c r="Y145" i="7"/>
  <c r="Y146" i="7"/>
  <c r="Y147" i="7"/>
  <c r="Y148" i="7"/>
  <c r="Y149" i="7"/>
  <c r="Y150" i="7"/>
  <c r="Y151" i="7"/>
  <c r="Y152" i="7"/>
  <c r="Y155" i="7"/>
  <c r="Y157" i="7"/>
  <c r="Y158" i="7"/>
  <c r="Y159" i="7"/>
  <c r="Y160" i="7"/>
  <c r="Y161" i="7"/>
  <c r="Y162" i="7"/>
  <c r="Y163" i="7"/>
  <c r="Y164" i="7"/>
  <c r="Y165" i="7"/>
  <c r="Y166" i="7"/>
  <c r="Y167" i="7"/>
  <c r="Y168" i="7"/>
  <c r="Y169" i="7"/>
  <c r="Y170" i="7"/>
  <c r="Y171" i="7"/>
  <c r="Y172" i="7"/>
  <c r="Y210" i="7"/>
  <c r="Y211" i="7"/>
  <c r="Y213" i="7"/>
  <c r="Y214" i="7"/>
  <c r="Y215" i="7"/>
  <c r="Y216" i="7"/>
  <c r="Y217" i="7"/>
  <c r="Y219" i="7"/>
  <c r="Y220" i="7"/>
  <c r="Y221" i="7"/>
  <c r="Y222" i="7"/>
  <c r="Y223" i="7"/>
  <c r="Y224" i="7"/>
  <c r="Y225" i="7"/>
  <c r="Y228" i="7"/>
  <c r="Y229" i="7"/>
  <c r="Y230" i="7"/>
  <c r="Y231" i="7"/>
  <c r="Y232" i="7"/>
  <c r="Y234" i="7"/>
  <c r="Y237" i="7"/>
  <c r="Y238" i="7"/>
  <c r="Y239" i="7"/>
  <c r="Y240" i="7"/>
  <c r="Y242" i="7"/>
  <c r="Y244" i="7"/>
  <c r="Y245" i="7"/>
  <c r="Y246" i="7"/>
  <c r="Y247" i="7"/>
  <c r="Y248" i="7"/>
  <c r="Y250" i="7"/>
  <c r="Y253" i="7"/>
  <c r="Y254" i="7"/>
  <c r="Y255" i="7"/>
  <c r="Y256" i="7"/>
  <c r="Y257" i="7"/>
  <c r="Y258" i="7"/>
  <c r="Y259" i="7"/>
  <c r="Y260" i="7"/>
  <c r="Y261" i="7"/>
  <c r="Y262" i="7"/>
  <c r="Y263" i="7"/>
  <c r="Y266" i="7"/>
  <c r="Y268" i="7"/>
  <c r="Y269" i="7"/>
  <c r="Y270" i="7"/>
  <c r="Y271" i="7"/>
  <c r="Y274" i="7"/>
  <c r="Y275" i="7"/>
  <c r="Y281" i="7"/>
  <c r="Y282" i="7"/>
  <c r="Y283" i="7"/>
  <c r="Y284" i="7"/>
  <c r="Y307" i="7"/>
  <c r="Y311" i="7"/>
  <c r="Y315" i="7"/>
  <c r="Y316" i="7"/>
  <c r="Y317" i="7"/>
  <c r="Y322" i="7"/>
  <c r="X111" i="7"/>
  <c r="X112" i="7"/>
  <c r="X137" i="7"/>
  <c r="X145" i="7"/>
  <c r="X146" i="7"/>
  <c r="X147" i="7"/>
  <c r="X148" i="7"/>
  <c r="X149" i="7"/>
  <c r="X150" i="7"/>
  <c r="X151" i="7"/>
  <c r="X152" i="7"/>
  <c r="X155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210" i="7"/>
  <c r="X211" i="7"/>
  <c r="X213" i="7"/>
  <c r="X214" i="7"/>
  <c r="X215" i="7"/>
  <c r="X216" i="7"/>
  <c r="X217" i="7"/>
  <c r="X219" i="7"/>
  <c r="X220" i="7"/>
  <c r="X221" i="7"/>
  <c r="X222" i="7"/>
  <c r="X223" i="7"/>
  <c r="X224" i="7"/>
  <c r="X225" i="7"/>
  <c r="X228" i="7"/>
  <c r="X229" i="7"/>
  <c r="X230" i="7"/>
  <c r="X231" i="7"/>
  <c r="X232" i="7"/>
  <c r="X234" i="7"/>
  <c r="X237" i="7"/>
  <c r="X238" i="7"/>
  <c r="X239" i="7"/>
  <c r="X240" i="7"/>
  <c r="X242" i="7"/>
  <c r="X244" i="7"/>
  <c r="X245" i="7"/>
  <c r="X246" i="7"/>
  <c r="X247" i="7"/>
  <c r="X248" i="7"/>
  <c r="X250" i="7"/>
  <c r="X253" i="7"/>
  <c r="X254" i="7"/>
  <c r="X255" i="7"/>
  <c r="X256" i="7"/>
  <c r="X257" i="7"/>
  <c r="X258" i="7"/>
  <c r="X259" i="7"/>
  <c r="X260" i="7"/>
  <c r="X261" i="7"/>
  <c r="X262" i="7"/>
  <c r="X263" i="7"/>
  <c r="X266" i="7"/>
  <c r="X268" i="7"/>
  <c r="X269" i="7"/>
  <c r="X270" i="7"/>
  <c r="X271" i="7"/>
  <c r="X274" i="7"/>
  <c r="X275" i="7"/>
  <c r="X281" i="7"/>
  <c r="X282" i="7"/>
  <c r="X283" i="7"/>
  <c r="X284" i="7"/>
  <c r="X307" i="7"/>
  <c r="X311" i="7"/>
  <c r="X315" i="7"/>
  <c r="X316" i="7"/>
  <c r="X317" i="7"/>
  <c r="X322" i="7"/>
  <c r="W146" i="7"/>
  <c r="AH146" i="7" s="1"/>
  <c r="AI146" i="7" s="1"/>
  <c r="W147" i="7"/>
  <c r="AH147" i="7" s="1"/>
  <c r="AI147" i="7" s="1"/>
  <c r="W148" i="7"/>
  <c r="AH148" i="7" s="1"/>
  <c r="AI148" i="7" s="1"/>
  <c r="W149" i="7"/>
  <c r="AH149" i="7" s="1"/>
  <c r="AI149" i="7" s="1"/>
  <c r="W150" i="7"/>
  <c r="AH150" i="7" s="1"/>
  <c r="AI150" i="7" s="1"/>
  <c r="W151" i="7"/>
  <c r="AH151" i="7" s="1"/>
  <c r="AI151" i="7" s="1"/>
  <c r="W152" i="7"/>
  <c r="AH152" i="7" s="1"/>
  <c r="AI152" i="7" s="1"/>
  <c r="W155" i="7"/>
  <c r="AH155" i="7" s="1"/>
  <c r="AI155" i="7" s="1"/>
  <c r="W157" i="7"/>
  <c r="AH157" i="7" s="1"/>
  <c r="AI157" i="7" s="1"/>
  <c r="W158" i="7"/>
  <c r="AH158" i="7" s="1"/>
  <c r="AI158" i="7" s="1"/>
  <c r="W159" i="7"/>
  <c r="AH159" i="7" s="1"/>
  <c r="AI159" i="7" s="1"/>
  <c r="W160" i="7"/>
  <c r="AH160" i="7" s="1"/>
  <c r="AI160" i="7" s="1"/>
  <c r="W161" i="7"/>
  <c r="AH161" i="7" s="1"/>
  <c r="AI161" i="7" s="1"/>
  <c r="W162" i="7"/>
  <c r="AH162" i="7" s="1"/>
  <c r="AI162" i="7" s="1"/>
  <c r="W163" i="7"/>
  <c r="AH163" i="7" s="1"/>
  <c r="AI163" i="7" s="1"/>
  <c r="W164" i="7"/>
  <c r="AH164" i="7" s="1"/>
  <c r="AI164" i="7" s="1"/>
  <c r="W165" i="7"/>
  <c r="AH165" i="7" s="1"/>
  <c r="AI165" i="7" s="1"/>
  <c r="W166" i="7"/>
  <c r="AH166" i="7" s="1"/>
  <c r="AI166" i="7" s="1"/>
  <c r="W167" i="7"/>
  <c r="AH167" i="7" s="1"/>
  <c r="AI167" i="7" s="1"/>
  <c r="W168" i="7"/>
  <c r="AH168" i="7" s="1"/>
  <c r="AI168" i="7" s="1"/>
  <c r="W169" i="7"/>
  <c r="AH169" i="7" s="1"/>
  <c r="AI169" i="7" s="1"/>
  <c r="W170" i="7"/>
  <c r="AH170" i="7" s="1"/>
  <c r="AI170" i="7" s="1"/>
  <c r="W171" i="7"/>
  <c r="AH171" i="7" s="1"/>
  <c r="AI171" i="7" s="1"/>
  <c r="W172" i="7"/>
  <c r="AH172" i="7" s="1"/>
  <c r="AI172" i="7" s="1"/>
  <c r="W210" i="7"/>
  <c r="AH210" i="7" s="1"/>
  <c r="AI210" i="7" s="1"/>
  <c r="W211" i="7"/>
  <c r="AH211" i="7" s="1"/>
  <c r="AI211" i="7" s="1"/>
  <c r="W213" i="7"/>
  <c r="AH213" i="7" s="1"/>
  <c r="AI213" i="7" s="1"/>
  <c r="W214" i="7"/>
  <c r="AH214" i="7" s="1"/>
  <c r="AI214" i="7" s="1"/>
  <c r="W215" i="7"/>
  <c r="AH215" i="7" s="1"/>
  <c r="AI215" i="7" s="1"/>
  <c r="W216" i="7"/>
  <c r="AH216" i="7" s="1"/>
  <c r="AI216" i="7" s="1"/>
  <c r="W217" i="7"/>
  <c r="AH217" i="7" s="1"/>
  <c r="AI217" i="7" s="1"/>
  <c r="W219" i="7"/>
  <c r="AH219" i="7" s="1"/>
  <c r="AI219" i="7" s="1"/>
  <c r="W220" i="7"/>
  <c r="AH220" i="7" s="1"/>
  <c r="AI220" i="7" s="1"/>
  <c r="W221" i="7"/>
  <c r="AH221" i="7" s="1"/>
  <c r="AI221" i="7" s="1"/>
  <c r="W222" i="7"/>
  <c r="AH222" i="7" s="1"/>
  <c r="AI222" i="7" s="1"/>
  <c r="W223" i="7"/>
  <c r="AH223" i="7" s="1"/>
  <c r="AI223" i="7" s="1"/>
  <c r="W224" i="7"/>
  <c r="AH224" i="7" s="1"/>
  <c r="AI224" i="7" s="1"/>
  <c r="W225" i="7"/>
  <c r="AH225" i="7" s="1"/>
  <c r="AI225" i="7" s="1"/>
  <c r="W228" i="7"/>
  <c r="AH228" i="7" s="1"/>
  <c r="AI228" i="7" s="1"/>
  <c r="W229" i="7"/>
  <c r="AH229" i="7" s="1"/>
  <c r="AI229" i="7" s="1"/>
  <c r="W230" i="7"/>
  <c r="AH230" i="7" s="1"/>
  <c r="AI230" i="7" s="1"/>
  <c r="W231" i="7"/>
  <c r="AH231" i="7" s="1"/>
  <c r="AI231" i="7" s="1"/>
  <c r="W232" i="7"/>
  <c r="AH232" i="7" s="1"/>
  <c r="AI232" i="7" s="1"/>
  <c r="W234" i="7"/>
  <c r="AH234" i="7" s="1"/>
  <c r="AI234" i="7" s="1"/>
  <c r="W237" i="7"/>
  <c r="AH237" i="7" s="1"/>
  <c r="AI237" i="7" s="1"/>
  <c r="W238" i="7"/>
  <c r="AH238" i="7" s="1"/>
  <c r="AI238" i="7" s="1"/>
  <c r="W239" i="7"/>
  <c r="AH239" i="7" s="1"/>
  <c r="AI239" i="7" s="1"/>
  <c r="W240" i="7"/>
  <c r="AH240" i="7" s="1"/>
  <c r="AI240" i="7" s="1"/>
  <c r="W242" i="7"/>
  <c r="AH242" i="7" s="1"/>
  <c r="AI242" i="7" s="1"/>
  <c r="W244" i="7"/>
  <c r="AH244" i="7" s="1"/>
  <c r="AI244" i="7" s="1"/>
  <c r="W245" i="7"/>
  <c r="AH245" i="7" s="1"/>
  <c r="AI245" i="7" s="1"/>
  <c r="W246" i="7"/>
  <c r="AH246" i="7" s="1"/>
  <c r="AI246" i="7" s="1"/>
  <c r="W247" i="7"/>
  <c r="AH247" i="7" s="1"/>
  <c r="AI247" i="7" s="1"/>
  <c r="W248" i="7"/>
  <c r="AH248" i="7" s="1"/>
  <c r="AI248" i="7" s="1"/>
  <c r="W250" i="7"/>
  <c r="AH250" i="7" s="1"/>
  <c r="AI250" i="7" s="1"/>
  <c r="W253" i="7"/>
  <c r="AH253" i="7" s="1"/>
  <c r="AI253" i="7" s="1"/>
  <c r="W254" i="7"/>
  <c r="AH254" i="7" s="1"/>
  <c r="AI254" i="7" s="1"/>
  <c r="W255" i="7"/>
  <c r="AH255" i="7" s="1"/>
  <c r="AI255" i="7" s="1"/>
  <c r="W256" i="7"/>
  <c r="AH256" i="7" s="1"/>
  <c r="AI256" i="7" s="1"/>
  <c r="W257" i="7"/>
  <c r="AH257" i="7" s="1"/>
  <c r="AI257" i="7" s="1"/>
  <c r="W258" i="7"/>
  <c r="AH258" i="7" s="1"/>
  <c r="AI258" i="7" s="1"/>
  <c r="W259" i="7"/>
  <c r="AH259" i="7" s="1"/>
  <c r="AI259" i="7" s="1"/>
  <c r="W260" i="7"/>
  <c r="AH260" i="7" s="1"/>
  <c r="AI260" i="7" s="1"/>
  <c r="W261" i="7"/>
  <c r="AH261" i="7" s="1"/>
  <c r="AI261" i="7" s="1"/>
  <c r="W262" i="7"/>
  <c r="AH262" i="7" s="1"/>
  <c r="AI262" i="7" s="1"/>
  <c r="W263" i="7"/>
  <c r="AH263" i="7" s="1"/>
  <c r="AI263" i="7" s="1"/>
  <c r="W266" i="7"/>
  <c r="AH266" i="7" s="1"/>
  <c r="AI266" i="7" s="1"/>
  <c r="W268" i="7"/>
  <c r="AH268" i="7" s="1"/>
  <c r="AI268" i="7" s="1"/>
  <c r="W269" i="7"/>
  <c r="AH269" i="7" s="1"/>
  <c r="AI269" i="7" s="1"/>
  <c r="W270" i="7"/>
  <c r="AH270" i="7" s="1"/>
  <c r="AI270" i="7" s="1"/>
  <c r="W271" i="7"/>
  <c r="AH271" i="7" s="1"/>
  <c r="AI271" i="7" s="1"/>
  <c r="W274" i="7"/>
  <c r="AH274" i="7" s="1"/>
  <c r="AI274" i="7" s="1"/>
  <c r="W275" i="7"/>
  <c r="AH275" i="7" s="1"/>
  <c r="AI275" i="7" s="1"/>
  <c r="W281" i="7"/>
  <c r="AH281" i="7" s="1"/>
  <c r="AI281" i="7" s="1"/>
  <c r="W282" i="7"/>
  <c r="AH282" i="7" s="1"/>
  <c r="AI282" i="7" s="1"/>
  <c r="W283" i="7"/>
  <c r="AH283" i="7" s="1"/>
  <c r="AI283" i="7" s="1"/>
  <c r="W284" i="7"/>
  <c r="AH284" i="7" s="1"/>
  <c r="AI284" i="7" s="1"/>
  <c r="W307" i="7"/>
  <c r="AH307" i="7" s="1"/>
  <c r="AI307" i="7" s="1"/>
  <c r="W311" i="7"/>
  <c r="AH311" i="7" s="1"/>
  <c r="AI311" i="7" s="1"/>
  <c r="W315" i="7"/>
  <c r="AH315" i="7" s="1"/>
  <c r="AI315" i="7" s="1"/>
  <c r="W316" i="7"/>
  <c r="AH316" i="7" s="1"/>
  <c r="AI316" i="7" s="1"/>
  <c r="W317" i="7"/>
  <c r="AH317" i="7" s="1"/>
  <c r="AI317" i="7" s="1"/>
  <c r="W322" i="7"/>
  <c r="AH322" i="7" s="1"/>
  <c r="AI322" i="7" s="1"/>
  <c r="W111" i="7"/>
  <c r="AH111" i="7" s="1"/>
  <c r="AI111" i="7" s="1"/>
  <c r="W112" i="7"/>
  <c r="AH112" i="7" s="1"/>
  <c r="AI112" i="7" s="1"/>
  <c r="W137" i="7"/>
  <c r="AH137" i="7" s="1"/>
  <c r="AI137" i="7" s="1"/>
  <c r="W145" i="7"/>
  <c r="AH145" i="7" s="1"/>
  <c r="AI145" i="7" s="1"/>
  <c r="AJ283" i="7" l="1"/>
  <c r="S283" i="7" s="1"/>
  <c r="AJ268" i="7"/>
  <c r="AJ253" i="7"/>
  <c r="AJ240" i="7"/>
  <c r="S240" i="7" s="1"/>
  <c r="AJ229" i="7"/>
  <c r="AJ214" i="7"/>
  <c r="S214" i="7" s="1"/>
  <c r="AJ164" i="7"/>
  <c r="AJ160" i="7"/>
  <c r="AJ145" i="7"/>
  <c r="S145" i="7" s="1"/>
  <c r="AJ322" i="7"/>
  <c r="S322" i="7" s="1"/>
  <c r="AJ311" i="7"/>
  <c r="AJ282" i="7"/>
  <c r="AJ271" i="7"/>
  <c r="S271" i="7" s="1"/>
  <c r="AJ266" i="7"/>
  <c r="AJ260" i="7"/>
  <c r="AJ256" i="7"/>
  <c r="AJ250" i="7"/>
  <c r="S250" i="7" s="1"/>
  <c r="AJ245" i="7"/>
  <c r="AJ239" i="7"/>
  <c r="AJ232" i="7"/>
  <c r="AJ228" i="7"/>
  <c r="S228" i="7" s="1"/>
  <c r="AJ222" i="7"/>
  <c r="AJ217" i="7"/>
  <c r="AJ213" i="7"/>
  <c r="AJ171" i="7"/>
  <c r="S171" i="7" s="1"/>
  <c r="AJ167" i="7"/>
  <c r="AJ163" i="7"/>
  <c r="AJ159" i="7"/>
  <c r="AJ152" i="7"/>
  <c r="S152" i="7" s="1"/>
  <c r="AJ148" i="7"/>
  <c r="AJ111" i="7"/>
  <c r="AJ274" i="7"/>
  <c r="AJ246" i="7"/>
  <c r="S246" i="7" s="1"/>
  <c r="AJ223" i="7"/>
  <c r="AJ219" i="7"/>
  <c r="AJ172" i="7"/>
  <c r="AJ155" i="7"/>
  <c r="AJ137" i="7"/>
  <c r="AJ315" i="7"/>
  <c r="AJ261" i="7"/>
  <c r="AJ257" i="7"/>
  <c r="S257" i="7" s="1"/>
  <c r="AJ234" i="7"/>
  <c r="S234" i="7" s="1"/>
  <c r="AJ168" i="7"/>
  <c r="AJ149" i="7"/>
  <c r="AJ317" i="7"/>
  <c r="S317" i="7" s="1"/>
  <c r="AJ307" i="7"/>
  <c r="S307" i="7" s="1"/>
  <c r="AJ281" i="7"/>
  <c r="AJ270" i="7"/>
  <c r="AJ263" i="7"/>
  <c r="S263" i="7" s="1"/>
  <c r="AJ259" i="7"/>
  <c r="S259" i="7" s="1"/>
  <c r="AJ255" i="7"/>
  <c r="AJ248" i="7"/>
  <c r="AJ244" i="7"/>
  <c r="S244" i="7" s="1"/>
  <c r="AJ238" i="7"/>
  <c r="S238" i="7" s="1"/>
  <c r="AJ231" i="7"/>
  <c r="AJ225" i="7"/>
  <c r="AJ221" i="7"/>
  <c r="S221" i="7" s="1"/>
  <c r="AJ216" i="7"/>
  <c r="S216" i="7" s="1"/>
  <c r="AJ211" i="7"/>
  <c r="AJ170" i="7"/>
  <c r="AJ166" i="7"/>
  <c r="AJ162" i="7"/>
  <c r="AJ158" i="7"/>
  <c r="AJ151" i="7"/>
  <c r="S151" i="7" s="1"/>
  <c r="AJ147" i="7"/>
  <c r="S147" i="7" s="1"/>
  <c r="AJ112" i="7"/>
  <c r="S112" i="7" s="1"/>
  <c r="AJ316" i="7"/>
  <c r="AJ284" i="7"/>
  <c r="AJ275" i="7"/>
  <c r="AJ269" i="7"/>
  <c r="S269" i="7" s="1"/>
  <c r="AJ262" i="7"/>
  <c r="AJ258" i="7"/>
  <c r="AJ254" i="7"/>
  <c r="S254" i="7" s="1"/>
  <c r="AJ247" i="7"/>
  <c r="AJ242" i="7"/>
  <c r="AJ237" i="7"/>
  <c r="AJ230" i="7"/>
  <c r="S230" i="7" s="1"/>
  <c r="AJ224" i="7"/>
  <c r="S224" i="7" s="1"/>
  <c r="AJ220" i="7"/>
  <c r="AJ215" i="7"/>
  <c r="AJ210" i="7"/>
  <c r="AJ169" i="7"/>
  <c r="AJ165" i="7"/>
  <c r="AJ161" i="7"/>
  <c r="AJ157" i="7"/>
  <c r="AJ150" i="7"/>
  <c r="S150" i="7" s="1"/>
  <c r="AJ146" i="7"/>
  <c r="AK283" i="7" l="1"/>
  <c r="AK317" i="7"/>
  <c r="K194" i="9" s="1"/>
  <c r="AK315" i="7"/>
  <c r="AK307" i="7"/>
  <c r="K249" i="9" s="1"/>
  <c r="AK284" i="7"/>
  <c r="AK311" i="7"/>
  <c r="K253" i="9" s="1"/>
  <c r="AK316" i="7"/>
  <c r="K265" i="9" s="1"/>
  <c r="AK322" i="7"/>
  <c r="Q143" i="9"/>
  <c r="S160" i="7"/>
  <c r="Q229" i="9" s="1"/>
  <c r="S169" i="7"/>
  <c r="Q238" i="9" s="1"/>
  <c r="S247" i="7"/>
  <c r="Q53" i="9" s="1"/>
  <c r="S162" i="7"/>
  <c r="Q231" i="9" s="1"/>
  <c r="S164" i="7"/>
  <c r="Q233" i="9" s="1"/>
  <c r="S219" i="7"/>
  <c r="Q106" i="9" s="1"/>
  <c r="S261" i="7"/>
  <c r="Q262" i="9" s="1"/>
  <c r="S315" i="7"/>
  <c r="S157" i="7"/>
  <c r="Q226" i="9" s="1"/>
  <c r="S210" i="7"/>
  <c r="Q144" i="9" s="1"/>
  <c r="S275" i="7"/>
  <c r="S166" i="7"/>
  <c r="Q235" i="9" s="1"/>
  <c r="S159" i="7"/>
  <c r="Q228" i="9" s="1"/>
  <c r="S213" i="7"/>
  <c r="Q140" i="9" s="1"/>
  <c r="S232" i="7"/>
  <c r="Q289" i="9" s="1"/>
  <c r="S256" i="7"/>
  <c r="Q210" i="9" s="1"/>
  <c r="S282" i="7"/>
  <c r="Q264" i="9" s="1"/>
  <c r="Q225" i="9"/>
  <c r="Q184" i="9"/>
  <c r="Q245" i="9"/>
  <c r="Q291" i="9"/>
  <c r="Q141" i="9"/>
  <c r="S149" i="7"/>
  <c r="Q224" i="9" s="1"/>
  <c r="S168" i="7"/>
  <c r="Q237" i="9" s="1"/>
  <c r="S223" i="7"/>
  <c r="Q104" i="9" s="1"/>
  <c r="S268" i="7"/>
  <c r="Q183" i="9" s="1"/>
  <c r="S111" i="7"/>
  <c r="Q66" i="9" s="1"/>
  <c r="S161" i="7"/>
  <c r="Q230" i="9" s="1"/>
  <c r="S215" i="7"/>
  <c r="Q69" i="9" s="1"/>
  <c r="S237" i="7"/>
  <c r="Q139" i="9" s="1"/>
  <c r="S258" i="7"/>
  <c r="Q244" i="9" s="1"/>
  <c r="S284" i="7"/>
  <c r="S170" i="7"/>
  <c r="Q102" i="9" s="1"/>
  <c r="S225" i="7"/>
  <c r="Q70" i="9" s="1"/>
  <c r="S248" i="7"/>
  <c r="Q54" i="9" s="1"/>
  <c r="S270" i="7"/>
  <c r="Q185" i="9" s="1"/>
  <c r="S137" i="7"/>
  <c r="Q36" i="9" s="1"/>
  <c r="S163" i="7"/>
  <c r="Q232" i="9" s="1"/>
  <c r="S217" i="7"/>
  <c r="Q56" i="9" s="1"/>
  <c r="S239" i="7"/>
  <c r="Q142" i="9" s="1"/>
  <c r="S260" i="7"/>
  <c r="Q246" i="9" s="1"/>
  <c r="S311" i="7"/>
  <c r="Q138" i="9"/>
  <c r="Q67" i="9"/>
  <c r="Q242" i="9"/>
  <c r="Q240" i="9"/>
  <c r="Q209" i="9"/>
  <c r="Q222" i="9"/>
  <c r="Q105" i="9"/>
  <c r="Q248" i="9"/>
  <c r="Q52" i="9"/>
  <c r="Q95" i="9"/>
  <c r="Q103" i="9"/>
  <c r="Q288" i="9"/>
  <c r="Q46" i="9"/>
  <c r="Q221" i="9"/>
  <c r="S155" i="7"/>
  <c r="Q98" i="9" s="1"/>
  <c r="S172" i="7"/>
  <c r="Q266" i="9" s="1"/>
  <c r="S229" i="7"/>
  <c r="Q239" i="9" s="1"/>
  <c r="S253" i="7"/>
  <c r="Q208" i="9" s="1"/>
  <c r="S274" i="7"/>
  <c r="Q189" i="9" s="1"/>
  <c r="S146" i="7"/>
  <c r="Q100" i="9" s="1"/>
  <c r="S165" i="7"/>
  <c r="Q234" i="9" s="1"/>
  <c r="S220" i="7"/>
  <c r="Q136" i="9" s="1"/>
  <c r="S242" i="7"/>
  <c r="Q49" i="9" s="1"/>
  <c r="S262" i="7"/>
  <c r="Q247" i="9" s="1"/>
  <c r="S316" i="7"/>
  <c r="S158" i="7"/>
  <c r="Q227" i="9" s="1"/>
  <c r="S211" i="7"/>
  <c r="Q135" i="9" s="1"/>
  <c r="S231" i="7"/>
  <c r="Q241" i="9" s="1"/>
  <c r="S255" i="7"/>
  <c r="Q243" i="9" s="1"/>
  <c r="S281" i="7"/>
  <c r="Q3" i="9" s="1"/>
  <c r="S148" i="7"/>
  <c r="Q223" i="9" s="1"/>
  <c r="S167" i="7"/>
  <c r="Q236" i="9" s="1"/>
  <c r="S222" i="7"/>
  <c r="Q137" i="9" s="1"/>
  <c r="S245" i="7"/>
  <c r="Q51" i="9" s="1"/>
  <c r="S266" i="7"/>
  <c r="Q181" i="9" s="1"/>
  <c r="Q194" i="9"/>
  <c r="Q249" i="9"/>
  <c r="Q186" i="9"/>
  <c r="Q187" i="9"/>
  <c r="W3" i="7"/>
  <c r="AH3" i="7" s="1"/>
  <c r="AI3" i="7" s="1"/>
  <c r="X3" i="7"/>
  <c r="Y3" i="7"/>
  <c r="Z3" i="7"/>
  <c r="AA3" i="7"/>
  <c r="AB3" i="7"/>
  <c r="AC3" i="7"/>
  <c r="AG3" i="7" s="1"/>
  <c r="AD3" i="7"/>
  <c r="AE3" i="7"/>
  <c r="W4" i="7"/>
  <c r="AH4" i="7" s="1"/>
  <c r="AI4" i="7" s="1"/>
  <c r="X4" i="7"/>
  <c r="Y4" i="7"/>
  <c r="Z4" i="7"/>
  <c r="AA4" i="7"/>
  <c r="AB4" i="7"/>
  <c r="AC4" i="7"/>
  <c r="AG4" i="7" s="1"/>
  <c r="AD4" i="7"/>
  <c r="AE4" i="7"/>
  <c r="W5" i="7"/>
  <c r="AH5" i="7" s="1"/>
  <c r="AI5" i="7" s="1"/>
  <c r="X5" i="7"/>
  <c r="Y5" i="7"/>
  <c r="Z5" i="7"/>
  <c r="AA5" i="7"/>
  <c r="AB5" i="7"/>
  <c r="AC5" i="7"/>
  <c r="AG5" i="7" s="1"/>
  <c r="AD5" i="7"/>
  <c r="AE5" i="7"/>
  <c r="W6" i="7"/>
  <c r="AH6" i="7" s="1"/>
  <c r="AI6" i="7" s="1"/>
  <c r="X6" i="7"/>
  <c r="Y6" i="7"/>
  <c r="Z6" i="7"/>
  <c r="AA6" i="7"/>
  <c r="AB6" i="7"/>
  <c r="AC6" i="7"/>
  <c r="AG6" i="7" s="1"/>
  <c r="AD6" i="7"/>
  <c r="AE6" i="7"/>
  <c r="W15" i="7"/>
  <c r="AH15" i="7" s="1"/>
  <c r="AI15" i="7" s="1"/>
  <c r="X15" i="7"/>
  <c r="Y15" i="7"/>
  <c r="Z15" i="7"/>
  <c r="AA15" i="7"/>
  <c r="AB15" i="7"/>
  <c r="AC15" i="7"/>
  <c r="AG15" i="7" s="1"/>
  <c r="AD15" i="7"/>
  <c r="AE15" i="7"/>
  <c r="W16" i="7"/>
  <c r="AH16" i="7" s="1"/>
  <c r="AI16" i="7" s="1"/>
  <c r="X16" i="7"/>
  <c r="Y16" i="7"/>
  <c r="Z16" i="7"/>
  <c r="AA16" i="7"/>
  <c r="AB16" i="7"/>
  <c r="AC16" i="7"/>
  <c r="AG16" i="7" s="1"/>
  <c r="AD16" i="7"/>
  <c r="AE16" i="7"/>
  <c r="W17" i="7"/>
  <c r="AH17" i="7" s="1"/>
  <c r="AI17" i="7" s="1"/>
  <c r="X17" i="7"/>
  <c r="Y17" i="7"/>
  <c r="Z17" i="7"/>
  <c r="AA17" i="7"/>
  <c r="AB17" i="7"/>
  <c r="AC17" i="7"/>
  <c r="AG17" i="7" s="1"/>
  <c r="AD17" i="7"/>
  <c r="AE17" i="7"/>
  <c r="W18" i="7"/>
  <c r="AH18" i="7" s="1"/>
  <c r="AI18" i="7" s="1"/>
  <c r="X18" i="7"/>
  <c r="Y18" i="7"/>
  <c r="Z18" i="7"/>
  <c r="AA18" i="7"/>
  <c r="AB18" i="7"/>
  <c r="AC18" i="7"/>
  <c r="AG18" i="7" s="1"/>
  <c r="AD18" i="7"/>
  <c r="AE18" i="7"/>
  <c r="W20" i="7"/>
  <c r="AH20" i="7" s="1"/>
  <c r="AI20" i="7" s="1"/>
  <c r="X20" i="7"/>
  <c r="Y20" i="7"/>
  <c r="Z20" i="7"/>
  <c r="AA20" i="7"/>
  <c r="AB20" i="7"/>
  <c r="AC20" i="7"/>
  <c r="AG20" i="7" s="1"/>
  <c r="AD20" i="7"/>
  <c r="AE20" i="7"/>
  <c r="W41" i="7"/>
  <c r="AH41" i="7" s="1"/>
  <c r="AI41" i="7" s="1"/>
  <c r="X41" i="7"/>
  <c r="Y41" i="7"/>
  <c r="Z41" i="7"/>
  <c r="AA41" i="7"/>
  <c r="AB41" i="7"/>
  <c r="AC41" i="7"/>
  <c r="AG41" i="7" s="1"/>
  <c r="AD41" i="7"/>
  <c r="AE41" i="7"/>
  <c r="W42" i="7"/>
  <c r="AH42" i="7" s="1"/>
  <c r="AI42" i="7" s="1"/>
  <c r="X42" i="7"/>
  <c r="Y42" i="7"/>
  <c r="Z42" i="7"/>
  <c r="AA42" i="7"/>
  <c r="AB42" i="7"/>
  <c r="AC42" i="7"/>
  <c r="AG42" i="7" s="1"/>
  <c r="AD42" i="7"/>
  <c r="AE42" i="7"/>
  <c r="W43" i="7"/>
  <c r="AH43" i="7" s="1"/>
  <c r="AI43" i="7" s="1"/>
  <c r="X43" i="7"/>
  <c r="Y43" i="7"/>
  <c r="Z43" i="7"/>
  <c r="AA43" i="7"/>
  <c r="AB43" i="7"/>
  <c r="AC43" i="7"/>
  <c r="AG43" i="7" s="1"/>
  <c r="AD43" i="7"/>
  <c r="AE43" i="7"/>
  <c r="W44" i="7"/>
  <c r="AH44" i="7" s="1"/>
  <c r="AI44" i="7" s="1"/>
  <c r="X44" i="7"/>
  <c r="Y44" i="7"/>
  <c r="Z44" i="7"/>
  <c r="AA44" i="7"/>
  <c r="AB44" i="7"/>
  <c r="AC44" i="7"/>
  <c r="AG44" i="7" s="1"/>
  <c r="AD44" i="7"/>
  <c r="AE44" i="7"/>
  <c r="W45" i="7"/>
  <c r="AH45" i="7" s="1"/>
  <c r="AI45" i="7" s="1"/>
  <c r="X45" i="7"/>
  <c r="Y45" i="7"/>
  <c r="Z45" i="7"/>
  <c r="AA45" i="7"/>
  <c r="AB45" i="7"/>
  <c r="AC45" i="7"/>
  <c r="AG45" i="7" s="1"/>
  <c r="AD45" i="7"/>
  <c r="AE45" i="7"/>
  <c r="W46" i="7"/>
  <c r="AH46" i="7" s="1"/>
  <c r="AI46" i="7" s="1"/>
  <c r="X46" i="7"/>
  <c r="Y46" i="7"/>
  <c r="Z46" i="7"/>
  <c r="AA46" i="7"/>
  <c r="AB46" i="7"/>
  <c r="AC46" i="7"/>
  <c r="AG46" i="7" s="1"/>
  <c r="AD46" i="7"/>
  <c r="AE46" i="7"/>
  <c r="W48" i="7"/>
  <c r="AH48" i="7" s="1"/>
  <c r="AI48" i="7" s="1"/>
  <c r="X48" i="7"/>
  <c r="Y48" i="7"/>
  <c r="Z48" i="7"/>
  <c r="AA48" i="7"/>
  <c r="AB48" i="7"/>
  <c r="AC48" i="7"/>
  <c r="AG48" i="7" s="1"/>
  <c r="AD48" i="7"/>
  <c r="AE48" i="7"/>
  <c r="W51" i="7"/>
  <c r="AH51" i="7" s="1"/>
  <c r="AI51" i="7" s="1"/>
  <c r="X51" i="7"/>
  <c r="Y51" i="7"/>
  <c r="Z51" i="7"/>
  <c r="AA51" i="7"/>
  <c r="AB51" i="7"/>
  <c r="AC51" i="7"/>
  <c r="AG51" i="7" s="1"/>
  <c r="AD51" i="7"/>
  <c r="AE51" i="7"/>
  <c r="W54" i="7"/>
  <c r="AH54" i="7" s="1"/>
  <c r="AI54" i="7" s="1"/>
  <c r="X54" i="7"/>
  <c r="Y54" i="7"/>
  <c r="Z54" i="7"/>
  <c r="AA54" i="7"/>
  <c r="AB54" i="7"/>
  <c r="AC54" i="7"/>
  <c r="AG54" i="7" s="1"/>
  <c r="AD54" i="7"/>
  <c r="AE54" i="7"/>
  <c r="W55" i="7"/>
  <c r="AH55" i="7" s="1"/>
  <c r="AI55" i="7" s="1"/>
  <c r="X55" i="7"/>
  <c r="Y55" i="7"/>
  <c r="Z55" i="7"/>
  <c r="AA55" i="7"/>
  <c r="AB55" i="7"/>
  <c r="AC55" i="7"/>
  <c r="AG55" i="7" s="1"/>
  <c r="AD55" i="7"/>
  <c r="AE55" i="7"/>
  <c r="W64" i="7"/>
  <c r="AH64" i="7" s="1"/>
  <c r="AI64" i="7" s="1"/>
  <c r="X64" i="7"/>
  <c r="Y64" i="7"/>
  <c r="Z64" i="7"/>
  <c r="AA64" i="7"/>
  <c r="AB64" i="7"/>
  <c r="AC64" i="7"/>
  <c r="AG64" i="7" s="1"/>
  <c r="AD64" i="7"/>
  <c r="AE64" i="7"/>
  <c r="W68" i="7"/>
  <c r="AH68" i="7" s="1"/>
  <c r="AI68" i="7" s="1"/>
  <c r="X68" i="7"/>
  <c r="Y68" i="7"/>
  <c r="Z68" i="7"/>
  <c r="AA68" i="7"/>
  <c r="AB68" i="7"/>
  <c r="AC68" i="7"/>
  <c r="AG68" i="7" s="1"/>
  <c r="AD68" i="7"/>
  <c r="AE68" i="7"/>
  <c r="W69" i="7"/>
  <c r="AH69" i="7" s="1"/>
  <c r="AI69" i="7" s="1"/>
  <c r="X69" i="7"/>
  <c r="Y69" i="7"/>
  <c r="Z69" i="7"/>
  <c r="AA69" i="7"/>
  <c r="AB69" i="7"/>
  <c r="AC69" i="7"/>
  <c r="AG69" i="7" s="1"/>
  <c r="AD69" i="7"/>
  <c r="AE69" i="7"/>
  <c r="W70" i="7"/>
  <c r="AH70" i="7" s="1"/>
  <c r="AI70" i="7" s="1"/>
  <c r="X70" i="7"/>
  <c r="Y70" i="7"/>
  <c r="Z70" i="7"/>
  <c r="AA70" i="7"/>
  <c r="AB70" i="7"/>
  <c r="AC70" i="7"/>
  <c r="AG70" i="7" s="1"/>
  <c r="AD70" i="7"/>
  <c r="AE70" i="7"/>
  <c r="W72" i="7"/>
  <c r="AH72" i="7" s="1"/>
  <c r="AI72" i="7" s="1"/>
  <c r="X72" i="7"/>
  <c r="Y72" i="7"/>
  <c r="Z72" i="7"/>
  <c r="AA72" i="7"/>
  <c r="AB72" i="7"/>
  <c r="AC72" i="7"/>
  <c r="AG72" i="7" s="1"/>
  <c r="AD72" i="7"/>
  <c r="AE72" i="7"/>
  <c r="W73" i="7"/>
  <c r="AH73" i="7" s="1"/>
  <c r="AI73" i="7" s="1"/>
  <c r="X73" i="7"/>
  <c r="Y73" i="7"/>
  <c r="Z73" i="7"/>
  <c r="AA73" i="7"/>
  <c r="AB73" i="7"/>
  <c r="AC73" i="7"/>
  <c r="AG73" i="7" s="1"/>
  <c r="AD73" i="7"/>
  <c r="AE73" i="7"/>
  <c r="W74" i="7"/>
  <c r="AH74" i="7" s="1"/>
  <c r="AI74" i="7" s="1"/>
  <c r="X74" i="7"/>
  <c r="Y74" i="7"/>
  <c r="Z74" i="7"/>
  <c r="AA74" i="7"/>
  <c r="AB74" i="7"/>
  <c r="AC74" i="7"/>
  <c r="AG74" i="7" s="1"/>
  <c r="AD74" i="7"/>
  <c r="AE74" i="7"/>
  <c r="W79" i="7"/>
  <c r="AH79" i="7" s="1"/>
  <c r="AI79" i="7" s="1"/>
  <c r="X79" i="7"/>
  <c r="Y79" i="7"/>
  <c r="Z79" i="7"/>
  <c r="AA79" i="7"/>
  <c r="AB79" i="7"/>
  <c r="AC79" i="7"/>
  <c r="AG79" i="7" s="1"/>
  <c r="AD79" i="7"/>
  <c r="AE79" i="7"/>
  <c r="W80" i="7"/>
  <c r="AH80" i="7" s="1"/>
  <c r="AI80" i="7" s="1"/>
  <c r="X80" i="7"/>
  <c r="Y80" i="7"/>
  <c r="Z80" i="7"/>
  <c r="AA80" i="7"/>
  <c r="AB80" i="7"/>
  <c r="AC80" i="7"/>
  <c r="AG80" i="7" s="1"/>
  <c r="AD80" i="7"/>
  <c r="AE80" i="7"/>
  <c r="W90" i="7"/>
  <c r="AH90" i="7" s="1"/>
  <c r="AI90" i="7" s="1"/>
  <c r="X90" i="7"/>
  <c r="Y90" i="7"/>
  <c r="Z90" i="7"/>
  <c r="AA90" i="7"/>
  <c r="AB90" i="7"/>
  <c r="AC90" i="7"/>
  <c r="AG90" i="7" s="1"/>
  <c r="AD90" i="7"/>
  <c r="AE90" i="7"/>
  <c r="W91" i="7"/>
  <c r="AH91" i="7" s="1"/>
  <c r="AI91" i="7" s="1"/>
  <c r="X91" i="7"/>
  <c r="Y91" i="7"/>
  <c r="Z91" i="7"/>
  <c r="AA91" i="7"/>
  <c r="AB91" i="7"/>
  <c r="AC91" i="7"/>
  <c r="AG91" i="7" s="1"/>
  <c r="AD91" i="7"/>
  <c r="AE91" i="7"/>
  <c r="W108" i="7"/>
  <c r="AH108" i="7" s="1"/>
  <c r="AI108" i="7" s="1"/>
  <c r="X108" i="7"/>
  <c r="Y108" i="7"/>
  <c r="Z108" i="7"/>
  <c r="AA108" i="7"/>
  <c r="AB108" i="7"/>
  <c r="AC108" i="7"/>
  <c r="AG108" i="7" s="1"/>
  <c r="AD108" i="7"/>
  <c r="AE108" i="7"/>
  <c r="W109" i="7"/>
  <c r="AH109" i="7" s="1"/>
  <c r="AI109" i="7" s="1"/>
  <c r="X109" i="7"/>
  <c r="Y109" i="7"/>
  <c r="Z109" i="7"/>
  <c r="AA109" i="7"/>
  <c r="AB109" i="7"/>
  <c r="AC109" i="7"/>
  <c r="AG109" i="7" s="1"/>
  <c r="AD109" i="7"/>
  <c r="AE109" i="7"/>
  <c r="W110" i="7"/>
  <c r="AH110" i="7" s="1"/>
  <c r="AI110" i="7" s="1"/>
  <c r="X110" i="7"/>
  <c r="Y110" i="7"/>
  <c r="Z110" i="7"/>
  <c r="AA110" i="7"/>
  <c r="AB110" i="7"/>
  <c r="AC110" i="7"/>
  <c r="AG110" i="7" s="1"/>
  <c r="AD110" i="7"/>
  <c r="AE110" i="7"/>
  <c r="Q3" i="2"/>
  <c r="K199" i="9" l="1"/>
  <c r="Q199" i="9" s="1"/>
  <c r="K112" i="9"/>
  <c r="Q112" i="9" s="1"/>
  <c r="K3" i="21"/>
  <c r="Q265" i="9"/>
  <c r="Q253" i="9"/>
  <c r="Q50" i="9"/>
  <c r="X227" i="9"/>
  <c r="X234" i="9"/>
  <c r="X270" i="9"/>
  <c r="X228" i="9"/>
  <c r="X63" i="9"/>
  <c r="X233" i="9"/>
  <c r="X281" i="9"/>
  <c r="X278" i="9"/>
  <c r="X258" i="9"/>
  <c r="X268" i="9"/>
  <c r="X271" i="9"/>
  <c r="X243" i="9"/>
  <c r="X272" i="9"/>
  <c r="X247" i="9"/>
  <c r="X68" i="9"/>
  <c r="AJ3" i="7"/>
  <c r="S3" i="7" s="1"/>
  <c r="AJ69" i="7"/>
  <c r="AJ54" i="7"/>
  <c r="AJ45" i="7"/>
  <c r="AJ41" i="7"/>
  <c r="AJ16" i="7"/>
  <c r="S16" i="7" s="1"/>
  <c r="AJ4" i="7"/>
  <c r="AJ110" i="7"/>
  <c r="S110" i="7" s="1"/>
  <c r="AJ90" i="7"/>
  <c r="S90" i="7" s="1"/>
  <c r="AJ73" i="7"/>
  <c r="AJ68" i="7"/>
  <c r="AJ51" i="7"/>
  <c r="S51" i="7" s="1"/>
  <c r="AJ44" i="7"/>
  <c r="S44" i="7" s="1"/>
  <c r="AJ20" i="7"/>
  <c r="AJ15" i="7"/>
  <c r="AJ91" i="7"/>
  <c r="S91" i="7" s="1"/>
  <c r="AJ109" i="7"/>
  <c r="S109" i="7" s="1"/>
  <c r="AJ80" i="7"/>
  <c r="AJ74" i="7"/>
  <c r="AJ72" i="7"/>
  <c r="S72" i="7" s="1"/>
  <c r="AJ64" i="7"/>
  <c r="AJ48" i="7"/>
  <c r="AJ43" i="7"/>
  <c r="AJ18" i="7"/>
  <c r="S18" i="7" s="1"/>
  <c r="AJ6" i="7"/>
  <c r="AJ108" i="7"/>
  <c r="AJ79" i="7"/>
  <c r="AJ70" i="7"/>
  <c r="S70" i="7" s="1"/>
  <c r="AJ55" i="7"/>
  <c r="S55" i="7" s="1"/>
  <c r="AJ46" i="7"/>
  <c r="S46" i="7" s="1"/>
  <c r="AJ42" i="7"/>
  <c r="AJ17" i="7"/>
  <c r="S17" i="7" s="1"/>
  <c r="AJ5" i="7"/>
  <c r="O5" i="2"/>
  <c r="K18" i="21" l="1"/>
  <c r="J19" i="21" s="1"/>
  <c r="L3" i="21"/>
  <c r="L17" i="21"/>
  <c r="L12" i="21"/>
  <c r="L16" i="21"/>
  <c r="L6" i="21"/>
  <c r="L9" i="21"/>
  <c r="L14" i="21"/>
  <c r="L8" i="21"/>
  <c r="L13" i="21"/>
  <c r="L5" i="21"/>
  <c r="L15" i="21"/>
  <c r="L4" i="21"/>
  <c r="L10" i="21"/>
  <c r="L7" i="21"/>
  <c r="Q3" i="21"/>
  <c r="G3" i="21" s="1"/>
  <c r="AK5" i="7"/>
  <c r="K68" i="9" s="1"/>
  <c r="AK18" i="7"/>
  <c r="K155" i="9" s="1"/>
  <c r="AK17" i="7"/>
  <c r="AK43" i="7"/>
  <c r="K314" i="9" s="1"/>
  <c r="AK16" i="7"/>
  <c r="AK42" i="7"/>
  <c r="K177" i="9" s="1"/>
  <c r="AK15" i="7"/>
  <c r="K154" i="9" s="1"/>
  <c r="AK41" i="7"/>
  <c r="K176" i="9" s="1"/>
  <c r="AK6" i="7"/>
  <c r="K145" i="9" s="1"/>
  <c r="AK20" i="7"/>
  <c r="K170" i="9" s="1"/>
  <c r="Q155" i="9"/>
  <c r="S4" i="7"/>
  <c r="Q258" i="9" s="1"/>
  <c r="S54" i="7"/>
  <c r="Q61" i="9" s="1"/>
  <c r="S79" i="7"/>
  <c r="Q11" i="9" s="1"/>
  <c r="S69" i="7"/>
  <c r="Q213" i="9" s="1"/>
  <c r="S5" i="7"/>
  <c r="S43" i="7"/>
  <c r="Q108" i="9"/>
  <c r="Q101" i="9"/>
  <c r="Q63" i="9"/>
  <c r="Q78" i="9"/>
  <c r="S41" i="7"/>
  <c r="S74" i="7"/>
  <c r="Q6" i="9" s="1"/>
  <c r="S48" i="7"/>
  <c r="Q178" i="9" s="1"/>
  <c r="S15" i="7"/>
  <c r="S68" i="7"/>
  <c r="Q212" i="9" s="1"/>
  <c r="S108" i="7"/>
  <c r="Q219" i="9" s="1"/>
  <c r="Q64" i="9"/>
  <c r="Q58" i="9"/>
  <c r="Q94" i="9"/>
  <c r="S45" i="7"/>
  <c r="Q107" i="9" s="1"/>
  <c r="S42" i="7"/>
  <c r="S6" i="7"/>
  <c r="S64" i="7"/>
  <c r="Q211" i="9" s="1"/>
  <c r="S20" i="7"/>
  <c r="S73" i="7"/>
  <c r="Q65" i="9" s="1"/>
  <c r="S80" i="7"/>
  <c r="Q214" i="9" s="1"/>
  <c r="Q81" i="9"/>
  <c r="Q80" i="9"/>
  <c r="Q79" i="9"/>
  <c r="Q4" i="2"/>
  <c r="R4" i="2"/>
  <c r="S4" i="2"/>
  <c r="T4" i="2"/>
  <c r="U4" i="2"/>
  <c r="V4" i="2"/>
  <c r="W4" i="2"/>
  <c r="X4" i="2"/>
  <c r="Y4" i="2"/>
  <c r="Z4" i="2"/>
  <c r="Q5" i="2"/>
  <c r="R5" i="2"/>
  <c r="S5" i="2"/>
  <c r="T5" i="2"/>
  <c r="U5" i="2"/>
  <c r="V5" i="2"/>
  <c r="W5" i="2"/>
  <c r="X5" i="2"/>
  <c r="Y5" i="2"/>
  <c r="Z5" i="2"/>
  <c r="H3" i="21" l="1"/>
  <c r="F19" i="21"/>
  <c r="G18" i="21"/>
  <c r="F20" i="21" s="1"/>
  <c r="F22" i="21"/>
  <c r="H13" i="21"/>
  <c r="H14" i="21"/>
  <c r="H10" i="21"/>
  <c r="H4" i="21"/>
  <c r="H17" i="21"/>
  <c r="H6" i="21"/>
  <c r="H5" i="21"/>
  <c r="H7" i="21"/>
  <c r="H8" i="21"/>
  <c r="H9" i="21"/>
  <c r="H12" i="21"/>
  <c r="H16" i="21"/>
  <c r="H15" i="21"/>
  <c r="K261" i="9"/>
  <c r="Q261" i="9" s="1"/>
  <c r="K259" i="9"/>
  <c r="K203" i="9"/>
  <c r="L311" i="9" s="1"/>
  <c r="K180" i="9"/>
  <c r="Q170" i="9"/>
  <c r="Q154" i="9"/>
  <c r="Q145" i="9"/>
  <c r="Q177" i="9"/>
  <c r="Q176" i="9"/>
  <c r="Q68" i="9"/>
  <c r="Q314" i="9"/>
  <c r="S327" i="7"/>
  <c r="AA5" i="2"/>
  <c r="AB5" i="2" s="1"/>
  <c r="O4" i="2"/>
  <c r="AA4" i="2" s="1"/>
  <c r="L187" i="9" l="1"/>
  <c r="L263" i="9"/>
  <c r="L313" i="9"/>
  <c r="L19" i="21"/>
  <c r="H19" i="21"/>
  <c r="L100" i="9"/>
  <c r="L246" i="9"/>
  <c r="L310" i="9"/>
  <c r="L166" i="9"/>
  <c r="L176" i="9"/>
  <c r="Q259" i="9"/>
  <c r="L309" i="9"/>
  <c r="L195" i="9"/>
  <c r="L135" i="9"/>
  <c r="L287" i="9"/>
  <c r="L179" i="9"/>
  <c r="L143" i="9"/>
  <c r="L141" i="9"/>
  <c r="L308" i="9"/>
  <c r="L84" i="9"/>
  <c r="L199" i="9"/>
  <c r="L248" i="9"/>
  <c r="L70" i="9"/>
  <c r="L264" i="9"/>
  <c r="L209" i="9"/>
  <c r="L106" i="9"/>
  <c r="L200" i="9"/>
  <c r="L121" i="9"/>
  <c r="L22" i="9"/>
  <c r="L280" i="9"/>
  <c r="L182" i="9"/>
  <c r="L74" i="9"/>
  <c r="L284" i="9"/>
  <c r="L52" i="9"/>
  <c r="L185" i="9"/>
  <c r="L48" i="9"/>
  <c r="L279" i="9"/>
  <c r="L133" i="9"/>
  <c r="L295" i="9"/>
  <c r="L115" i="9"/>
  <c r="L123" i="9"/>
  <c r="L300" i="9"/>
  <c r="L56" i="9"/>
  <c r="L51" i="9"/>
  <c r="L240" i="9"/>
  <c r="L53" i="9"/>
  <c r="L272" i="9"/>
  <c r="L113" i="9"/>
  <c r="L34" i="9"/>
  <c r="L285" i="9"/>
  <c r="L10" i="9"/>
  <c r="L261" i="9"/>
  <c r="Q203" i="9"/>
  <c r="L154" i="9"/>
  <c r="L289" i="9"/>
  <c r="L291" i="9"/>
  <c r="L50" i="9"/>
  <c r="L249" i="9"/>
  <c r="L139" i="9"/>
  <c r="L288" i="9"/>
  <c r="L104" i="9"/>
  <c r="L49" i="9"/>
  <c r="L228" i="9"/>
  <c r="L67" i="9"/>
  <c r="L183" i="9"/>
  <c r="L3" i="9"/>
  <c r="L184" i="9"/>
  <c r="L112" i="9"/>
  <c r="L95" i="9"/>
  <c r="L236" i="9"/>
  <c r="L243" i="9"/>
  <c r="L271" i="9"/>
  <c r="L43" i="9"/>
  <c r="L281" i="9"/>
  <c r="L193" i="9"/>
  <c r="L290" i="9"/>
  <c r="L76" i="9"/>
  <c r="L293" i="9"/>
  <c r="L128" i="9"/>
  <c r="L32" i="9"/>
  <c r="L72" i="9"/>
  <c r="L132" i="9"/>
  <c r="L165" i="9"/>
  <c r="L254" i="9"/>
  <c r="L215" i="9"/>
  <c r="L119" i="9"/>
  <c r="L37" i="9"/>
  <c r="L131" i="9"/>
  <c r="L33" i="9"/>
  <c r="L57" i="9"/>
  <c r="L278" i="9"/>
  <c r="L255" i="9"/>
  <c r="L122" i="9"/>
  <c r="L124" i="9"/>
  <c r="L160" i="9"/>
  <c r="L283" i="9"/>
  <c r="L301" i="9"/>
  <c r="L294" i="9"/>
  <c r="L130" i="9"/>
  <c r="L107" i="9"/>
  <c r="L186" i="9"/>
  <c r="L54" i="9"/>
  <c r="L238" i="9"/>
  <c r="L231" i="9"/>
  <c r="L241" i="9"/>
  <c r="L140" i="9"/>
  <c r="L105" i="9"/>
  <c r="L222" i="9"/>
  <c r="L253" i="9"/>
  <c r="L235" i="9"/>
  <c r="L224" i="9"/>
  <c r="L239" i="9"/>
  <c r="L137" i="9"/>
  <c r="L227" i="9"/>
  <c r="L210" i="9"/>
  <c r="L230" i="9"/>
  <c r="L194" i="9"/>
  <c r="L208" i="9"/>
  <c r="L265" i="9"/>
  <c r="L13" i="9"/>
  <c r="L276" i="9"/>
  <c r="L19" i="9"/>
  <c r="L173" i="9"/>
  <c r="L270" i="9"/>
  <c r="L118" i="9"/>
  <c r="L90" i="9"/>
  <c r="L197" i="9"/>
  <c r="L7" i="9"/>
  <c r="L174" i="9"/>
  <c r="L196" i="9"/>
  <c r="L306" i="9"/>
  <c r="L117" i="9"/>
  <c r="L250" i="9"/>
  <c r="L17" i="9"/>
  <c r="L198" i="9"/>
  <c r="L44" i="9"/>
  <c r="L60" i="9"/>
  <c r="L5" i="9"/>
  <c r="L55" i="9"/>
  <c r="L252" i="9"/>
  <c r="L114" i="9"/>
  <c r="L120" i="9"/>
  <c r="L116" i="9"/>
  <c r="L47" i="9"/>
  <c r="L108" i="9"/>
  <c r="L178" i="9"/>
  <c r="L68" i="9"/>
  <c r="L203" i="9"/>
  <c r="L244" i="9"/>
  <c r="L46" i="9"/>
  <c r="L181" i="9"/>
  <c r="L247" i="9"/>
  <c r="L262" i="9"/>
  <c r="L242" i="9"/>
  <c r="L225" i="9"/>
  <c r="L232" i="9"/>
  <c r="L69" i="9"/>
  <c r="L36" i="9"/>
  <c r="L136" i="9"/>
  <c r="L189" i="9"/>
  <c r="L144" i="9"/>
  <c r="L245" i="9"/>
  <c r="L142" i="9"/>
  <c r="L138" i="9"/>
  <c r="L274" i="9"/>
  <c r="L126" i="9"/>
  <c r="L4" i="9"/>
  <c r="L192" i="9"/>
  <c r="L97" i="9"/>
  <c r="L127" i="9"/>
  <c r="L28" i="9"/>
  <c r="L269" i="9"/>
  <c r="L151" i="9"/>
  <c r="L303" i="9"/>
  <c r="L275" i="9"/>
  <c r="L299" i="9"/>
  <c r="L191" i="9"/>
  <c r="L298" i="9"/>
  <c r="L282" i="9"/>
  <c r="L304" i="9"/>
  <c r="L188" i="9"/>
  <c r="L169" i="9"/>
  <c r="L134" i="9"/>
  <c r="L216" i="9"/>
  <c r="L277" i="9"/>
  <c r="L257" i="9"/>
  <c r="L268" i="9"/>
  <c r="L305" i="9"/>
  <c r="L171" i="9"/>
  <c r="L292" i="9"/>
  <c r="L152" i="9"/>
  <c r="L65" i="9"/>
  <c r="L202" i="9"/>
  <c r="L251" i="9"/>
  <c r="L307" i="9"/>
  <c r="L217" i="9"/>
  <c r="L11" i="9"/>
  <c r="L78" i="9"/>
  <c r="Q180" i="9"/>
  <c r="L162" i="9"/>
  <c r="L273" i="9"/>
  <c r="L286" i="9"/>
  <c r="L45" i="9"/>
  <c r="L201" i="9"/>
  <c r="L302" i="9"/>
  <c r="L256" i="9"/>
  <c r="L297" i="9"/>
  <c r="L190" i="9"/>
  <c r="L129" i="9"/>
  <c r="L146" i="9"/>
  <c r="L81" i="9"/>
  <c r="L58" i="9"/>
  <c r="L213" i="9"/>
  <c r="L223" i="9"/>
  <c r="L229" i="9"/>
  <c r="L237" i="9"/>
  <c r="L102" i="9"/>
  <c r="L66" i="9"/>
  <c r="L234" i="9"/>
  <c r="L14" i="9"/>
  <c r="L41" i="9"/>
  <c r="L26" i="9"/>
  <c r="L204" i="9"/>
  <c r="L163" i="9"/>
  <c r="L82" i="9"/>
  <c r="L91" i="9"/>
  <c r="L147" i="9"/>
  <c r="L220" i="9"/>
  <c r="L148" i="9"/>
  <c r="L207" i="9"/>
  <c r="L85" i="9"/>
  <c r="L59" i="9"/>
  <c r="L167" i="9"/>
  <c r="L157" i="9"/>
  <c r="L20" i="9"/>
  <c r="L30" i="9"/>
  <c r="L86" i="9"/>
  <c r="L168" i="9"/>
  <c r="L111" i="9"/>
  <c r="L39" i="9"/>
  <c r="L172" i="9"/>
  <c r="L38" i="9"/>
  <c r="L93" i="9"/>
  <c r="L296" i="9"/>
  <c r="L218" i="9"/>
  <c r="L18" i="9"/>
  <c r="L96" i="9"/>
  <c r="L206" i="9"/>
  <c r="L156" i="9"/>
  <c r="L80" i="9"/>
  <c r="L212" i="9"/>
  <c r="L180" i="9"/>
  <c r="L145" i="9"/>
  <c r="L170" i="9"/>
  <c r="L6" i="9"/>
  <c r="L79" i="9"/>
  <c r="K316" i="9"/>
  <c r="X145" i="9" s="1"/>
  <c r="L177" i="9"/>
  <c r="L259" i="9"/>
  <c r="L266" i="9"/>
  <c r="L233" i="9"/>
  <c r="L98" i="9"/>
  <c r="L103" i="9"/>
  <c r="L221" i="9"/>
  <c r="L226" i="9"/>
  <c r="L8" i="9"/>
  <c r="L40" i="9"/>
  <c r="L260" i="9"/>
  <c r="L12" i="9"/>
  <c r="L161" i="9"/>
  <c r="L175" i="9"/>
  <c r="L31" i="9"/>
  <c r="L21" i="9"/>
  <c r="L35" i="9"/>
  <c r="L110" i="9"/>
  <c r="L75" i="9"/>
  <c r="L25" i="9"/>
  <c r="L42" i="9"/>
  <c r="L24" i="9"/>
  <c r="L153" i="9"/>
  <c r="L27" i="9"/>
  <c r="L9" i="9"/>
  <c r="L29" i="9"/>
  <c r="L109" i="9"/>
  <c r="L149" i="9"/>
  <c r="L16" i="9"/>
  <c r="L159" i="9"/>
  <c r="L89" i="9"/>
  <c r="L15" i="9"/>
  <c r="L83" i="9"/>
  <c r="L205" i="9"/>
  <c r="L94" i="9"/>
  <c r="L211" i="9"/>
  <c r="L101" i="9"/>
  <c r="L314" i="9"/>
  <c r="L63" i="9"/>
  <c r="L61" i="9"/>
  <c r="L88" i="9"/>
  <c r="L92" i="9"/>
  <c r="L150" i="9"/>
  <c r="L87" i="9"/>
  <c r="L99" i="9"/>
  <c r="L77" i="9"/>
  <c r="L23" i="9"/>
  <c r="L267" i="9"/>
  <c r="L164" i="9"/>
  <c r="L158" i="9"/>
  <c r="L62" i="9"/>
  <c r="L214" i="9"/>
  <c r="L155" i="9"/>
  <c r="L258" i="9"/>
  <c r="L64" i="9"/>
  <c r="L219" i="9"/>
  <c r="I62" i="9"/>
  <c r="AB4" i="2"/>
  <c r="AC5" i="2"/>
  <c r="AC4" i="2"/>
  <c r="Z3" i="2"/>
  <c r="R3" i="2"/>
  <c r="S3" i="2"/>
  <c r="T3" i="2"/>
  <c r="U3" i="2"/>
  <c r="V3" i="2"/>
  <c r="W3" i="2"/>
  <c r="X3" i="2"/>
  <c r="Y3" i="2"/>
  <c r="J313" i="9" l="1"/>
  <c r="J311" i="9"/>
  <c r="Q62" i="9"/>
  <c r="J263" i="9"/>
  <c r="J317" i="9"/>
  <c r="X146" i="9" s="1"/>
  <c r="J62" i="9"/>
  <c r="J187" i="9"/>
  <c r="J297" i="9"/>
  <c r="J302" i="9"/>
  <c r="J295" i="9"/>
  <c r="J306" i="9"/>
  <c r="J294" i="9"/>
  <c r="J298" i="9"/>
  <c r="J310" i="9"/>
  <c r="J301" i="9"/>
  <c r="J299" i="9"/>
  <c r="J304" i="9"/>
  <c r="J296" i="9"/>
  <c r="J303" i="9"/>
  <c r="J308" i="9"/>
  <c r="J300" i="9"/>
  <c r="J305" i="9"/>
  <c r="J309" i="9"/>
  <c r="J307" i="9"/>
  <c r="J220" i="9"/>
  <c r="J275" i="9"/>
  <c r="J22" i="9"/>
  <c r="J262" i="9"/>
  <c r="J77" i="9"/>
  <c r="J195" i="9"/>
  <c r="J225" i="9"/>
  <c r="J123" i="9"/>
  <c r="J198" i="9"/>
  <c r="J101" i="9"/>
  <c r="J72" i="9"/>
  <c r="J57" i="9"/>
  <c r="J232" i="9"/>
  <c r="J141" i="9"/>
  <c r="J84" i="9"/>
  <c r="J218" i="9"/>
  <c r="J16" i="9"/>
  <c r="J21" i="9"/>
  <c r="J212" i="9"/>
  <c r="J118" i="9"/>
  <c r="J196" i="9"/>
  <c r="J36" i="9"/>
  <c r="J163" i="9"/>
  <c r="J149" i="9"/>
  <c r="J173" i="9"/>
  <c r="J78" i="9"/>
  <c r="J291" i="9"/>
  <c r="J176" i="9"/>
  <c r="J64" i="9"/>
  <c r="J39" i="9"/>
  <c r="J87" i="9"/>
  <c r="J242" i="9"/>
  <c r="J89" i="9"/>
  <c r="J155" i="9"/>
  <c r="J226" i="9"/>
  <c r="J135" i="9"/>
  <c r="J202" i="9"/>
  <c r="J288" i="9"/>
  <c r="J140" i="9"/>
  <c r="J19" i="9"/>
  <c r="J6" i="9"/>
  <c r="J94" i="9"/>
  <c r="J18" i="9"/>
  <c r="J61" i="9"/>
  <c r="J186" i="9"/>
  <c r="J95" i="9"/>
  <c r="J29" i="9"/>
  <c r="J219" i="9"/>
  <c r="J246" i="9"/>
  <c r="J197" i="9"/>
  <c r="J98" i="9"/>
  <c r="J280" i="9"/>
  <c r="J114" i="9"/>
  <c r="J82" i="9"/>
  <c r="J15" i="9"/>
  <c r="J109" i="9"/>
  <c r="J211" i="9"/>
  <c r="J91" i="9"/>
  <c r="J68" i="9"/>
  <c r="J138" i="9"/>
  <c r="J92" i="9"/>
  <c r="J97" i="9"/>
  <c r="J59" i="9"/>
  <c r="J208" i="9"/>
  <c r="J253" i="9"/>
  <c r="J55" i="9"/>
  <c r="J205" i="9"/>
  <c r="J113" i="9"/>
  <c r="J284" i="9"/>
  <c r="J56" i="9"/>
  <c r="J183" i="9"/>
  <c r="J167" i="9"/>
  <c r="J289" i="9"/>
  <c r="J66" i="9"/>
  <c r="J228" i="9"/>
  <c r="J44" i="9"/>
  <c r="J42" i="9"/>
  <c r="J160" i="9"/>
  <c r="J28" i="9"/>
  <c r="J49" i="9"/>
  <c r="J38" i="9"/>
  <c r="J83" i="9"/>
  <c r="J131" i="9"/>
  <c r="J278" i="9"/>
  <c r="J69" i="9"/>
  <c r="J99" i="9"/>
  <c r="J193" i="9"/>
  <c r="J37" i="9"/>
  <c r="J156" i="9"/>
  <c r="J185" i="9"/>
  <c r="J293" i="9"/>
  <c r="J70" i="9"/>
  <c r="J157" i="9"/>
  <c r="J120" i="9"/>
  <c r="J184" i="9"/>
  <c r="J32" i="9"/>
  <c r="J236" i="9"/>
  <c r="J76" i="9"/>
  <c r="J223" i="9"/>
  <c r="J93" i="9"/>
  <c r="J45" i="9"/>
  <c r="J260" i="9"/>
  <c r="J165" i="9"/>
  <c r="J204" i="9"/>
  <c r="J247" i="9"/>
  <c r="J20" i="9"/>
  <c r="J4" i="9"/>
  <c r="J314" i="9"/>
  <c r="J254" i="9"/>
  <c r="J281" i="9"/>
  <c r="J9" i="9"/>
  <c r="J182" i="9"/>
  <c r="J136" i="9"/>
  <c r="J285" i="9"/>
  <c r="J145" i="9"/>
  <c r="J168" i="9"/>
  <c r="J128" i="9"/>
  <c r="J152" i="9"/>
  <c r="J188" i="9"/>
  <c r="J143" i="9"/>
  <c r="J25" i="9"/>
  <c r="J230" i="9"/>
  <c r="J189" i="9"/>
  <c r="J256" i="9"/>
  <c r="J269" i="9"/>
  <c r="J90" i="9"/>
  <c r="J50" i="9"/>
  <c r="J102" i="9"/>
  <c r="J23" i="9"/>
  <c r="J257" i="9"/>
  <c r="J292" i="9"/>
  <c r="J214" i="9"/>
  <c r="J134" i="9"/>
  <c r="J199" i="9"/>
  <c r="J12" i="9"/>
  <c r="J194" i="9"/>
  <c r="J224" i="9"/>
  <c r="J277" i="9"/>
  <c r="J175" i="9"/>
  <c r="J158" i="9"/>
  <c r="J207" i="9"/>
  <c r="J129" i="9"/>
  <c r="J110" i="9"/>
  <c r="J54" i="9"/>
  <c r="J27" i="9"/>
  <c r="J268" i="9"/>
  <c r="J239" i="9"/>
  <c r="J222" i="9"/>
  <c r="J215" i="9"/>
  <c r="J151" i="9"/>
  <c r="J108" i="9"/>
  <c r="J52" i="9"/>
  <c r="J30" i="9"/>
  <c r="J231" i="9"/>
  <c r="J65" i="9"/>
  <c r="J264" i="9"/>
  <c r="J229" i="9"/>
  <c r="J243" i="9"/>
  <c r="J146" i="9"/>
  <c r="J48" i="9"/>
  <c r="J161" i="9"/>
  <c r="J3" i="9"/>
  <c r="J258" i="9"/>
  <c r="J172" i="9"/>
  <c r="J104" i="9"/>
  <c r="J107" i="9"/>
  <c r="J51" i="9"/>
  <c r="J86" i="9"/>
  <c r="J103" i="9"/>
  <c r="J137" i="9"/>
  <c r="J206" i="9"/>
  <c r="J31" i="9"/>
  <c r="J24" i="9"/>
  <c r="J139" i="9"/>
  <c r="J147" i="9"/>
  <c r="J252" i="9"/>
  <c r="J153" i="9"/>
  <c r="J191" i="9"/>
  <c r="J201" i="9"/>
  <c r="J154" i="9"/>
  <c r="J216" i="9"/>
  <c r="J235" i="9"/>
  <c r="J105" i="9"/>
  <c r="J60" i="9"/>
  <c r="J279" i="9"/>
  <c r="J178" i="9"/>
  <c r="J46" i="9"/>
  <c r="J286" i="9"/>
  <c r="J170" i="9"/>
  <c r="J67" i="9"/>
  <c r="J190" i="9"/>
  <c r="J33" i="9"/>
  <c r="J238" i="9"/>
  <c r="J11" i="9"/>
  <c r="J255" i="9"/>
  <c r="J112" i="9"/>
  <c r="J181" i="9"/>
  <c r="J111" i="9"/>
  <c r="J116" i="9"/>
  <c r="J233" i="9"/>
  <c r="J117" i="9"/>
  <c r="J126" i="9"/>
  <c r="J270" i="9"/>
  <c r="J144" i="9"/>
  <c r="J47" i="9"/>
  <c r="J159" i="9"/>
  <c r="J133" i="9"/>
  <c r="J96" i="9"/>
  <c r="J209" i="9"/>
  <c r="J249" i="9"/>
  <c r="J250" i="9"/>
  <c r="J142" i="9"/>
  <c r="J179" i="9"/>
  <c r="J115" i="9"/>
  <c r="J237" i="9"/>
  <c r="J283" i="9"/>
  <c r="J148" i="9"/>
  <c r="J227" i="9"/>
  <c r="J130" i="9"/>
  <c r="J267" i="9"/>
  <c r="J287" i="9"/>
  <c r="J213" i="9"/>
  <c r="J192" i="9"/>
  <c r="J265" i="9"/>
  <c r="J34" i="9"/>
  <c r="J150" i="9"/>
  <c r="J200" i="9"/>
  <c r="J100" i="9"/>
  <c r="J169" i="9"/>
  <c r="J282" i="9"/>
  <c r="J124" i="9"/>
  <c r="J74" i="9"/>
  <c r="J119" i="9"/>
  <c r="J248" i="9"/>
  <c r="J290" i="9"/>
  <c r="J174" i="9"/>
  <c r="J217" i="9"/>
  <c r="J251" i="9"/>
  <c r="J53" i="9"/>
  <c r="J85" i="9"/>
  <c r="J266" i="9"/>
  <c r="J121" i="9"/>
  <c r="J221" i="9"/>
  <c r="J162" i="9"/>
  <c r="J127" i="9"/>
  <c r="J245" i="9"/>
  <c r="J241" i="9"/>
  <c r="J166" i="9"/>
  <c r="J7" i="9"/>
  <c r="J244" i="9"/>
  <c r="J164" i="9"/>
  <c r="J177" i="9"/>
  <c r="J10" i="9"/>
  <c r="J88" i="9"/>
  <c r="J63" i="9"/>
  <c r="J171" i="9"/>
  <c r="J35" i="9"/>
  <c r="J273" i="9"/>
  <c r="J240" i="9"/>
  <c r="J132" i="9"/>
  <c r="J5" i="9"/>
  <c r="J210" i="9"/>
  <c r="J234" i="9"/>
  <c r="J17" i="9"/>
  <c r="J106" i="9"/>
  <c r="J26" i="9"/>
  <c r="J122" i="9"/>
  <c r="J58" i="9"/>
  <c r="J75" i="9"/>
  <c r="J13" i="9"/>
  <c r="J276" i="9"/>
  <c r="J80" i="9"/>
  <c r="J14" i="9"/>
  <c r="J261" i="9"/>
  <c r="J40" i="9"/>
  <c r="J8" i="9"/>
  <c r="J180" i="9"/>
  <c r="J274" i="9"/>
  <c r="J41" i="9"/>
  <c r="J81" i="9"/>
  <c r="J259" i="9"/>
  <c r="J79" i="9"/>
  <c r="J272" i="9"/>
  <c r="J271" i="9"/>
  <c r="J43" i="9"/>
  <c r="J203" i="9"/>
  <c r="O3" i="2"/>
  <c r="AA3" i="2" s="1"/>
  <c r="AB3" i="2" l="1"/>
  <c r="AC3" i="2"/>
  <c r="E62" i="9" l="1"/>
  <c r="U152" i="9" l="1"/>
  <c r="U107" i="9"/>
  <c r="U9" i="9"/>
  <c r="U101" i="9"/>
  <c r="U171" i="9"/>
  <c r="U40" i="9"/>
  <c r="U267" i="9"/>
  <c r="U70" i="9"/>
  <c r="U210" i="9"/>
  <c r="U118" i="9"/>
  <c r="U261" i="9"/>
  <c r="U206" i="9"/>
  <c r="U81" i="9"/>
  <c r="U24" i="9"/>
  <c r="U168" i="9"/>
  <c r="U89" i="9"/>
  <c r="U226" i="9"/>
  <c r="U283" i="9"/>
  <c r="U143" i="9"/>
  <c r="U189" i="9"/>
  <c r="U161" i="9"/>
  <c r="U213" i="9"/>
  <c r="U60" i="9"/>
  <c r="U275" i="9"/>
  <c r="U181" i="9"/>
  <c r="U157" i="9"/>
  <c r="U202" i="9"/>
  <c r="U77" i="9"/>
  <c r="U20" i="9"/>
  <c r="U96" i="9"/>
  <c r="U279" i="9"/>
  <c r="U139" i="9"/>
  <c r="U185" i="9"/>
  <c r="U108" i="9"/>
  <c r="U41" i="9"/>
  <c r="U177" i="9"/>
  <c r="U72" i="9"/>
  <c r="U26" i="9"/>
  <c r="U102" i="9"/>
  <c r="U289" i="9"/>
  <c r="U190" i="9"/>
  <c r="U254" i="9"/>
  <c r="U146" i="9"/>
  <c r="U57" i="9"/>
  <c r="U18" i="9"/>
  <c r="U138" i="9"/>
  <c r="U130" i="9"/>
  <c r="U166" i="9"/>
  <c r="U232" i="9"/>
  <c r="U170" i="9"/>
  <c r="U111" i="9"/>
  <c r="U218" i="9"/>
  <c r="U223" i="9"/>
  <c r="U135" i="9"/>
  <c r="U208" i="9"/>
  <c r="U124" i="9"/>
  <c r="U160" i="9"/>
  <c r="U216" i="9"/>
  <c r="U231" i="9"/>
  <c r="U262" i="9"/>
  <c r="U62" i="9"/>
  <c r="U87" i="9"/>
  <c r="U163" i="9"/>
  <c r="U7" i="9"/>
  <c r="U17" i="9"/>
  <c r="U68" i="9"/>
  <c r="U32" i="9"/>
  <c r="U234" i="9"/>
  <c r="U54" i="9"/>
  <c r="U148" i="9"/>
  <c r="U176" i="9"/>
  <c r="U65" i="9"/>
  <c r="U93" i="9"/>
  <c r="U36" i="9"/>
  <c r="U238" i="9"/>
  <c r="U105" i="9"/>
  <c r="U48" i="9"/>
  <c r="U114" i="9"/>
  <c r="U10" i="9"/>
  <c r="U286" i="9"/>
  <c r="U150" i="9"/>
  <c r="U61" i="9"/>
  <c r="U84" i="9"/>
  <c r="U38" i="9"/>
  <c r="U229" i="9"/>
  <c r="U154" i="9"/>
  <c r="U203" i="9"/>
  <c r="U88" i="9"/>
  <c r="U42" i="9"/>
  <c r="U280" i="9"/>
  <c r="U53" i="9"/>
  <c r="U120" i="9"/>
  <c r="U201" i="9"/>
  <c r="U165" i="9"/>
  <c r="U80" i="9"/>
  <c r="U266" i="9"/>
  <c r="U188" i="9"/>
  <c r="U82" i="9"/>
  <c r="U58" i="9"/>
  <c r="U273" i="9"/>
  <c r="U180" i="9"/>
  <c r="U204" i="9"/>
  <c r="U90" i="9"/>
  <c r="U220" i="9"/>
  <c r="U16" i="9"/>
  <c r="U290" i="9"/>
  <c r="U207" i="9"/>
  <c r="U259" i="9"/>
  <c r="U110" i="9"/>
  <c r="U215" i="9"/>
  <c r="U12" i="9"/>
  <c r="U221" i="9"/>
  <c r="U271" i="9"/>
  <c r="U239" i="9"/>
  <c r="U246" i="9"/>
  <c r="U174" i="9"/>
  <c r="U86" i="9"/>
  <c r="U277" i="9"/>
  <c r="U112" i="9"/>
  <c r="U158" i="9"/>
  <c r="U212" i="9"/>
  <c r="U66" i="9"/>
  <c r="U97" i="9"/>
  <c r="U244" i="9"/>
  <c r="U167" i="9"/>
  <c r="U11" i="9"/>
  <c r="U21" i="9"/>
  <c r="U233" i="9"/>
  <c r="U287" i="9"/>
  <c r="U186" i="9"/>
  <c r="U250" i="9"/>
  <c r="U151" i="9"/>
  <c r="U29" i="9"/>
  <c r="U292" i="9"/>
  <c r="U252" i="9"/>
  <c r="U169" i="9"/>
  <c r="U214" i="9"/>
  <c r="U22" i="9"/>
  <c r="U258" i="9"/>
  <c r="U109" i="9"/>
  <c r="U78" i="9"/>
  <c r="U31" i="9"/>
  <c r="U269" i="9"/>
  <c r="U242" i="9"/>
  <c r="U3" i="9"/>
  <c r="U265" i="9"/>
  <c r="U173" i="9"/>
  <c r="U43" i="9"/>
  <c r="U243" i="9"/>
  <c r="U260" i="9"/>
  <c r="U227" i="9"/>
  <c r="U147" i="9"/>
  <c r="U14" i="9"/>
  <c r="U224" i="9"/>
  <c r="U164" i="9"/>
  <c r="U4" i="9"/>
  <c r="U85" i="9"/>
  <c r="U28" i="9"/>
  <c r="U230" i="9"/>
  <c r="U140" i="9"/>
  <c r="U50" i="9"/>
  <c r="U257" i="9"/>
  <c r="U155" i="9"/>
  <c r="U5" i="9"/>
  <c r="U39" i="9"/>
  <c r="U51" i="9"/>
  <c r="U195" i="9"/>
  <c r="U63" i="9"/>
  <c r="U219" i="9"/>
  <c r="U141" i="9"/>
  <c r="U122" i="9"/>
  <c r="U222" i="9"/>
  <c r="U56" i="9"/>
  <c r="U268" i="9"/>
  <c r="U149" i="9"/>
  <c r="U59" i="9"/>
  <c r="U83" i="9"/>
  <c r="U37" i="9"/>
  <c r="U274" i="9"/>
  <c r="U49" i="9"/>
  <c r="U115" i="9"/>
  <c r="U197" i="9"/>
  <c r="U69" i="9"/>
  <c r="U211" i="9"/>
  <c r="U225" i="9"/>
  <c r="U178" i="9"/>
  <c r="U33" i="9"/>
  <c r="U270" i="9"/>
  <c r="U142" i="9"/>
  <c r="U194" i="9"/>
  <c r="U100" i="9"/>
  <c r="U183" i="9"/>
  <c r="U35" i="9"/>
  <c r="U131" i="9"/>
  <c r="U103" i="9"/>
  <c r="U291" i="9"/>
  <c r="U191" i="9"/>
  <c r="U255" i="9"/>
  <c r="U34" i="9"/>
  <c r="U46" i="9"/>
  <c r="U156" i="9"/>
  <c r="U95" i="9"/>
  <c r="U196" i="9"/>
  <c r="U47" i="9"/>
  <c r="U92" i="9"/>
  <c r="U247" i="9"/>
  <c r="U200" i="9"/>
  <c r="U193" i="9"/>
  <c r="U104" i="9"/>
  <c r="U182" i="9"/>
  <c r="U133" i="9"/>
  <c r="U205" i="9"/>
  <c r="U99" i="9"/>
  <c r="U192" i="9"/>
  <c r="U98" i="9"/>
  <c r="U288" i="9"/>
  <c r="U251" i="9"/>
  <c r="U236" i="9"/>
  <c r="U199" i="9"/>
  <c r="U19" i="9"/>
  <c r="U293" i="9"/>
  <c r="U30" i="9"/>
  <c r="U27" i="9"/>
  <c r="U159" i="9"/>
  <c r="U117" i="9"/>
  <c r="U278" i="9"/>
  <c r="U123" i="9"/>
  <c r="U217" i="9"/>
  <c r="U241" i="9"/>
  <c r="U162" i="9"/>
  <c r="U6" i="9"/>
  <c r="U15" i="9"/>
  <c r="U228" i="9"/>
  <c r="U137" i="9"/>
  <c r="U248" i="9"/>
  <c r="U132" i="9"/>
  <c r="U145" i="9"/>
  <c r="U79" i="9"/>
  <c r="U285" i="9"/>
  <c r="U245" i="9"/>
  <c r="U129" i="9"/>
  <c r="U64" i="9"/>
  <c r="U136" i="9"/>
  <c r="U119" i="9"/>
  <c r="U253" i="9"/>
  <c r="U284" i="9"/>
  <c r="U209" i="9"/>
  <c r="U128" i="9"/>
  <c r="U264" i="9"/>
  <c r="U94" i="9"/>
  <c r="U44" i="9"/>
  <c r="U172" i="9"/>
  <c r="U25" i="9"/>
  <c r="U91" i="9"/>
  <c r="U282" i="9"/>
  <c r="U134" i="9"/>
  <c r="U75" i="9"/>
  <c r="U272" i="9"/>
  <c r="U126" i="9"/>
  <c r="U76" i="9"/>
  <c r="U55" i="9"/>
  <c r="U249" i="9"/>
  <c r="U175" i="9"/>
  <c r="U237" i="9"/>
  <c r="U52" i="9"/>
  <c r="U276" i="9"/>
  <c r="U45" i="9"/>
  <c r="U116" i="9"/>
  <c r="U198" i="9"/>
  <c r="U13" i="9"/>
  <c r="U106" i="9"/>
  <c r="U256" i="9"/>
  <c r="I316" i="9"/>
  <c r="U153" i="9"/>
  <c r="U74" i="9"/>
  <c r="U235" i="9"/>
  <c r="U187" i="9"/>
  <c r="U8" i="9"/>
  <c r="U240" i="9"/>
  <c r="U113" i="9"/>
  <c r="U127" i="9"/>
  <c r="U314" i="9"/>
  <c r="U144" i="9"/>
  <c r="U67" i="9"/>
  <c r="U281" i="9"/>
  <c r="U121" i="9"/>
  <c r="U23" i="9"/>
  <c r="U179" i="9"/>
  <c r="U184" i="9"/>
  <c r="N18" i="9"/>
  <c r="N180" i="9"/>
  <c r="N67" i="9"/>
  <c r="N197" i="9"/>
  <c r="N211" i="9"/>
  <c r="N217" i="9"/>
  <c r="N276" i="9"/>
  <c r="N269" i="9"/>
  <c r="N53" i="9"/>
  <c r="N133" i="9"/>
  <c r="N223" i="9"/>
  <c r="N194" i="9"/>
  <c r="N150" i="9"/>
  <c r="N105" i="9"/>
  <c r="N16" i="9"/>
  <c r="N177" i="9"/>
  <c r="N127" i="9"/>
  <c r="N246" i="9"/>
  <c r="N23" i="9"/>
  <c r="N190" i="9"/>
  <c r="N111" i="9"/>
  <c r="N102" i="9"/>
  <c r="N255" i="9"/>
  <c r="N290" i="9"/>
  <c r="N115" i="9"/>
  <c r="N289" i="9"/>
  <c r="N154" i="9"/>
  <c r="N251" i="9"/>
  <c r="N136" i="9"/>
  <c r="N101" i="9"/>
  <c r="N183" i="9"/>
  <c r="N95" i="9"/>
  <c r="G53" i="9"/>
  <c r="N257" i="9"/>
  <c r="N61" i="9"/>
  <c r="N129" i="9"/>
  <c r="N130" i="9"/>
  <c r="G130" i="9"/>
  <c r="N209" i="9"/>
  <c r="N282" i="9"/>
  <c r="N259" i="9"/>
  <c r="N126" i="9"/>
  <c r="N239" i="9"/>
  <c r="G223" i="9"/>
  <c r="N29" i="9"/>
  <c r="G183" i="9"/>
  <c r="E49" i="9" s="1"/>
  <c r="N42" i="9"/>
  <c r="N110" i="9"/>
  <c r="N296" i="9"/>
  <c r="N155" i="9"/>
  <c r="N261" i="9"/>
  <c r="N161" i="9"/>
  <c r="N106" i="9"/>
  <c r="N202" i="9"/>
  <c r="N293" i="9"/>
  <c r="N271" i="9"/>
  <c r="N64" i="9"/>
  <c r="N33" i="9"/>
  <c r="N41" i="9"/>
  <c r="N58" i="9"/>
  <c r="N80" i="9"/>
  <c r="N298" i="9"/>
  <c r="N240" i="9"/>
  <c r="N179" i="9"/>
  <c r="N228" i="9"/>
  <c r="N191" i="9"/>
  <c r="N45" i="9"/>
  <c r="N98" i="9"/>
  <c r="N184" i="9"/>
  <c r="N143" i="9"/>
  <c r="N122" i="9"/>
  <c r="N160" i="9"/>
  <c r="N204" i="9"/>
  <c r="N167" i="9"/>
  <c r="N65" i="9"/>
  <c r="N49" i="9"/>
  <c r="N270" i="9"/>
  <c r="N141" i="9"/>
  <c r="N237" i="9"/>
  <c r="N70" i="9"/>
  <c r="N189" i="9"/>
  <c r="N252" i="9"/>
  <c r="N309" i="9"/>
  <c r="N216" i="9"/>
  <c r="N9" i="9"/>
  <c r="N287" i="9"/>
  <c r="N156" i="9"/>
  <c r="N135" i="9"/>
  <c r="N26" i="9"/>
  <c r="N266" i="9"/>
  <c r="N225" i="9"/>
  <c r="N149" i="9"/>
  <c r="N25" i="9"/>
  <c r="N278" i="9"/>
  <c r="N232" i="9"/>
  <c r="N54" i="9"/>
  <c r="G105" i="9"/>
  <c r="N300" i="9"/>
  <c r="N175" i="9"/>
  <c r="N219" i="9"/>
  <c r="G67" i="9"/>
  <c r="G276" i="9"/>
  <c r="N260" i="9"/>
  <c r="N213" i="9"/>
  <c r="G36" i="9"/>
  <c r="N36" i="9"/>
  <c r="G115" i="9"/>
  <c r="E140" i="9" s="1"/>
  <c r="G177" i="9"/>
  <c r="G290" i="9"/>
  <c r="N47" i="9"/>
  <c r="N10" i="9"/>
  <c r="N256" i="9"/>
  <c r="N206" i="9"/>
  <c r="N297" i="9"/>
  <c r="N109" i="9"/>
  <c r="N139" i="9"/>
  <c r="N196" i="9"/>
  <c r="N82" i="9"/>
  <c r="G180" i="9"/>
  <c r="G282" i="9"/>
  <c r="N44" i="9"/>
  <c r="N230" i="9"/>
  <c r="G230" i="9"/>
  <c r="E114" i="9" s="1"/>
  <c r="N205" i="9"/>
  <c r="N305" i="9"/>
  <c r="N5" i="9"/>
  <c r="N24" i="9"/>
  <c r="N203" i="9"/>
  <c r="N233" i="9"/>
  <c r="N227" i="9"/>
  <c r="N193" i="9"/>
  <c r="N220" i="9"/>
  <c r="N187" i="9"/>
  <c r="G206" i="9"/>
  <c r="N250" i="9"/>
  <c r="G164" i="9"/>
  <c r="E47" i="9" s="1"/>
  <c r="N164" i="9"/>
  <c r="G237" i="9"/>
  <c r="G189" i="9"/>
  <c r="G82" i="9"/>
  <c r="G314" i="9"/>
  <c r="N314" i="9"/>
  <c r="N117" i="9"/>
  <c r="N234" i="9"/>
  <c r="G80" i="9"/>
  <c r="N50" i="9"/>
  <c r="N174" i="9"/>
  <c r="N86" i="9"/>
  <c r="N11" i="9"/>
  <c r="N34" i="9"/>
  <c r="N121" i="9"/>
  <c r="N134" i="9"/>
  <c r="G134" i="9"/>
  <c r="G10" i="9"/>
  <c r="N285" i="9"/>
  <c r="N123" i="9"/>
  <c r="N249" i="9"/>
  <c r="N258" i="9"/>
  <c r="N120" i="9"/>
  <c r="N128" i="9"/>
  <c r="N185" i="9"/>
  <c r="N39" i="9"/>
  <c r="N13" i="9"/>
  <c r="N96" i="9"/>
  <c r="N114" i="9"/>
  <c r="N262" i="9"/>
  <c r="N48" i="9"/>
  <c r="N286" i="9"/>
  <c r="N55" i="9"/>
  <c r="G205" i="9"/>
  <c r="N40" i="9"/>
  <c r="N66" i="9"/>
  <c r="N264" i="9"/>
  <c r="G39" i="9"/>
  <c r="E134" i="9" s="1"/>
  <c r="N238" i="9"/>
  <c r="G86" i="9"/>
  <c r="E69" i="9" s="1"/>
  <c r="G156" i="9"/>
  <c r="N93" i="9"/>
  <c r="N142" i="9"/>
  <c r="N288" i="9"/>
  <c r="N166" i="9"/>
  <c r="N83" i="9"/>
  <c r="N159" i="9"/>
  <c r="N279" i="9"/>
  <c r="N247" i="9"/>
  <c r="G220" i="9"/>
  <c r="N56" i="9"/>
  <c r="N272" i="9"/>
  <c r="N231" i="9"/>
  <c r="N20" i="9"/>
  <c r="N89" i="9"/>
  <c r="G83" i="9"/>
  <c r="N208" i="9"/>
  <c r="N275" i="9"/>
  <c r="N215" i="9"/>
  <c r="N140" i="9"/>
  <c r="N146" i="9"/>
  <c r="N168" i="9"/>
  <c r="N199" i="9"/>
  <c r="G56" i="9"/>
  <c r="N153" i="9"/>
  <c r="N62" i="9"/>
  <c r="G121" i="9"/>
  <c r="N294" i="9"/>
  <c r="N277" i="9"/>
  <c r="N84" i="9"/>
  <c r="N301" i="9"/>
  <c r="N198" i="9"/>
  <c r="N248" i="9"/>
  <c r="N172" i="9"/>
  <c r="N268" i="9"/>
  <c r="N22" i="9"/>
  <c r="N92" i="9"/>
  <c r="N87" i="9"/>
  <c r="G13" i="9"/>
  <c r="E245" i="9" s="1"/>
  <c r="N147" i="9"/>
  <c r="N265" i="9"/>
  <c r="N69" i="9"/>
  <c r="G117" i="9"/>
  <c r="G305" i="9"/>
  <c r="G127" i="9"/>
  <c r="N59" i="9"/>
  <c r="G59" i="9"/>
  <c r="E298" i="9" s="1"/>
  <c r="G133" i="9"/>
  <c r="N283" i="9"/>
  <c r="G283" i="9"/>
  <c r="G217" i="9"/>
  <c r="G102" i="9"/>
  <c r="G154" i="9"/>
  <c r="G251" i="9"/>
  <c r="G213" i="9"/>
  <c r="N28" i="9"/>
  <c r="G28" i="9"/>
  <c r="G257" i="9"/>
  <c r="G101" i="9"/>
  <c r="N207" i="9"/>
  <c r="G289" i="9"/>
  <c r="G255" i="9"/>
  <c r="N157" i="9"/>
  <c r="G157" i="9"/>
  <c r="N226" i="9"/>
  <c r="N188" i="9"/>
  <c r="N243" i="9"/>
  <c r="N72" i="9"/>
  <c r="G72" i="9"/>
  <c r="N291" i="9"/>
  <c r="G209" i="9"/>
  <c r="N12" i="9"/>
  <c r="N99" i="9"/>
  <c r="N222" i="9"/>
  <c r="G139" i="9"/>
  <c r="G228" i="9"/>
  <c r="G266" i="9"/>
  <c r="N221" i="9"/>
  <c r="N60" i="9"/>
  <c r="N21" i="9"/>
  <c r="G211" i="9"/>
  <c r="G246" i="9"/>
  <c r="N162" i="9"/>
  <c r="G162" i="9"/>
  <c r="G129" i="9"/>
  <c r="E243" i="9" s="1"/>
  <c r="N131" i="9"/>
  <c r="G131" i="9"/>
  <c r="N236" i="9"/>
  <c r="G184" i="9"/>
  <c r="E50" i="9" s="1"/>
  <c r="G63" i="9"/>
  <c r="N63" i="9"/>
  <c r="N302" i="9"/>
  <c r="G302" i="9"/>
  <c r="G240" i="9"/>
  <c r="G250" i="9"/>
  <c r="G252" i="9"/>
  <c r="N90" i="9"/>
  <c r="G90" i="9"/>
  <c r="E210" i="9" s="1"/>
  <c r="G155" i="9"/>
  <c r="G249" i="9"/>
  <c r="G9" i="9"/>
  <c r="N107" i="9"/>
  <c r="N94" i="9"/>
  <c r="G270" i="9"/>
  <c r="N112" i="9"/>
  <c r="N176" i="9"/>
  <c r="N138" i="9"/>
  <c r="G138" i="9"/>
  <c r="G54" i="9"/>
  <c r="N124" i="9"/>
  <c r="N37" i="9"/>
  <c r="N116" i="9"/>
  <c r="G120" i="9"/>
  <c r="N274" i="9"/>
  <c r="G274" i="9"/>
  <c r="G182" i="9"/>
  <c r="N182" i="9"/>
  <c r="N299" i="9"/>
  <c r="G33" i="9"/>
  <c r="G141" i="9"/>
  <c r="N163" i="9"/>
  <c r="N169" i="9"/>
  <c r="G142" i="9"/>
  <c r="G45" i="9"/>
  <c r="N57" i="9"/>
  <c r="G93" i="9"/>
  <c r="G279" i="9"/>
  <c r="N235" i="9"/>
  <c r="G235" i="9"/>
  <c r="G196" i="9"/>
  <c r="E163" i="9" s="1"/>
  <c r="E164" i="9" s="1"/>
  <c r="E165" i="9" s="1"/>
  <c r="E166" i="9" s="1"/>
  <c r="E167" i="9" s="1"/>
  <c r="E168" i="9" s="1"/>
  <c r="E169" i="9" s="1"/>
  <c r="G11" i="9"/>
  <c r="G272" i="9"/>
  <c r="N32" i="9"/>
  <c r="N17" i="9"/>
  <c r="N8" i="9"/>
  <c r="N192" i="9"/>
  <c r="N242" i="9"/>
  <c r="N78" i="9"/>
  <c r="G91" i="9"/>
  <c r="N91" i="9"/>
  <c r="G89" i="9"/>
  <c r="E303" i="9" s="1"/>
  <c r="G233" i="9"/>
  <c r="G306" i="9"/>
  <c r="N306" i="9"/>
  <c r="G315" i="9"/>
  <c r="N315" i="9"/>
  <c r="F315" i="9" s="1"/>
  <c r="G300" i="9"/>
  <c r="G197" i="9"/>
  <c r="G126" i="9"/>
  <c r="G136" i="9"/>
  <c r="G239" i="9"/>
  <c r="N119" i="9"/>
  <c r="G119" i="9"/>
  <c r="N284" i="9"/>
  <c r="N19" i="9"/>
  <c r="G19" i="9"/>
  <c r="N27" i="9"/>
  <c r="G27" i="9"/>
  <c r="E70" i="9" s="1"/>
  <c r="G109" i="9"/>
  <c r="N304" i="9"/>
  <c r="G304" i="9"/>
  <c r="N229" i="9"/>
  <c r="N145" i="9"/>
  <c r="G145" i="9"/>
  <c r="N74" i="9"/>
  <c r="N218" i="9"/>
  <c r="G221" i="9"/>
  <c r="G70" i="9"/>
  <c r="G297" i="9"/>
  <c r="G216" i="9"/>
  <c r="N97" i="9"/>
  <c r="N151" i="9"/>
  <c r="G65" i="9"/>
  <c r="G191" i="9"/>
  <c r="N4" i="9"/>
  <c r="G232" i="9"/>
  <c r="G295" i="9"/>
  <c r="N295" i="9"/>
  <c r="G256" i="9"/>
  <c r="G60" i="9"/>
  <c r="G116" i="9"/>
  <c r="N171" i="9"/>
  <c r="G171" i="9"/>
  <c r="N280" i="9"/>
  <c r="G14" i="9"/>
  <c r="E246" i="9" s="1"/>
  <c r="N14" i="9"/>
  <c r="N88" i="9"/>
  <c r="G5" i="9"/>
  <c r="N308" i="9"/>
  <c r="G48" i="9"/>
  <c r="G176" i="9"/>
  <c r="G118" i="9"/>
  <c r="N118" i="9"/>
  <c r="G310" i="9"/>
  <c r="N310" i="9"/>
  <c r="N292" i="9"/>
  <c r="G124" i="9"/>
  <c r="G123" i="9"/>
  <c r="G170" i="9"/>
  <c r="N170" i="9"/>
  <c r="N137" i="9"/>
  <c r="G137" i="9"/>
  <c r="G128" i="9"/>
  <c r="E209" i="9" s="1"/>
  <c r="G85" i="9"/>
  <c r="N85" i="9"/>
  <c r="G163" i="9"/>
  <c r="E45" i="9" s="1"/>
  <c r="G148" i="9"/>
  <c r="N148" i="9"/>
  <c r="N31" i="9"/>
  <c r="G31" i="9"/>
  <c r="G260" i="9"/>
  <c r="G264" i="9"/>
  <c r="G203" i="9"/>
  <c r="G179" i="9"/>
  <c r="G37" i="9"/>
  <c r="E130" i="9" s="1"/>
  <c r="N15" i="9"/>
  <c r="G20" i="9"/>
  <c r="E106" i="9" s="1"/>
  <c r="G17" i="9"/>
  <c r="E193" i="9" s="1"/>
  <c r="G167" i="9"/>
  <c r="N212" i="9"/>
  <c r="G192" i="9"/>
  <c r="N210" i="9"/>
  <c r="G210" i="9"/>
  <c r="N201" i="9"/>
  <c r="G78" i="9"/>
  <c r="G46" i="9"/>
  <c r="N46" i="9"/>
  <c r="G284" i="9"/>
  <c r="E240" i="9"/>
  <c r="N77" i="9"/>
  <c r="G243" i="9"/>
  <c r="G64" i="9"/>
  <c r="G222" i="9"/>
  <c r="G194" i="9"/>
  <c r="G98" i="9"/>
  <c r="G227" i="9"/>
  <c r="G58" i="9"/>
  <c r="E297" i="9" s="1"/>
  <c r="N35" i="9"/>
  <c r="G99" i="9"/>
  <c r="E141" i="9" s="1"/>
  <c r="G4" i="9"/>
  <c r="N178" i="9"/>
  <c r="G143" i="9"/>
  <c r="G280" i="9"/>
  <c r="G308" i="9"/>
  <c r="N104" i="9"/>
  <c r="G292" i="9"/>
  <c r="N113" i="9"/>
  <c r="G96" i="9"/>
  <c r="N244" i="9"/>
  <c r="N144" i="9"/>
  <c r="N79" i="9"/>
  <c r="G212" i="9"/>
  <c r="G38" i="9"/>
  <c r="N38" i="9"/>
  <c r="G74" i="9"/>
  <c r="G195" i="9"/>
  <c r="N195" i="9"/>
  <c r="N181" i="9"/>
  <c r="N158" i="9"/>
  <c r="G149" i="9"/>
  <c r="G294" i="9"/>
  <c r="G158" i="9"/>
  <c r="G248" i="9"/>
  <c r="G204" i="9"/>
  <c r="G110" i="9"/>
  <c r="G236" i="9"/>
  <c r="G172" i="9"/>
  <c r="G50" i="9"/>
  <c r="G268" i="9"/>
  <c r="G208" i="9"/>
  <c r="G87" i="9"/>
  <c r="E55" i="9" s="1"/>
  <c r="G287" i="9"/>
  <c r="N200" i="9"/>
  <c r="N281" i="9"/>
  <c r="G269" i="9"/>
  <c r="G15" i="9"/>
  <c r="E262" i="9" s="1"/>
  <c r="N30" i="9"/>
  <c r="G169" i="9"/>
  <c r="E54" i="9" s="1"/>
  <c r="G69" i="9"/>
  <c r="G199" i="9"/>
  <c r="G153" i="9"/>
  <c r="N267" i="9"/>
  <c r="G32" i="9"/>
  <c r="E250" i="9" s="1"/>
  <c r="G29" i="9"/>
  <c r="N307" i="9"/>
  <c r="G307" i="9"/>
  <c r="N6" i="9"/>
  <c r="N51" i="9"/>
  <c r="G51" i="9"/>
  <c r="G161" i="9"/>
  <c r="E288" i="9" s="1"/>
  <c r="G309" i="9"/>
  <c r="G88" i="9"/>
  <c r="G40" i="9"/>
  <c r="N7" i="9"/>
  <c r="G21" i="9"/>
  <c r="E136" i="9" s="1"/>
  <c r="G238" i="9"/>
  <c r="G288" i="9"/>
  <c r="G66" i="9"/>
  <c r="G135" i="9"/>
  <c r="G25" i="9"/>
  <c r="E138" i="9" s="1"/>
  <c r="G262" i="9"/>
  <c r="G68" i="9"/>
  <c r="N68" i="9"/>
  <c r="G201" i="9"/>
  <c r="G229" i="9"/>
  <c r="E253" i="9" s="1"/>
  <c r="G107" i="9"/>
  <c r="G207" i="9"/>
  <c r="G41" i="9"/>
  <c r="G49" i="9"/>
  <c r="G226" i="9"/>
  <c r="G7" i="9"/>
  <c r="G140" i="9"/>
  <c r="G47" i="9"/>
  <c r="N303" i="9"/>
  <c r="G22" i="9"/>
  <c r="E105" i="9" s="1"/>
  <c r="G26" i="9"/>
  <c r="N254" i="9"/>
  <c r="G202" i="9"/>
  <c r="G175" i="9"/>
  <c r="G258" i="9"/>
  <c r="G75" i="9"/>
  <c r="N75" i="9"/>
  <c r="N43" i="9"/>
  <c r="N186" i="9"/>
  <c r="G186" i="9"/>
  <c r="G132" i="9"/>
  <c r="N132" i="9"/>
  <c r="G62" i="9"/>
  <c r="M316" i="9"/>
  <c r="N165" i="9"/>
  <c r="G200" i="9"/>
  <c r="G303" i="9"/>
  <c r="G43" i="9"/>
  <c r="N3" i="9"/>
  <c r="G3" i="9"/>
  <c r="G106" i="9"/>
  <c r="G190" i="9"/>
  <c r="G111" i="9"/>
  <c r="G77" i="9"/>
  <c r="G61" i="9"/>
  <c r="E304" i="9" s="1"/>
  <c r="N241" i="9"/>
  <c r="G241" i="9"/>
  <c r="N103" i="9"/>
  <c r="G103" i="9"/>
  <c r="G245" i="9"/>
  <c r="N245" i="9"/>
  <c r="G293" i="9"/>
  <c r="N253" i="9"/>
  <c r="G253" i="9"/>
  <c r="G234" i="9"/>
  <c r="G285" i="9"/>
  <c r="G178" i="9"/>
  <c r="N52" i="9"/>
  <c r="G52" i="9"/>
  <c r="G94" i="9"/>
  <c r="G104" i="9"/>
  <c r="G44" i="9"/>
  <c r="G286" i="9"/>
  <c r="G113" i="9"/>
  <c r="E135" i="9" s="1"/>
  <c r="G55" i="9"/>
  <c r="G151" i="9"/>
  <c r="G144" i="9"/>
  <c r="G166" i="9"/>
  <c r="E51" i="9" s="1"/>
  <c r="G247" i="9"/>
  <c r="G42" i="9"/>
  <c r="G231" i="9"/>
  <c r="G79" i="9"/>
  <c r="G242" i="9"/>
  <c r="E241" i="9"/>
  <c r="G174" i="9"/>
  <c r="G225" i="9"/>
  <c r="G275" i="9"/>
  <c r="G57" i="9"/>
  <c r="G168" i="9"/>
  <c r="E53" i="9" s="1"/>
  <c r="G173" i="9"/>
  <c r="N173" i="9"/>
  <c r="G97" i="9"/>
  <c r="G301" i="9"/>
  <c r="N273" i="9"/>
  <c r="G273" i="9"/>
  <c r="N152" i="9"/>
  <c r="G219" i="9"/>
  <c r="G92" i="9"/>
  <c r="N108" i="9"/>
  <c r="G108" i="9"/>
  <c r="G281" i="9"/>
  <c r="G76" i="9"/>
  <c r="N76" i="9"/>
  <c r="G30" i="9"/>
  <c r="E265" i="9" s="1"/>
  <c r="G147" i="9"/>
  <c r="G265" i="9"/>
  <c r="G188" i="9"/>
  <c r="E244" i="9" s="1"/>
  <c r="G299" i="9"/>
  <c r="G8" i="9"/>
  <c r="E192" i="9" s="1"/>
  <c r="G267" i="9"/>
  <c r="G271" i="9"/>
  <c r="N81" i="9"/>
  <c r="N224" i="9"/>
  <c r="G224" i="9"/>
  <c r="G298" i="9"/>
  <c r="G193" i="9"/>
  <c r="N214" i="9"/>
  <c r="G214" i="9"/>
  <c r="G278" i="9"/>
  <c r="G18" i="9"/>
  <c r="G146" i="9"/>
  <c r="G6" i="9"/>
  <c r="G84" i="9"/>
  <c r="G198" i="9"/>
  <c r="G152" i="9"/>
  <c r="E294" i="9" s="1"/>
  <c r="G165" i="9"/>
  <c r="E48" i="9" s="1"/>
  <c r="G150" i="9"/>
  <c r="G244" i="9"/>
  <c r="G24" i="9"/>
  <c r="E104" i="9" s="1"/>
  <c r="G181" i="9"/>
  <c r="G12" i="9"/>
  <c r="E56" i="9" s="1"/>
  <c r="G81" i="9"/>
  <c r="N100" i="9"/>
  <c r="G100" i="9"/>
  <c r="G296" i="9"/>
  <c r="G35" i="9"/>
  <c r="E285" i="9" s="1"/>
  <c r="G114" i="9"/>
  <c r="G185" i="9"/>
  <c r="G16" i="9"/>
  <c r="G159" i="9"/>
  <c r="E275" i="9" s="1"/>
  <c r="G218" i="9"/>
  <c r="E249" i="9" s="1"/>
  <c r="G215" i="9"/>
  <c r="G291" i="9"/>
  <c r="G95" i="9"/>
  <c r="G259" i="9"/>
  <c r="G261" i="9"/>
  <c r="G160" i="9"/>
  <c r="E287" i="9" s="1"/>
  <c r="G112" i="9"/>
  <c r="G34" i="9"/>
  <c r="E252" i="9" s="1"/>
  <c r="G277" i="9"/>
  <c r="G122" i="9"/>
  <c r="E208" i="9" s="1"/>
  <c r="G254" i="9"/>
  <c r="G23" i="9"/>
  <c r="E137" i="9" s="1"/>
  <c r="H313" i="9" l="1"/>
  <c r="H311" i="9"/>
  <c r="H263" i="9"/>
  <c r="H315" i="9"/>
  <c r="E299" i="9"/>
  <c r="E295" i="9"/>
  <c r="E52" i="9"/>
  <c r="E239" i="9"/>
  <c r="E190" i="9"/>
  <c r="E309" i="9"/>
  <c r="E302" i="9"/>
  <c r="F317" i="9"/>
  <c r="E120" i="9"/>
  <c r="E132" i="9"/>
  <c r="E3" i="9"/>
  <c r="E128" i="9"/>
  <c r="E115" i="9"/>
  <c r="E118" i="9"/>
  <c r="E119" i="9"/>
  <c r="E123" i="9"/>
  <c r="E187" i="9"/>
  <c r="E133" i="9"/>
  <c r="E131" i="9"/>
  <c r="E144" i="9"/>
  <c r="E124" i="9"/>
  <c r="E112" i="9"/>
  <c r="E264" i="9"/>
  <c r="E257" i="9"/>
  <c r="H314" i="9"/>
  <c r="E307" i="9"/>
  <c r="E258" i="9" s="1"/>
  <c r="E68" i="9" s="1"/>
  <c r="E127" i="9"/>
  <c r="E315" i="9"/>
  <c r="E296" i="9"/>
  <c r="E125" i="9"/>
  <c r="E174" i="9" s="1"/>
  <c r="E175" i="9" s="1"/>
  <c r="E122" i="9"/>
  <c r="G316" i="9"/>
  <c r="E300" i="9" l="1"/>
  <c r="E247" i="9"/>
  <c r="E301" i="9"/>
  <c r="E248" i="9"/>
  <c r="H105" i="9"/>
  <c r="H80" i="9"/>
  <c r="H67" i="9"/>
  <c r="H36" i="9"/>
  <c r="H86" i="9"/>
  <c r="H83" i="9"/>
  <c r="H134" i="9"/>
  <c r="H56" i="9"/>
  <c r="H217" i="9"/>
  <c r="H157" i="9"/>
  <c r="H249" i="9"/>
  <c r="H141" i="9"/>
  <c r="H91" i="9"/>
  <c r="H239" i="9"/>
  <c r="H295" i="9"/>
  <c r="H176" i="9"/>
  <c r="H260" i="9"/>
  <c r="H194" i="9"/>
  <c r="H294" i="9"/>
  <c r="H287" i="9"/>
  <c r="H51" i="9"/>
  <c r="H135" i="9"/>
  <c r="H175" i="9"/>
  <c r="H77" i="9"/>
  <c r="H113" i="9"/>
  <c r="H168" i="9"/>
  <c r="H271" i="9"/>
  <c r="H24" i="9"/>
  <c r="H34" i="9"/>
  <c r="H201" i="9"/>
  <c r="H62" i="9"/>
  <c r="H103" i="9"/>
  <c r="H6" i="9"/>
  <c r="H215" i="9"/>
  <c r="H190" i="9"/>
  <c r="H53" i="9"/>
  <c r="H10" i="9"/>
  <c r="H102" i="9"/>
  <c r="H211" i="9"/>
  <c r="H9" i="9"/>
  <c r="H197" i="9"/>
  <c r="H221" i="9"/>
  <c r="H85" i="9"/>
  <c r="H210" i="9"/>
  <c r="H307" i="9"/>
  <c r="H41" i="9"/>
  <c r="H55" i="9"/>
  <c r="H92" i="9"/>
  <c r="H100" i="9"/>
  <c r="H84" i="9"/>
  <c r="H130" i="9"/>
  <c r="H230" i="9"/>
  <c r="H220" i="9"/>
  <c r="H90" i="9"/>
  <c r="H256" i="9"/>
  <c r="H264" i="9"/>
  <c r="H4" i="9"/>
  <c r="H158" i="9"/>
  <c r="H309" i="9"/>
  <c r="H229" i="9"/>
  <c r="H253" i="9"/>
  <c r="H147" i="9"/>
  <c r="H164" i="9"/>
  <c r="H251" i="9"/>
  <c r="H209" i="9"/>
  <c r="H142" i="9"/>
  <c r="H233" i="9"/>
  <c r="H297" i="9"/>
  <c r="H48" i="9"/>
  <c r="H163" i="9"/>
  <c r="H192" i="9"/>
  <c r="H58" i="9"/>
  <c r="H248" i="9"/>
  <c r="H169" i="9"/>
  <c r="H107" i="9"/>
  <c r="H111" i="9"/>
  <c r="H286" i="9"/>
  <c r="H97" i="9"/>
  <c r="H267" i="9"/>
  <c r="H159" i="9"/>
  <c r="H223" i="9"/>
  <c r="H290" i="9"/>
  <c r="H13" i="9"/>
  <c r="H213" i="9"/>
  <c r="H228" i="9"/>
  <c r="H270" i="9"/>
  <c r="H45" i="9"/>
  <c r="H306" i="9"/>
  <c r="H116" i="9"/>
  <c r="H170" i="9"/>
  <c r="H179" i="9"/>
  <c r="H143" i="9"/>
  <c r="H15" i="9"/>
  <c r="H207" i="9"/>
  <c r="H200" i="9"/>
  <c r="H293" i="9"/>
  <c r="H166" i="9"/>
  <c r="H301" i="9"/>
  <c r="H298" i="9"/>
  <c r="H114" i="9"/>
  <c r="H23" i="9"/>
  <c r="H110" i="9"/>
  <c r="H303" i="9"/>
  <c r="H225" i="9"/>
  <c r="H165" i="9"/>
  <c r="H277" i="9"/>
  <c r="H44" i="9"/>
  <c r="H150" i="9"/>
  <c r="H276" i="9"/>
  <c r="H156" i="9"/>
  <c r="H129" i="9"/>
  <c r="H54" i="9"/>
  <c r="H191" i="9"/>
  <c r="H243" i="9"/>
  <c r="H199" i="9"/>
  <c r="H161" i="9"/>
  <c r="H26" i="9"/>
  <c r="H247" i="9"/>
  <c r="H108" i="9"/>
  <c r="H261" i="9"/>
  <c r="H12" i="9"/>
  <c r="H183" i="9"/>
  <c r="H189" i="9"/>
  <c r="H127" i="9"/>
  <c r="H246" i="9"/>
  <c r="H235" i="9"/>
  <c r="H119" i="9"/>
  <c r="H284" i="9"/>
  <c r="H308" i="9"/>
  <c r="H236" i="9"/>
  <c r="H40" i="9"/>
  <c r="H49" i="9"/>
  <c r="H291" i="9"/>
  <c r="H82" i="9"/>
  <c r="H139" i="9"/>
  <c r="H155" i="9"/>
  <c r="H93" i="9"/>
  <c r="H136" i="9"/>
  <c r="H310" i="9"/>
  <c r="H31" i="9"/>
  <c r="H78" i="9"/>
  <c r="H212" i="9"/>
  <c r="H172" i="9"/>
  <c r="H226" i="9"/>
  <c r="H241" i="9"/>
  <c r="H144" i="9"/>
  <c r="H76" i="9"/>
  <c r="H224" i="9"/>
  <c r="H244" i="9"/>
  <c r="H95" i="9"/>
  <c r="H273" i="9"/>
  <c r="H117" i="9"/>
  <c r="H101" i="9"/>
  <c r="H162" i="9"/>
  <c r="H138" i="9"/>
  <c r="H279" i="9"/>
  <c r="H300" i="9"/>
  <c r="H216" i="9"/>
  <c r="H14" i="9"/>
  <c r="H128" i="9"/>
  <c r="H17" i="9"/>
  <c r="H292" i="9"/>
  <c r="H204" i="9"/>
  <c r="H69" i="9"/>
  <c r="H7" i="9"/>
  <c r="H285" i="9"/>
  <c r="H79" i="9"/>
  <c r="H219" i="9"/>
  <c r="H278" i="9"/>
  <c r="H218" i="9"/>
  <c r="H99" i="9"/>
  <c r="H268" i="9"/>
  <c r="H140" i="9"/>
  <c r="H106" i="9"/>
  <c r="H193" i="9"/>
  <c r="H181" i="9"/>
  <c r="H186" i="9"/>
  <c r="H151" i="9"/>
  <c r="H296" i="9"/>
  <c r="H206" i="9"/>
  <c r="H305" i="9"/>
  <c r="H72" i="9"/>
  <c r="H184" i="9"/>
  <c r="H120" i="9"/>
  <c r="H19" i="9"/>
  <c r="H5" i="9"/>
  <c r="H37" i="9"/>
  <c r="H98" i="9"/>
  <c r="H88" i="9"/>
  <c r="H178" i="9"/>
  <c r="H242" i="9"/>
  <c r="H30" i="9"/>
  <c r="H75" i="9"/>
  <c r="H16" i="9"/>
  <c r="H115" i="9"/>
  <c r="H205" i="9"/>
  <c r="H154" i="9"/>
  <c r="H63" i="9"/>
  <c r="H89" i="9"/>
  <c r="H145" i="9"/>
  <c r="H171" i="9"/>
  <c r="H64" i="9"/>
  <c r="H96" i="9"/>
  <c r="H208" i="9"/>
  <c r="H288" i="9"/>
  <c r="H47" i="9"/>
  <c r="H275" i="9"/>
  <c r="H177" i="9"/>
  <c r="H121" i="9"/>
  <c r="H257" i="9"/>
  <c r="H131" i="9"/>
  <c r="H274" i="9"/>
  <c r="H196" i="9"/>
  <c r="H27" i="9"/>
  <c r="H232" i="9"/>
  <c r="H123" i="9"/>
  <c r="H203" i="9"/>
  <c r="H187" i="9"/>
  <c r="H195" i="9"/>
  <c r="H87" i="9"/>
  <c r="H66" i="9"/>
  <c r="H202" i="9"/>
  <c r="H234" i="9"/>
  <c r="H231" i="9"/>
  <c r="H265" i="9"/>
  <c r="H214" i="9"/>
  <c r="H81" i="9"/>
  <c r="H112" i="9"/>
  <c r="H281" i="9"/>
  <c r="H59" i="9"/>
  <c r="H255" i="9"/>
  <c r="H252" i="9"/>
  <c r="H182" i="9"/>
  <c r="H11" i="9"/>
  <c r="H65" i="9"/>
  <c r="H148" i="9"/>
  <c r="H46" i="9"/>
  <c r="H38" i="9"/>
  <c r="H50" i="9"/>
  <c r="H32" i="9"/>
  <c r="H21" i="9"/>
  <c r="H22" i="9"/>
  <c r="H3" i="9"/>
  <c r="H94" i="9"/>
  <c r="H174" i="9"/>
  <c r="H188" i="9"/>
  <c r="H152" i="9"/>
  <c r="H259" i="9"/>
  <c r="H238" i="9"/>
  <c r="H258" i="9"/>
  <c r="H61" i="9"/>
  <c r="H18" i="9"/>
  <c r="H185" i="9"/>
  <c r="H43" i="9"/>
  <c r="H42" i="9"/>
  <c r="H160" i="9"/>
  <c r="H237" i="9"/>
  <c r="H133" i="9"/>
  <c r="H266" i="9"/>
  <c r="H302" i="9"/>
  <c r="H272" i="9"/>
  <c r="H109" i="9"/>
  <c r="H118" i="9"/>
  <c r="H167" i="9"/>
  <c r="H280" i="9"/>
  <c r="H29" i="9"/>
  <c r="H25" i="9"/>
  <c r="H104" i="9"/>
  <c r="H173" i="9"/>
  <c r="H299" i="9"/>
  <c r="H146" i="9"/>
  <c r="H122" i="9"/>
  <c r="H180" i="9"/>
  <c r="H39" i="9"/>
  <c r="H28" i="9"/>
  <c r="H240" i="9"/>
  <c r="H126" i="9"/>
  <c r="H70" i="9"/>
  <c r="H124" i="9"/>
  <c r="H227" i="9"/>
  <c r="H74" i="9"/>
  <c r="H153" i="9"/>
  <c r="H262" i="9"/>
  <c r="H245" i="9"/>
  <c r="H282" i="9"/>
  <c r="H283" i="9"/>
  <c r="H289" i="9"/>
  <c r="H250" i="9"/>
  <c r="H33" i="9"/>
  <c r="H304" i="9"/>
  <c r="H60" i="9"/>
  <c r="H137" i="9"/>
  <c r="H20" i="9"/>
  <c r="H222" i="9"/>
  <c r="H149" i="9"/>
  <c r="H269" i="9"/>
  <c r="H68" i="9"/>
  <c r="H132" i="9"/>
  <c r="H52" i="9"/>
  <c r="H57" i="9"/>
  <c r="H198" i="9"/>
  <c r="H35" i="9"/>
  <c r="H254" i="9"/>
  <c r="H8" i="9"/>
  <c r="F320" i="9"/>
  <c r="E201" i="9" s="1"/>
  <c r="F318" i="9"/>
  <c r="L317" i="9" l="1"/>
  <c r="H317" i="9"/>
  <c r="E176" i="9" l="1"/>
  <c r="E177" i="9" s="1"/>
  <c r="E314" i="9" s="1"/>
  <c r="E63" i="9" s="1"/>
  <c r="E107" i="9" s="1"/>
  <c r="E108" i="9" s="1"/>
  <c r="E109" i="9" s="1"/>
  <c r="E178" i="9" s="1"/>
  <c r="E110" i="9" s="1"/>
  <c r="E57" i="9" s="1"/>
  <c r="E58" i="9" s="1"/>
  <c r="E59" i="9" s="1"/>
  <c r="E60" i="9" s="1"/>
  <c r="E61" i="9" s="1"/>
  <c r="E179" i="9" s="1"/>
  <c r="E202" i="9" s="1"/>
  <c r="E203" i="9" s="1"/>
  <c r="E204" i="9" s="1"/>
  <c r="E205" i="9" s="1"/>
  <c r="E206" i="9" s="1"/>
  <c r="E207" i="9" s="1"/>
  <c r="E111" i="9" s="1"/>
  <c r="E211" i="9" s="1"/>
  <c r="E4" i="9" s="1"/>
  <c r="E5" i="9" s="1"/>
  <c r="E44" i="9" s="1"/>
  <c r="E212" i="9" s="1"/>
  <c r="E213" i="9" s="1"/>
  <c r="E64" i="9" s="1"/>
  <c r="E65" i="9" s="1"/>
  <c r="E6" i="9" s="1"/>
  <c r="E7" i="9" s="1"/>
  <c r="E8" i="9" s="1"/>
  <c r="E9" i="9" s="1"/>
  <c r="E10" i="9" s="1"/>
  <c r="E11" i="9" s="1"/>
  <c r="E214" i="9" s="1"/>
  <c r="E215" i="9" s="1"/>
  <c r="E216" i="9" s="1"/>
  <c r="E217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218" i="9" s="1"/>
  <c r="E219" i="9" s="1"/>
  <c r="E101" i="9" s="1"/>
  <c r="E94" i="9" s="1"/>
  <c r="E66" i="9" s="1"/>
  <c r="E67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220" i="9" s="1"/>
  <c r="E221" i="9" s="1"/>
  <c r="E100" i="9" s="1"/>
  <c r="E222" i="9" s="1"/>
  <c r="E223" i="9" s="1"/>
  <c r="E224" i="9" s="1"/>
  <c r="E225" i="9" s="1"/>
  <c r="E43" i="9" s="1"/>
  <c r="E95" i="9" s="1"/>
  <c r="E96" i="9" s="1"/>
  <c r="E97" i="9" s="1"/>
  <c r="E98" i="9" s="1"/>
  <c r="E99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102" i="9" s="1"/>
  <c r="E103" i="9" s="1"/>
  <c r="E266" i="9" s="1"/>
  <c r="E267" i="9" s="1"/>
  <c r="E268" i="9" s="1"/>
  <c r="E269" i="9" s="1"/>
  <c r="E270" i="9" s="1"/>
  <c r="E271" i="9" s="1"/>
  <c r="E272" i="9" s="1"/>
  <c r="E145" i="9"/>
  <c r="E146" i="9" s="1"/>
  <c r="E147" i="9" s="1"/>
  <c r="E148" i="9" s="1"/>
  <c r="E149" i="9" s="1"/>
  <c r="E150" i="9" s="1"/>
  <c r="E151" i="9" s="1"/>
  <c r="E152" i="9" s="1"/>
  <c r="E153" i="9" s="1"/>
  <c r="E154" i="9" s="1"/>
  <c r="E180" i="9" s="1"/>
  <c r="E259" i="9" s="1"/>
  <c r="E155" i="9" s="1"/>
  <c r="E260" i="9" s="1"/>
  <c r="E170" i="9" s="1"/>
  <c r="E171" i="9" s="1"/>
  <c r="E172" i="9" s="1"/>
  <c r="E173" i="9" s="1"/>
  <c r="E156" i="9" s="1"/>
  <c r="E157" i="9" s="1"/>
  <c r="E158" i="9" s="1"/>
  <c r="E159" i="9" s="1"/>
  <c r="E160" i="9" s="1"/>
  <c r="E261" i="9" s="1"/>
  <c r="E161" i="9" s="1"/>
  <c r="E162" i="9" s="1"/>
</calcChain>
</file>

<file path=xl/comments1.xml><?xml version="1.0" encoding="utf-8"?>
<comments xmlns="http://schemas.openxmlformats.org/spreadsheetml/2006/main">
  <authors>
    <author>ARKADEJ PONGSAKDI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ARKADEJ PONGSAKDI:</t>
        </r>
        <r>
          <rPr>
            <sz val="9"/>
            <color indexed="81"/>
            <rFont val="Tahoma"/>
            <family val="2"/>
          </rPr>
          <t xml:space="preserve">
ไม่ควรเกิน 5 เพราะ internal coating มีอายุไม่เท่า external coating มีโอกาสเสียหาย และไม่ protect ตรง weld joint</t>
        </r>
      </text>
    </comment>
  </commentList>
</comments>
</file>

<file path=xl/comments2.xml><?xml version="1.0" encoding="utf-8"?>
<comments xmlns="http://schemas.openxmlformats.org/spreadsheetml/2006/main">
  <authors>
    <author>ARKADEJ PONGSAKDI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ถ้ามี Concrete coating จะช่วยลดการ Failure?</t>
        </r>
      </text>
    </comment>
  </commentList>
</comments>
</file>

<file path=xl/comments3.xml><?xml version="1.0" encoding="utf-8"?>
<comments xmlns="http://schemas.openxmlformats.org/spreadsheetml/2006/main">
  <authors>
    <author>support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ผลจาก Summary Report
และ CIPS/DCVG 2556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 ระบบ Sacrificial Anode
ผลจาก Summary Report
และ CIPS/DCVG 2556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
Over Protection 60% ของเส้นท่อ ข้อมูลมาจาก Summary Report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ข้อมูลจาก Summary Report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Sacrificial Anode อาจจะมีสายขาดเกิดขึ้น
ข้อมูลจาก Summary Report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Sacrificial Anode 
Over Protection ทั้งเส้น
ข้อมูลจาก Summary Report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Sacrificial Anode 
ข้อมูลจาก Summary Report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support:
ระบบ Sacrificial Anode
Over Protection
ผล summary report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Sacrificial Anode
Over Protection 80% ของเส้นท่อ ข้อมูล Summary Report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</rPr>
          <t>support:
ระบบ Sacrificial Anode
Over protection
ผล summary report</t>
        </r>
      </text>
    </comment>
    <comment ref="I4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Sacrificial Anode 
Over Protection ทั้งเส้น
ข้อมูลจาก Summary Report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ข้อมูลจาก Summary Report
และ ผล CIPS/DCVG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
Over protection ประมาณ 10% ของเส้นท่อ
จากผล CIPS/DCVG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 Over Protection ทั้งเส้น
ผลจาก Summary Report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 summary report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 summary report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Sacrificial Anode
ไม่มีข้อมูลการวัดหลายจุด
ผลจาก Summary Report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 และ Impress Current ได้ผลจาก Summary Report 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ข้อมูลจาก Summary Report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Over Protection 80% ของท่อ ข้อมูลจาก Summary Report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ข้อมูลจาก Summary Report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ผสม Sacrificial Anode
Over Protection
ผลจาก Summary Report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
ผลจาก Summary Report
และ CIPS/DCVG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ข้อมูลจาก Summary Report</t>
        </r>
      </text>
    </comment>
    <comment ref="I7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ข้อมูลจาก Summary Report</t>
        </r>
      </text>
    </comment>
    <comment ref="I8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ผสม Sacrificial Anode
Over Protection
ข้อมูลจาก Summary Report</t>
        </r>
      </text>
    </comment>
    <comment ref="I9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ทั้งเส้น
ข้อมูลจาก Summary Report</t>
        </r>
      </text>
    </comment>
    <comment ref="I9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ทั้งเส้น
ข้อมูลจาก Summary Report</t>
        </r>
      </text>
    </comment>
    <comment ref="I10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และ Sacrificial Anode 
Over Protection ทั้งเส้น 
ผลจาก Summary Report</t>
        </r>
      </text>
    </comment>
    <comment ref="I10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กับ Sacrificial Anode Overprotection ทั้งเส้น
ข้อมูลจาก Summary Report</t>
        </r>
      </text>
    </comment>
    <comment ref="I11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และ Sacrificial Anode 
Over Protection ทั้งเส้น
ผลจาก summary report</t>
        </r>
      </text>
    </comment>
    <comment ref="I11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และ Sacrificial Anode 
Over Protection ทั้งเส้น
ผลจาก summary report</t>
        </r>
      </text>
    </comment>
    <comment ref="I11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
Under Protection เนื่อง IF Short ผลจาก summary report</t>
        </r>
      </text>
    </comment>
    <comment ref="I13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4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และ Sacrificial Anode
Over Protection 
ผลจาก summary report</t>
        </r>
      </text>
    </comment>
    <comment ref="I14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Impress current และ Sacrificial Anode 
Over Protection 
ผลจาก summary report</t>
        </r>
      </text>
    </comment>
    <comment ref="I14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4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4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
Over Protection ทั้งเส้น
ผลจาก summary report กับ CIPS/DCVG</t>
        </r>
      </text>
    </comment>
    <comment ref="I15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
Over Protection ทั้งเส้น</t>
        </r>
      </text>
    </comment>
    <comment ref="I15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5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5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และ Sacrificial Anode
ผลจาก summary report
Over Protection ทั้งเส้น</t>
        </r>
      </text>
    </comment>
    <comment ref="I15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5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5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Scrificial Anode
ผลจาก summary report
Over Protection ทั้งเส้น</t>
        </r>
      </text>
    </comment>
    <comment ref="I16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OverProtection 30% ของเส้นท่อ</t>
        </r>
      </text>
    </comment>
    <comment ref="I16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 Protection </t>
        </r>
      </text>
    </comment>
    <comment ref="I16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 Protection</t>
        </r>
      </text>
    </comment>
    <comment ref="I16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Scrificial Anode
ผลจาก summary report
Over Protection</t>
        </r>
      </text>
    </comment>
    <comment ref="I16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 Protection ทั้งเส้น</t>
        </r>
      </text>
    </comment>
    <comment ref="I16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 Protection ทั้งเส้น</t>
        </r>
      </text>
    </comment>
    <comment ref="I16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6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6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6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17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 Protection ทั้งเส้น</t>
        </r>
      </text>
    </comment>
    <comment ref="I17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และ Sacrificial Anode
ผลจาก summary report
Over Protection ทั้งเส้น</t>
        </r>
      </text>
    </comment>
    <comment ref="I17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1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Over Protection ประมาณ 50% ของเส้นท่อ ระบบ Impress Current
ผล CIPS/DCVG 2012 และ
summary report</t>
        </r>
      </text>
    </comment>
    <comment ref="I21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Over Protection 80% ของเส้นท่อ
จากผล summary report
กับ CIPS/DCVG 2009</t>
        </r>
      </text>
    </comment>
    <comment ref="I21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1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1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 
Over Protection ทั้งเส้น
ผลจาก summary report
และ CIPS/DCVG 2012</t>
        </r>
      </text>
    </comment>
    <comment ref="I21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
Over Protection</t>
        </r>
      </text>
    </comment>
    <comment ref="I21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
Over Protection ทั้งเส้น</t>
        </r>
      </text>
    </comment>
    <comment ref="I21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
Over Protection มีจุด Interference</t>
        </r>
      </text>
    </comment>
    <comment ref="I22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2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
และ CIPS/DCVG 2012</t>
        </r>
      </text>
    </comment>
    <comment ref="I22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2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 Overprotection 
ผลจาก summary report</t>
        </r>
      </text>
    </comment>
    <comment ref="I22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2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ผลจาก summary report</t>
        </r>
      </text>
    </comment>
    <comment ref="I22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ผลจาก summary report
</t>
        </r>
      </text>
    </comment>
    <comment ref="I22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ผลจาก summary report</t>
        </r>
      </text>
    </comment>
    <comment ref="I23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ผลจาก summary report</t>
        </r>
      </text>
    </comment>
    <comment ref="I23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ผลจาก summary report</t>
        </r>
      </text>
    </comment>
    <comment ref="I23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ผลจาก summary report</t>
        </r>
      </text>
    </comment>
    <comment ref="I23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Sacrifical Anode
Over Protection 
ผลจาก summary report
ผล CIPS/DCVG 2012
(ข้อมูลไม่สมบูรณ์)</t>
        </r>
      </text>
    </comment>
    <comment ref="I237" authorId="0" shapeId="0">
      <text>
        <r>
          <rPr>
            <b/>
            <sz val="9"/>
            <color indexed="81"/>
            <rFont val="Tahoma"/>
            <family val="2"/>
          </rPr>
          <t xml:space="preserve">support:
</t>
        </r>
        <r>
          <rPr>
            <sz val="9"/>
            <color indexed="81"/>
            <rFont val="Tahoma"/>
            <family val="2"/>
          </rPr>
          <t>ระบบ Impress current
ผลจาก summary report</t>
        </r>
      </text>
    </comment>
    <comment ref="I23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CIPS/DCVG 2012
ผลจาก summary report</t>
        </r>
      </text>
    </comment>
    <comment ref="I23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4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ผลจาก summary report</t>
        </r>
      </text>
    </comment>
    <comment ref="I24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Over protection ทั้งเส้น
ผลของ summary report</t>
        </r>
      </text>
    </comment>
    <comment ref="I24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Over Protection ทั้งเส้น
ผลจาก summary report</t>
        </r>
      </text>
    </comment>
    <comment ref="I24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
ผลจาก summary report</t>
        </r>
      </text>
    </comment>
    <comment ref="I24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ผลจาก summary report</t>
        </r>
      </text>
    </comment>
    <comment ref="I24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
ผลจาก summary report</t>
        </r>
      </text>
    </comment>
    <comment ref="I24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
ผลจาก summary report</t>
        </r>
      </text>
    </comment>
    <comment ref="I25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
ผลจาก summary report</t>
        </r>
      </text>
    </comment>
    <comment ref="I25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เป็นระบบ Sacrificial Anode Over ทั้งเส้น</t>
        </r>
      </text>
    </comment>
    <comment ref="I25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 
จากผล summary report
</t>
        </r>
      </text>
    </comment>
    <comment ref="I25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Over Prorection 90%
ของเส้นท่อ
ผล summary report</t>
        </r>
      </text>
    </comment>
    <comment ref="I25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Under Protection ประมาณ 40% ของท่อ ระบบ Impress current
จากผล CIPS/DCVG 2009
summary report</t>
        </r>
      </text>
    </comment>
    <comment ref="I25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5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 summary report</t>
        </r>
      </text>
    </comment>
    <comment ref="I25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 summary report</t>
        </r>
      </text>
    </comment>
    <comment ref="I26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6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6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 summary report</t>
        </r>
      </text>
    </comment>
    <comment ref="I26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6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68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69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70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7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7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Over Protection
ผล summary report</t>
        </r>
      </text>
    </comment>
    <comment ref="I28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Sacrificial Anode
ผล summary report</t>
        </r>
      </text>
    </comment>
    <comment ref="I28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283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284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30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311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315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316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317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  <comment ref="I322" authorId="0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ระบบ Impress Current
ผล summary report</t>
        </r>
      </text>
    </comment>
  </commentList>
</comments>
</file>

<file path=xl/comments4.xml><?xml version="1.0" encoding="utf-8"?>
<comments xmlns="http://schemas.openxmlformats.org/spreadsheetml/2006/main">
  <authors>
    <author>ARKADEJ PONGSAKDI</author>
    <author>support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ถ้ามี Concrete coating จะช่วยลดการ Failure?</t>
        </r>
      </text>
    </comment>
    <comment ref="C3" authorId="1" shapeId="0">
      <text>
        <r>
          <rPr>
            <b/>
            <sz val="9"/>
            <color indexed="81"/>
            <rFont val="Tahoma"/>
            <family val="2"/>
          </rPr>
          <t>support:</t>
        </r>
        <r>
          <rPr>
            <sz val="9"/>
            <color indexed="81"/>
            <rFont val="Tahoma"/>
            <family val="2"/>
          </rPr>
          <t xml:space="preserve">
เป็นตัวแปรที่แก้ยาก ถ้าหากใช้เงินจะต้องใช้เงินมหาศาลในการเปลี่ยน</t>
        </r>
      </text>
    </comment>
    <comment ref="C9" authorId="1" shapeId="0">
      <text>
        <r>
          <rPr>
            <b/>
            <sz val="9"/>
            <color indexed="81"/>
            <rFont val="Tahoma"/>
            <family val="2"/>
          </rPr>
          <t>support:สามารถเปลี่ยนแปลงแล้วทำให้Risk ลดลงได่</t>
        </r>
      </text>
    </comment>
  </commentList>
</comments>
</file>

<file path=xl/sharedStrings.xml><?xml version="1.0" encoding="utf-8"?>
<sst xmlns="http://schemas.openxmlformats.org/spreadsheetml/2006/main" count="12934" uniqueCount="991">
  <si>
    <t>Internal Corrosion Risk Assessment Parameter</t>
  </si>
  <si>
    <t>Yes</t>
  </si>
  <si>
    <t>No</t>
  </si>
  <si>
    <t>Transmission</t>
  </si>
  <si>
    <t>Distribution</t>
  </si>
  <si>
    <t>Onshore</t>
  </si>
  <si>
    <t>Offshore</t>
  </si>
  <si>
    <t>Min Operating Temperature &gt; Dew Point</t>
  </si>
  <si>
    <t>ค่า Moisture content และ Operting Temperature มีโอกาสทำให้เกิดน้ำได้หรือไม่</t>
  </si>
  <si>
    <t>ความถี่ในการเกิด Upset ทำให้อุณหภูมิต่ำกว่าปกติ หรือค่าน้ำสูงกว่าปกติ และทำให้มี Liquid water เข้ามาในท่อส่งก๊าซ</t>
  </si>
  <si>
    <t>โดยค่าน้ำสามารถใช้ค่าที่จุดวัดของท่อเส้นอื่นเป็นตัวแทนได้ในกรณีที่เนื้อก๊าซเป็นตัวเดียวกัน</t>
  </si>
  <si>
    <t>Internal Coating</t>
  </si>
  <si>
    <t>Failure due to IC</t>
  </si>
  <si>
    <t>Evidence of internal corrosion from construction</t>
  </si>
  <si>
    <t>Inhibitor Efficiency</t>
  </si>
  <si>
    <t xml:space="preserve">มี Internal Coating หรือไม่ ในกรณีที่มี Internal coating จะถือว่าลดความเสี่ยงจากการเกิด IC </t>
  </si>
  <si>
    <t>No information on evidence of IC</t>
  </si>
  <si>
    <t xml:space="preserve">ข้อมูล Evidence การเกิด IC สามารถดูได้จาก Corrosion coupon, การถอด metering run การตรวจ UT ตอนขุดเปิดท่อ, ผล MFL </t>
  </si>
  <si>
    <t>ในกรณีที่ไม่มีข้อมูลการเกิด IC เลยให้ใช้ค่าประมาณ 4</t>
  </si>
  <si>
    <t>Efficient Inhibitor Injected</t>
  </si>
  <si>
    <t xml:space="preserve">Inhibitor not Required </t>
  </si>
  <si>
    <t>No Inhibitor Injected</t>
  </si>
  <si>
    <t>ในกรณีที่พบว่ามีโอกาสที่น้ำเข้าท่อ แต่ไม่มีการฉีด Inhibitor</t>
  </si>
  <si>
    <t>Monitor</t>
  </si>
  <si>
    <t>Hourly</t>
  </si>
  <si>
    <t>Daily</t>
  </si>
  <si>
    <t>Weekly</t>
  </si>
  <si>
    <t>Monthly</t>
  </si>
  <si>
    <t>Every 3 months</t>
  </si>
  <si>
    <t>Every 6 months</t>
  </si>
  <si>
    <t>Yearly</t>
  </si>
  <si>
    <t>Never</t>
  </si>
  <si>
    <t>ความถี่ในการ Monitor ค่าน้ำ</t>
  </si>
  <si>
    <t>กรณีแบบ online ใช้ hourly</t>
  </si>
  <si>
    <t>CO2 content</t>
  </si>
  <si>
    <t>CO2 %mol &gt;2</t>
  </si>
  <si>
    <t>H2S content</t>
  </si>
  <si>
    <t>ค่า 2% Reference มาจาก NACE SP0106 กรณีที่มากกว่านี้ถือว่าเป็น High CO2 gas</t>
  </si>
  <si>
    <t>Partial pressure H2S &lt;= 0.05</t>
  </si>
  <si>
    <t>Partial pressure H2S &gt; 0.05</t>
  </si>
  <si>
    <t>ไม่รวม distribution เพราะท่อ operate ที่ low pressure H2S มีผลน้อย</t>
  </si>
  <si>
    <t>Presence of liquid</t>
  </si>
  <si>
    <t>No liquid found</t>
  </si>
  <si>
    <t>Liquid found without Lab analysis</t>
  </si>
  <si>
    <t>ไม่เคยมีรายงานการพบ liquid ในท่อเส้นนี้</t>
  </si>
  <si>
    <t>พบ liquid แต่วิเคราะห์แล้วไม่มีผลต่อการเกิด corrosion</t>
  </si>
  <si>
    <t>พบ liquid แต่ไม่ได้ทำการเก็บตัวอย่างวิเคราะห์</t>
  </si>
  <si>
    <t>พบ liquid  และสามารถทำให้เกิด corrosion ในท่อส่งก๊าซได้</t>
  </si>
  <si>
    <t>Liquid found and known to be non-corrosive</t>
  </si>
  <si>
    <t>Liquid found and known to be corrosive</t>
  </si>
  <si>
    <t>N/A</t>
  </si>
  <si>
    <t>Within last 5 years</t>
  </si>
  <si>
    <t>Within last 10 years</t>
  </si>
  <si>
    <t>Within last 20 years</t>
  </si>
  <si>
    <t xml:space="preserve">ท่อที่ไม่พบว่ามีความเสี่ยงต่อการเกิด Internal Corrosion และเป็นท่อ unpiggable </t>
  </si>
  <si>
    <t>ท่อที่พบว่ามีความเสี่ยงต่อการเกิด Internal Corrosion และควรทำ IA</t>
  </si>
  <si>
    <t>Evidence of internal corrosion from pipeline operation (High density &gt;500 per km)</t>
  </si>
  <si>
    <t>Evidence of internal corrosion from pipeline operation (low density &lt;=500 per km)</t>
  </si>
  <si>
    <t>Required but not done</t>
  </si>
  <si>
    <t>CO2 %mol &lt;=2</t>
  </si>
  <si>
    <t>Internal Integrity Assessment</t>
  </si>
  <si>
    <t>Internal Corrosion rate</t>
  </si>
  <si>
    <t>rate &lt;0.025 mm/yr</t>
  </si>
  <si>
    <t>0.025 &lt;= rate &lt; 0.12 mm/yr</t>
  </si>
  <si>
    <t>0.12 &lt;= rate &lt;0.25 mm/yr</t>
  </si>
  <si>
    <t>rate &gt;= 0.25 mm/yr</t>
  </si>
  <si>
    <t>No result</t>
  </si>
  <si>
    <t>No corrosion coupon</t>
  </si>
  <si>
    <t>ประเมินอัตราการเกิด Internal Corrosion ของท่อ</t>
  </si>
  <si>
    <t>Pipeline Age</t>
  </si>
  <si>
    <t>&gt;40</t>
  </si>
  <si>
    <t>0-10</t>
  </si>
  <si>
    <t>score=(Current year - Installation year)/4</t>
  </si>
  <si>
    <t>Integrity assessment ได้แก่ Hydrotest, ILI, Full DA</t>
  </si>
  <si>
    <t>Dig verified at least 1 location/25 km. within last 5 years</t>
  </si>
  <si>
    <t>Dig verified at least 1 location/50 km. within last 5 years</t>
  </si>
  <si>
    <t>Dig verified at least 1 location/50 km. within last 10 years</t>
  </si>
  <si>
    <t>Startup Year</t>
  </si>
  <si>
    <t>Total Internal Corrosion Score</t>
  </si>
  <si>
    <t>Worst Pipeline</t>
  </si>
  <si>
    <t>Best Pipeline</t>
  </si>
  <si>
    <t>Acceptable</t>
  </si>
  <si>
    <t>Dew Point Upset</t>
  </si>
  <si>
    <t>Min Operating Temperature &lt; Dew Point (≤ 7 days per year)</t>
  </si>
  <si>
    <t>Min Operating Temperature &lt; Dew Point (≤ 30 days per year)</t>
  </si>
  <si>
    <t>Min Operating Temperature &lt; Dew Point (&gt; 30 days per year)</t>
  </si>
  <si>
    <t>Acceptance criteria</t>
  </si>
  <si>
    <t>Pipeline</t>
  </si>
  <si>
    <t>No evidence and history of failures from IC in last 10 yrs</t>
  </si>
  <si>
    <t>1 Failure from IC in last 10 yrs</t>
  </si>
  <si>
    <t>&gt;1 Failure from IC in last 10 yrs</t>
  </si>
  <si>
    <t>มีประวัติการเกิด Failure ในรอบ 10 ปี หรือไม่</t>
  </si>
  <si>
    <t>มีประวัติการเกิด Failure ในรอบ 10 ปี หรือไม่ ยกเว้นสาเหตุได้รับการแก้ไขแล้ว</t>
  </si>
  <si>
    <t>Integrity assessment ได้แก่ Hydrotest, ILI, Full DA ภายใน 10 ปีหลังสุด</t>
  </si>
  <si>
    <t>Integrity assessment ได้แก่ Hydrotest, ILI, Full DA ภายใน 20 ปีหลังสุด</t>
  </si>
  <si>
    <t>ท่อไม่จำเป็นต้องทำการฉีด Inhibitor</t>
  </si>
  <si>
    <t>มีการฉีด Inhibitor ที่มีประสิทธิภาพในการป้องกันท่อ</t>
  </si>
  <si>
    <t>ไม่มีข้อมูล Internal Corrosion rate</t>
  </si>
  <si>
    <t>External Corrosion Risk Assessment Parameter</t>
  </si>
  <si>
    <t>Coating Type</t>
  </si>
  <si>
    <t>Fusion bonded epoxy</t>
  </si>
  <si>
    <t>3 Layer Polyethylene</t>
  </si>
  <si>
    <t>Extruded polyethylene</t>
  </si>
  <si>
    <t>Coar tar enamel</t>
  </si>
  <si>
    <t>Tape(field tape)</t>
  </si>
  <si>
    <t>Unknown</t>
  </si>
  <si>
    <t>CP Level within NACE Criteria</t>
  </si>
  <si>
    <t>Not Protected</t>
  </si>
  <si>
    <t>All sections protected to -850 mV (&gt;90% availability)</t>
  </si>
  <si>
    <t>All sections protected to -850 mV (60-90% availability)</t>
  </si>
  <si>
    <t>All sections protected to -850 mV (&lt;60% availability)</t>
  </si>
  <si>
    <t>Some sections not protected</t>
  </si>
  <si>
    <t>Failure due to EC</t>
  </si>
  <si>
    <t>No information on evidence of EC</t>
  </si>
  <si>
    <t>Evidence of external corrosion from pipeline operation (low density &lt;=500 per km)</t>
  </si>
  <si>
    <t>Evidence of external corrosion from pipeline operation (High density &gt;500 per km)</t>
  </si>
  <si>
    <t>1 Failure from EC in last 10 yrs</t>
  </si>
  <si>
    <t>&gt;1 Failure from EC in last 10 yrs</t>
  </si>
  <si>
    <t>No evidence and history of failures from EC in last 10 yrs</t>
  </si>
  <si>
    <t>มีประวัติการเกิด EC Failure ในรอบ 10 ปี หรือไม่</t>
  </si>
  <si>
    <t>ในกรณีที่ไม่มีข้อมูลการเกิด EC เลยให้ใช้ค่าประมาณ 4</t>
  </si>
  <si>
    <t>AC intereference</t>
  </si>
  <si>
    <t>นับเฉพาะจุด Stray Current ที่ไม่ได้มีการป้องกัน หรือตรวจสอบ หรือตรวจแล้วพบปัญหาและยังไม่ได้แก้ไข</t>
  </si>
  <si>
    <t>1-5</t>
  </si>
  <si>
    <t>&gt;5</t>
  </si>
  <si>
    <t>No AC power line is within 1,000 ft of the pipeline</t>
  </si>
  <si>
    <t>AC power line is nearby but preventive measures are taken</t>
  </si>
  <si>
    <t>AC power line is nearby, no preventive action</t>
  </si>
  <si>
    <t>Coating Condition</t>
  </si>
  <si>
    <t>Good</t>
  </si>
  <si>
    <t>Fair</t>
  </si>
  <si>
    <t>Local Disbonding</t>
  </si>
  <si>
    <t>Extensive Disbonding</t>
  </si>
  <si>
    <t>Crack</t>
  </si>
  <si>
    <t>Coating อยู่ในสภาพดีต่อการใช้งานป้องกันการผุกร่อน</t>
  </si>
  <si>
    <t>Coating Application</t>
  </si>
  <si>
    <t>Plant applied, Detailed specifications used, appropriate quality control system</t>
  </si>
  <si>
    <t>Poor</t>
  </si>
  <si>
    <t>Absent</t>
  </si>
  <si>
    <t>Field applied, proper application but without formal quality control / procedure</t>
  </si>
  <si>
    <t>Careless, low quality application</t>
  </si>
  <si>
    <t>Incorrectly done, environment no controlled</t>
  </si>
  <si>
    <t>Coating defect survey</t>
  </si>
  <si>
    <t>No coating defect</t>
  </si>
  <si>
    <t>Minor(Category 1 : 1% &lt; IR &lt; 15%)</t>
  </si>
  <si>
    <t>Moderate (Category 2 : 16% &lt; IR &lt; 35%)</t>
  </si>
  <si>
    <t>Severe (Category 4 : 61% &lt; IR &lt; 100%)</t>
  </si>
  <si>
    <t>Major (Category 3 : 36% &lt; IR &lt; 60%))</t>
  </si>
  <si>
    <t>Soil corrosivity</t>
  </si>
  <si>
    <t>r &lt; 500 ohm-cm - Extremely Corrosive</t>
  </si>
  <si>
    <t>500 &lt;= r &lt; 1,000 ohm-cm - Very Corrosive</t>
  </si>
  <si>
    <t>1,000 &lt;= r &lt; 10,000 ohm-cm - Corrosive</t>
  </si>
  <si>
    <t>10,000 &lt;= r &lt; 20,000 ohm-cm - Mildly Corrosive</t>
  </si>
  <si>
    <t>r &gt;= 20,000 ohm-cm  - Progressively Less Corrosive</t>
  </si>
  <si>
    <t>High microorganism activity or unusually low pH</t>
  </si>
  <si>
    <t>Special situation (High bacteria or unusual low pH)</t>
  </si>
  <si>
    <t>Swamp area</t>
  </si>
  <si>
    <t>Sand, Rock</t>
  </si>
  <si>
    <t>External Corrosion rate</t>
  </si>
  <si>
    <t>No. of Stray current point or Current flow to other buried metal</t>
  </si>
  <si>
    <t>--&gt; P</t>
  </si>
  <si>
    <t>--&gt; A</t>
  </si>
  <si>
    <t>Dig verified or Hot tap coupon check or other acceptable method</t>
  </si>
  <si>
    <t>แต่ทั้งนี้ให้พิจารณาประสิทธิภาพของตัว Coating ด้วย</t>
  </si>
  <si>
    <t>Dig verified or other acceptable method</t>
  </si>
  <si>
    <t xml:space="preserve">ท่อที่ไม่พบว่ามีความเสี่ยงต่อการเกิด External Corrosion และเป็นท่อ unpiggable </t>
  </si>
  <si>
    <t>ท่อที่พบว่ามีความเสี่ยงต่อการเกิด External Corrosion และควรทำ IA</t>
  </si>
  <si>
    <t>Failure due to TPI</t>
  </si>
  <si>
    <t>No information on evidence of TPI</t>
  </si>
  <si>
    <t>มีประวัติการเกิด TPI Failure or Damage ในรอบ 10 ปี หรือไม่</t>
  </si>
  <si>
    <t>ในกรณีที่ไม่มีข้อมูลการเกิด TPI เลยให้ใช้ค่าประมาณ 4</t>
  </si>
  <si>
    <t>No evidence and history of failures from TPI in last 10 yrs</t>
  </si>
  <si>
    <t>1 Failure from TPI in last 10 yrs</t>
  </si>
  <si>
    <t>&gt;1 Failure from TPI in last 10 yrs</t>
  </si>
  <si>
    <t>1 Evidence of TPI Damage from pipeline operation</t>
  </si>
  <si>
    <t>&gt;1 Evidence of TPI Damage from pipeline operation</t>
  </si>
  <si>
    <t>Depth of Cover</t>
  </si>
  <si>
    <t>&lt;0.5 m.</t>
  </si>
  <si>
    <t>0.5-1 m.</t>
  </si>
  <si>
    <t>1.5-5 m.</t>
  </si>
  <si>
    <t>&gt;5m.</t>
  </si>
  <si>
    <t>Additional protection</t>
  </si>
  <si>
    <t>Warning Tape</t>
  </si>
  <si>
    <t>None</t>
  </si>
  <si>
    <t>Concrete slab or fence</t>
  </si>
  <si>
    <t>Permanent aboveground marker</t>
  </si>
  <si>
    <t>Casing or concrete coating</t>
  </si>
  <si>
    <t>1-1.5 m. or subsea pipeline</t>
  </si>
  <si>
    <t>Activity Level</t>
  </si>
  <si>
    <t>High activity level</t>
  </si>
  <si>
    <t>Medium activity level</t>
  </si>
  <si>
    <t>Low activity level</t>
  </si>
  <si>
    <t>Class 3 หรือ 4 , มีงานก่อสร้างมาก, อยู่ใกล้ utility อื่น</t>
  </si>
  <si>
    <t xml:space="preserve">Class 1 </t>
  </si>
  <si>
    <t>Class 2</t>
  </si>
  <si>
    <t>Region</t>
  </si>
  <si>
    <t>RC</t>
  </si>
  <si>
    <t>Pipe diameter</t>
  </si>
  <si>
    <t>หมายเหตุ</t>
  </si>
  <si>
    <t>Third party Risk Assessment Parameter</t>
  </si>
  <si>
    <t>เอามาจาก GE</t>
  </si>
  <si>
    <t>เอามาจากหนังสือ+GE แล้วก็เพิ่มขึ้นมาเอง</t>
  </si>
  <si>
    <t>--&gt;A</t>
  </si>
  <si>
    <t>มีโอกาสที่จะมี่งานก่อสร้างที่จะมารบกวนท่อเป็นหลัก</t>
  </si>
  <si>
    <t>เอามาจากหนังสือ</t>
  </si>
  <si>
    <t>Patrol frequency</t>
  </si>
  <si>
    <t>'--&gt;P</t>
  </si>
  <si>
    <t>Every 2 weeks</t>
  </si>
  <si>
    <t>Landuse</t>
  </si>
  <si>
    <t>เอาไว้ก่อน</t>
  </si>
  <si>
    <t>Uncultivated</t>
  </si>
  <si>
    <t>Pasture</t>
  </si>
  <si>
    <t>Agriculture with some residental</t>
  </si>
  <si>
    <t>Mixed Industrial/Residental</t>
  </si>
  <si>
    <t>Residental</t>
  </si>
  <si>
    <t>Proxutil</t>
  </si>
  <si>
    <t>Remote</t>
  </si>
  <si>
    <t>Frequency pass/cross</t>
  </si>
  <si>
    <t>Same corridor</t>
  </si>
  <si>
    <t>ROW</t>
  </si>
  <si>
    <t>Wholly owned</t>
  </si>
  <si>
    <t>Shared Easement</t>
  </si>
  <si>
    <t>Third party owner</t>
  </si>
  <si>
    <t>ROW condition</t>
  </si>
  <si>
    <t>'--&gt; A</t>
  </si>
  <si>
    <t>คนจากภายนอกเข้ามาแล้วรู้เลยว่ามีอะไรอยู่ภายใต้พื้นที่ (High indication)</t>
  </si>
  <si>
    <t>poor</t>
  </si>
  <si>
    <t>average</t>
  </si>
  <si>
    <t>good</t>
  </si>
  <si>
    <t>excellent</t>
  </si>
  <si>
    <t>BV#3 - IND. Bowin group</t>
  </si>
  <si>
    <t>8" BV#3 - ESIE Gate</t>
  </si>
  <si>
    <t>6" RC400_KP.56.884 - 403R1 Gate station</t>
  </si>
  <si>
    <t>นิคมแหลมฉบัง</t>
  </si>
  <si>
    <t>12" TOP</t>
  </si>
  <si>
    <t>RC500_KP.133.060 - Potter (PDTT)</t>
  </si>
  <si>
    <t>8" ESIE Gate - ESIE group</t>
  </si>
  <si>
    <t>6" Secondary Gate - TORC - ESSO</t>
  </si>
  <si>
    <t>6" SAHAWIRIYA</t>
  </si>
  <si>
    <t>4" RC631_KP.19.500 - QCP</t>
  </si>
  <si>
    <t>4" NUTRIC</t>
  </si>
  <si>
    <t>RC402210002_KP.10.578 - Siam Estern Group</t>
  </si>
  <si>
    <t>RC4021 - Alucon (ALU)</t>
  </si>
  <si>
    <t>8" Amata BV - Amata gate - AHT</t>
  </si>
  <si>
    <t>xx" Amata BV - ABPR</t>
  </si>
  <si>
    <t>Gate (405R1/2) - Bangpakong Industril1</t>
  </si>
  <si>
    <t>4" TSC</t>
  </si>
  <si>
    <t>3" TSE</t>
  </si>
  <si>
    <t>RC500_KP.127.030 - WGI</t>
  </si>
  <si>
    <t>ฟูรุกาว่า FMT</t>
  </si>
  <si>
    <t>SOSUCO Cogen</t>
  </si>
  <si>
    <t>Gate673 Inlet</t>
  </si>
  <si>
    <t>TPL,TSC &amp; KERA</t>
  </si>
  <si>
    <t>RC 6734 GULF 1</t>
  </si>
  <si>
    <t>4" RC636 (KP.19.365) - OSOTSPA</t>
  </si>
  <si>
    <t>ท่อ Inlet M/R ศูนย์วิจัย ปตท.</t>
  </si>
  <si>
    <t>8" 661R1 - UMI - FERRO</t>
  </si>
  <si>
    <t>8" 661R1 - SGG</t>
  </si>
  <si>
    <t>12" BV.22 - Chememan</t>
  </si>
  <si>
    <t>BV23 TO PC</t>
  </si>
  <si>
    <t>RS NK TO SGI</t>
  </si>
  <si>
    <t>RPC 2 &amp; KOHLER 2</t>
  </si>
  <si>
    <t>loopping suwannasol to gulf1 2</t>
  </si>
  <si>
    <t>67111PC TO RCI2</t>
  </si>
  <si>
    <t>8" RC636 (KP.18.667) - NGD โรจนะ</t>
  </si>
  <si>
    <t>ท่อ Outlet M/R ศูนย์วิจัยฯ</t>
  </si>
  <si>
    <t>Pipeline to TOTO</t>
  </si>
  <si>
    <t>TCC TO หลังนิคมหนองแค</t>
  </si>
  <si>
    <t>RPC 1 &amp; KOHLER 1</t>
  </si>
  <si>
    <t>ช่วงที่2 ต่อจากหน้าบ้านบัวภา</t>
  </si>
  <si>
    <t>CP.MEIJI</t>
  </si>
  <si>
    <t>Meiji Cogen</t>
  </si>
  <si>
    <t>BV.20 - TBS</t>
  </si>
  <si>
    <t>Star Company</t>
  </si>
  <si>
    <t>SOSUCO 1</t>
  </si>
  <si>
    <t>670 to titop</t>
  </si>
  <si>
    <t>จากหน้าโรงเรียนไทรงามเข้าไป DCC</t>
  </si>
  <si>
    <t>Gate 673 - RPC 2</t>
  </si>
  <si>
    <t>GATE 673 - KHOLER 2</t>
  </si>
  <si>
    <t>บ.บางกอกโปรดิวส์ BKP 2</t>
  </si>
  <si>
    <t>บ.บางกอกโปรดิวส์ BKP 1</t>
  </si>
  <si>
    <t>บ.บางกอกโปรดิวส์ BKP 3-4</t>
  </si>
  <si>
    <t>KOHLER 1</t>
  </si>
  <si>
    <t>670 - TPL , TSC</t>
  </si>
  <si>
    <t>KERA TILE</t>
  </si>
  <si>
    <t>บ.กระเบื้องกระดาษไทย SFCC</t>
  </si>
  <si>
    <t>CONWOOD(CWC)</t>
  </si>
  <si>
    <t>กระเบื้องตราเพชร DIAMOND</t>
  </si>
  <si>
    <t>FMT</t>
  </si>
  <si>
    <t>GKP2</t>
  </si>
  <si>
    <t>GSP - Loop Maptaphut</t>
  </si>
  <si>
    <t>8" BV#2 - Laemchabang</t>
  </si>
  <si>
    <t>Mabhka</t>
  </si>
  <si>
    <t>Thai steel Profile</t>
  </si>
  <si>
    <t>3" COTCO</t>
  </si>
  <si>
    <t>8" Rojana</t>
  </si>
  <si>
    <t>8" RC5600 KP.21.480 - Gulf หนองละลอก</t>
  </si>
  <si>
    <t>6" RC5610_KP.5.300 - PTTGC Office</t>
  </si>
  <si>
    <t>12" RY2 - RIP</t>
  </si>
  <si>
    <t>6" ซอย9</t>
  </si>
  <si>
    <t>12" RIP - RIL</t>
  </si>
  <si>
    <t>4" CPPC</t>
  </si>
  <si>
    <t>แยก กม.12 ไป TYCONs (6")</t>
  </si>
  <si>
    <t>6" Thaico</t>
  </si>
  <si>
    <t>CYTEC</t>
  </si>
  <si>
    <t>วนชัย</t>
  </si>
  <si>
    <t>12" 5601R1 - PTT CUP2</t>
  </si>
  <si>
    <t>8" 5601R1 - PTTAR</t>
  </si>
  <si>
    <t>8" 5601R1 - MOC</t>
  </si>
  <si>
    <t>สยามยามาโต๊ะ สตีล2</t>
  </si>
  <si>
    <t>6" IndusTrail ASIA</t>
  </si>
  <si>
    <t>แยก กม.12 ไป SAICO</t>
  </si>
  <si>
    <t>4" GSP - APEX</t>
  </si>
  <si>
    <t>8" BPC</t>
  </si>
  <si>
    <t>3" SSG</t>
  </si>
  <si>
    <t>4" 6" RC4100 (KP2.700) - KCT</t>
  </si>
  <si>
    <t>RC410101 (KPxx.xxx) - Gate Station นิคมฯ ราชบุรี</t>
  </si>
  <si>
    <t>RTWL</t>
  </si>
  <si>
    <t>JP United</t>
  </si>
  <si>
    <t>NDI</t>
  </si>
  <si>
    <t>LGC</t>
  </si>
  <si>
    <t>4" RBMR - KT</t>
  </si>
  <si>
    <t>SPF</t>
  </si>
  <si>
    <t>RC4450 - Suksawat IND. Main (KP.65.006)</t>
  </si>
  <si>
    <t>6" BV#11 - BCH (Bangjak)</t>
  </si>
  <si>
    <t>12" Rangsit - Prayatai</t>
  </si>
  <si>
    <t>506R1 (BV12) - IND. Prapadaeng group</t>
  </si>
  <si>
    <t>Ekchai - RAMA2</t>
  </si>
  <si>
    <t>RC 445403 (SB#4) - โรงงานสุนธรเมทัล</t>
  </si>
  <si>
    <t>12" RC6100 (KP.20.832) - ENCO - Sofitel</t>
  </si>
  <si>
    <t>6" RC6100 (KP.xxx.xxx) - หน้า DSI</t>
  </si>
  <si>
    <t>12" Rangsit - Bangkadee</t>
  </si>
  <si>
    <t>RC615201 - ใน ENCO</t>
  </si>
  <si>
    <t>6" RC616101 (KP.xxx.xxx) - ศูนย์ราชการ</t>
  </si>
  <si>
    <t>RC4457 - ไทยเซนทรัลเคมี TCCC (KP.4.720)</t>
  </si>
  <si>
    <t>RC4457 - AFT กระจกอาซาฮี (KP.5.732)</t>
  </si>
  <si>
    <t>12" RC4457 (KP.5.800) - ไทยเคมีภัณฑ์</t>
  </si>
  <si>
    <t>12" RC4457 (KP.4.727) - Millimade</t>
  </si>
  <si>
    <t>12" RC4457 (KP.4.403) - ไทยยาซากิ</t>
  </si>
  <si>
    <t>12" RC4450 (KP.0+028) - Siam Brader</t>
  </si>
  <si>
    <t>10" BV#17 - ASTL</t>
  </si>
  <si>
    <t>24" RC4100_KP.128.200 - 620R1</t>
  </si>
  <si>
    <t>Pipeline along with Klong 2 Rd.</t>
  </si>
  <si>
    <t>Pipeline to Bus Terminal (บขส.)</t>
  </si>
  <si>
    <t>Bangchan Group</t>
  </si>
  <si>
    <t>6" RC630 (KP.xx.xxx) - CPF1 &amp; 3</t>
  </si>
  <si>
    <t>CPF2</t>
  </si>
  <si>
    <t>8" RC4100 (KP.124.053) - GCRN</t>
  </si>
  <si>
    <t>Pipeline to Green Spot</t>
  </si>
  <si>
    <t>6" HESCO&amp;CELLO</t>
  </si>
  <si>
    <t>6" TGI</t>
  </si>
  <si>
    <t>Length</t>
  </si>
  <si>
    <t>Depth of cover</t>
  </si>
  <si>
    <t>Total TPI Score</t>
  </si>
  <si>
    <t>Age</t>
  </si>
  <si>
    <t>RC4021</t>
  </si>
  <si>
    <t>RC4023</t>
  </si>
  <si>
    <t>RC4032</t>
  </si>
  <si>
    <t>RC4311</t>
  </si>
  <si>
    <t>RC4401</t>
  </si>
  <si>
    <t>RC5033</t>
  </si>
  <si>
    <t>RC40231</t>
  </si>
  <si>
    <t>RC44041</t>
  </si>
  <si>
    <t>RC632102</t>
  </si>
  <si>
    <t>RC6322101</t>
  </si>
  <si>
    <t>RC6322104</t>
  </si>
  <si>
    <t>RC40222012</t>
  </si>
  <si>
    <t>RC402110001</t>
  </si>
  <si>
    <t>RC402210001</t>
  </si>
  <si>
    <t>RC402210003</t>
  </si>
  <si>
    <t>RC405110101</t>
  </si>
  <si>
    <t>RC440210002</t>
  </si>
  <si>
    <t>RC440220001</t>
  </si>
  <si>
    <t>RC503100001</t>
  </si>
  <si>
    <t>RC674</t>
  </si>
  <si>
    <t>RC6613</t>
  </si>
  <si>
    <t>RC6731</t>
  </si>
  <si>
    <t>RC6732</t>
  </si>
  <si>
    <t>RC6734</t>
  </si>
  <si>
    <t>RC63602</t>
  </si>
  <si>
    <t>RC65821</t>
  </si>
  <si>
    <t>RC66111</t>
  </si>
  <si>
    <t>RC66112</t>
  </si>
  <si>
    <t>RC66203</t>
  </si>
  <si>
    <t>RC67111</t>
  </si>
  <si>
    <t>RC67121</t>
  </si>
  <si>
    <t>RC67311</t>
  </si>
  <si>
    <t>RC69211</t>
  </si>
  <si>
    <t>RC671111</t>
  </si>
  <si>
    <t>RC6360106</t>
  </si>
  <si>
    <t>RC6582101</t>
  </si>
  <si>
    <t>RC6611205</t>
  </si>
  <si>
    <t>RC6712105</t>
  </si>
  <si>
    <t>RC6731101</t>
  </si>
  <si>
    <t>RC6921101</t>
  </si>
  <si>
    <t>RC67210001</t>
  </si>
  <si>
    <t>RC67210002</t>
  </si>
  <si>
    <t>RC658110001</t>
  </si>
  <si>
    <t>RC658110002</t>
  </si>
  <si>
    <t>RC661110201</t>
  </si>
  <si>
    <t>RC661120108</t>
  </si>
  <si>
    <t>RC661120401</t>
  </si>
  <si>
    <t>RC671200001</t>
  </si>
  <si>
    <t>RC671210101</t>
  </si>
  <si>
    <t>RC671500001</t>
  </si>
  <si>
    <t>RC673110001</t>
  </si>
  <si>
    <t>RC673110002</t>
  </si>
  <si>
    <t>RC673110003</t>
  </si>
  <si>
    <t>RC673110004</t>
  </si>
  <si>
    <t>RC673110005</t>
  </si>
  <si>
    <t>RC673110103</t>
  </si>
  <si>
    <t>RC673200001</t>
  </si>
  <si>
    <t>RC673200002</t>
  </si>
  <si>
    <t>RC673500001</t>
  </si>
  <si>
    <t>RC673600001</t>
  </si>
  <si>
    <t>RC673700001</t>
  </si>
  <si>
    <t>RC674100001</t>
  </si>
  <si>
    <t>RC692110101</t>
  </si>
  <si>
    <t>RC692110103</t>
  </si>
  <si>
    <t>RC330</t>
  </si>
  <si>
    <t>RC430</t>
  </si>
  <si>
    <t>RC3402</t>
  </si>
  <si>
    <t>RC4014</t>
  </si>
  <si>
    <t>RC40112</t>
  </si>
  <si>
    <t>RC40321</t>
  </si>
  <si>
    <t>RC560201</t>
  </si>
  <si>
    <t>RC561201</t>
  </si>
  <si>
    <t>RC3402101</t>
  </si>
  <si>
    <t>RC3402102</t>
  </si>
  <si>
    <t>RC3402103</t>
  </si>
  <si>
    <t>RC3402104</t>
  </si>
  <si>
    <t>RC3402105</t>
  </si>
  <si>
    <t>RC3402106</t>
  </si>
  <si>
    <t>RC4032201</t>
  </si>
  <si>
    <t>RC33083010</t>
  </si>
  <si>
    <t>RC56010101</t>
  </si>
  <si>
    <t>RC56010102</t>
  </si>
  <si>
    <t>RC56010103</t>
  </si>
  <si>
    <t>RC330820005</t>
  </si>
  <si>
    <t>RC330901001</t>
  </si>
  <si>
    <t>RC340210602</t>
  </si>
  <si>
    <t>RC340300001</t>
  </si>
  <si>
    <t>RC401100001</t>
  </si>
  <si>
    <t>RC401110001</t>
  </si>
  <si>
    <t>RC410101</t>
  </si>
  <si>
    <t>RC410102</t>
  </si>
  <si>
    <t>RC41010201</t>
  </si>
  <si>
    <t>RC41010202</t>
  </si>
  <si>
    <t>RC41010203</t>
  </si>
  <si>
    <t>RC41010204</t>
  </si>
  <si>
    <t>RC401201002</t>
  </si>
  <si>
    <t>RC4457</t>
  </si>
  <si>
    <t>RC5062</t>
  </si>
  <si>
    <t>RC6100</t>
  </si>
  <si>
    <t>RC50611</t>
  </si>
  <si>
    <t>RC445402</t>
  </si>
  <si>
    <t>RC445403</t>
  </si>
  <si>
    <t>RC615201</t>
  </si>
  <si>
    <t>RC616101</t>
  </si>
  <si>
    <t>RC617801</t>
  </si>
  <si>
    <t>RC61520101</t>
  </si>
  <si>
    <t>RC61610101</t>
  </si>
  <si>
    <t>RC4457010102</t>
  </si>
  <si>
    <t>RC4457010104</t>
  </si>
  <si>
    <t>RC4457010105</t>
  </si>
  <si>
    <t>RC4457010106</t>
  </si>
  <si>
    <t>RC4457010108</t>
  </si>
  <si>
    <t>RC4457010204</t>
  </si>
  <si>
    <t>RC620</t>
  </si>
  <si>
    <t>RC4470</t>
  </si>
  <si>
    <t>RC6203</t>
  </si>
  <si>
    <t>RC6208</t>
  </si>
  <si>
    <t>RC6531</t>
  </si>
  <si>
    <t>RC63401</t>
  </si>
  <si>
    <t>RC65306</t>
  </si>
  <si>
    <t>RC410903</t>
  </si>
  <si>
    <t>RC6203004</t>
  </si>
  <si>
    <t>RC651100001</t>
  </si>
  <si>
    <t>RC651300001</t>
  </si>
  <si>
    <t>Column1</t>
  </si>
  <si>
    <t>Dew Point Upset2</t>
  </si>
  <si>
    <t>Internal Coating3</t>
  </si>
  <si>
    <t>Failure due to IC4</t>
  </si>
  <si>
    <t>Inhibitor Efficiency5</t>
  </si>
  <si>
    <t>Monitor6</t>
  </si>
  <si>
    <t>CO2 content7</t>
  </si>
  <si>
    <t>H2S content8</t>
  </si>
  <si>
    <t>Presence of liquid9</t>
  </si>
  <si>
    <t>Internal Integrity Assessment10</t>
  </si>
  <si>
    <t>Internal Corrosion rate11</t>
  </si>
  <si>
    <t>Pipeline Age12</t>
  </si>
  <si>
    <t>Column2</t>
  </si>
  <si>
    <t>Coating Type3</t>
  </si>
  <si>
    <t>CP Level within NACE Criteria4</t>
  </si>
  <si>
    <t>Failure due to EC5</t>
  </si>
  <si>
    <t>No. of Stray current point or Current flow to other buried metal6</t>
  </si>
  <si>
    <t>AC intereference7</t>
  </si>
  <si>
    <t>Coating Condition8</t>
  </si>
  <si>
    <t>Coating Application9</t>
  </si>
  <si>
    <t>Coating defect survey10</t>
  </si>
  <si>
    <t>Soil corrosivity11</t>
  </si>
  <si>
    <t>External Corrosion rate12</t>
  </si>
  <si>
    <t>Pipeline Age13</t>
  </si>
  <si>
    <t>Depth of cover2</t>
  </si>
  <si>
    <t>Additional protection2</t>
  </si>
  <si>
    <t>Failure due to TPI2</t>
  </si>
  <si>
    <t>Activity Level5</t>
  </si>
  <si>
    <t>Patrol frequency6</t>
  </si>
  <si>
    <t>Proxutil7</t>
  </si>
  <si>
    <t>ROW8</t>
  </si>
  <si>
    <t>ROW condition9</t>
  </si>
  <si>
    <t>Total TPI Score10</t>
  </si>
  <si>
    <t>Risk Score</t>
  </si>
  <si>
    <t>Ranking</t>
  </si>
  <si>
    <t>INTERNAL CORROSION</t>
  </si>
  <si>
    <t>EXTERNAL CORROSION</t>
  </si>
  <si>
    <t>THIRD PARTY INTERFERENCE</t>
  </si>
  <si>
    <t>Probability</t>
  </si>
  <si>
    <t>C1 : Societal</t>
  </si>
  <si>
    <t>C2 : Cost</t>
  </si>
  <si>
    <t>Consequence</t>
  </si>
  <si>
    <t>Population density</t>
  </si>
  <si>
    <t>Gas Flow MMSCFD 
(Loss of revenue)</t>
  </si>
  <si>
    <t>Loss  of ground support</t>
  </si>
  <si>
    <t>Gas Flow rate</t>
  </si>
  <si>
    <t>0-500</t>
  </si>
  <si>
    <t>500-1000</t>
  </si>
  <si>
    <t>1000-1500</t>
  </si>
  <si>
    <t>Unknow</t>
  </si>
  <si>
    <t>Ranking2</t>
  </si>
  <si>
    <t>Ranking3</t>
  </si>
  <si>
    <t>Ranking4</t>
  </si>
  <si>
    <t>Ranking5</t>
  </si>
  <si>
    <t>Internal corrosion parameter(คุณขจรไกร)</t>
  </si>
  <si>
    <t>Third party interference parameter(คุณกฤษดา)</t>
  </si>
  <si>
    <t>External corrosion parameter(คุณดนุรุจ,คุณขจรไกร)</t>
  </si>
  <si>
    <t>total</t>
  </si>
  <si>
    <t>RC(accept)</t>
  </si>
  <si>
    <t>acceptable criteria</t>
  </si>
  <si>
    <t>Risk within acceptable Criteria</t>
  </si>
  <si>
    <t>Risk over acceptable Criteria</t>
  </si>
  <si>
    <t>External Integrity Assessment</t>
  </si>
  <si>
    <t>int</t>
  </si>
  <si>
    <t>ext</t>
  </si>
  <si>
    <t>tpi</t>
  </si>
  <si>
    <t>Weight score</t>
  </si>
  <si>
    <t>RC(worse)</t>
  </si>
  <si>
    <t>RC(worst)</t>
  </si>
  <si>
    <t>worst case</t>
  </si>
  <si>
    <t>RC505100001</t>
  </si>
  <si>
    <t>TCR</t>
  </si>
  <si>
    <t>RC504200001</t>
  </si>
  <si>
    <t>SC</t>
  </si>
  <si>
    <t>RC504300001</t>
  </si>
  <si>
    <t>TAP</t>
  </si>
  <si>
    <t>RC5041</t>
  </si>
  <si>
    <t>MCKEY</t>
  </si>
  <si>
    <t>RC503200001</t>
  </si>
  <si>
    <t>TGSG</t>
  </si>
  <si>
    <t>POTT</t>
  </si>
  <si>
    <t>RC503100002</t>
  </si>
  <si>
    <t>WINDOW</t>
  </si>
  <si>
    <t>RC440210001</t>
  </si>
  <si>
    <t>GGC</t>
  </si>
  <si>
    <t>RC440210003</t>
  </si>
  <si>
    <t>LCT</t>
  </si>
  <si>
    <t>RC440210004</t>
  </si>
  <si>
    <t>Samsung</t>
  </si>
  <si>
    <t>QCP</t>
  </si>
  <si>
    <t>NUTHX</t>
  </si>
  <si>
    <t>RC631100004</t>
  </si>
  <si>
    <t>TOYOTA</t>
  </si>
  <si>
    <t>LHCT</t>
  </si>
  <si>
    <t>RC631100002</t>
  </si>
  <si>
    <t>BCC</t>
  </si>
  <si>
    <t>RC56051101</t>
  </si>
  <si>
    <t>MDF</t>
  </si>
  <si>
    <t>RC4030301</t>
  </si>
  <si>
    <t>FAD</t>
  </si>
  <si>
    <t>ESSO TO THAIOIL</t>
  </si>
  <si>
    <t>GATE TO ESSO</t>
  </si>
  <si>
    <t>IPT TO THAIOIL</t>
  </si>
  <si>
    <t>TAP 12" TO ESSO</t>
  </si>
  <si>
    <t>RC431120106</t>
  </si>
  <si>
    <t>Lamchabang line1(SNC M/R)</t>
  </si>
  <si>
    <t>RC431120001</t>
  </si>
  <si>
    <t>TGP M/R</t>
  </si>
  <si>
    <t>TTA</t>
  </si>
  <si>
    <t>RC431120108</t>
  </si>
  <si>
    <t>MMTH TO METSO</t>
  </si>
  <si>
    <t>Lamchabang line2(SNC M/R)</t>
  </si>
  <si>
    <t>GATE TO MMTH M/R</t>
  </si>
  <si>
    <t>MMTH TO VALVE</t>
  </si>
  <si>
    <t>RC431120101</t>
  </si>
  <si>
    <t>SNC TO MEY M?R</t>
  </si>
  <si>
    <t>RC431120102</t>
  </si>
  <si>
    <t>SPM M/R</t>
  </si>
  <si>
    <t>RC4311103</t>
  </si>
  <si>
    <t>Lamchabang line5(Line4 TO PQ-M)</t>
  </si>
  <si>
    <t>MAYER ALU M/R</t>
  </si>
  <si>
    <t>RC431120103</t>
  </si>
  <si>
    <t>PSM M/R</t>
  </si>
  <si>
    <t>AJ M/R</t>
  </si>
  <si>
    <t>LINE 1 TO AJ</t>
  </si>
  <si>
    <t>GATE TO MMTH 3 M/R</t>
  </si>
  <si>
    <t>SSM M/R</t>
  </si>
  <si>
    <t>LINE7 STB M/R</t>
  </si>
  <si>
    <t>GATE TO 12" PIPELINE</t>
  </si>
  <si>
    <t>RC431110003</t>
  </si>
  <si>
    <t>LINE2 TO SCI M/R</t>
  </si>
  <si>
    <t>RC4052</t>
  </si>
  <si>
    <t>6"LAT</t>
  </si>
  <si>
    <t>RC402330206</t>
  </si>
  <si>
    <t>ESIE Gate-Kellogg</t>
  </si>
  <si>
    <t>RC6611</t>
  </si>
  <si>
    <t>RC6614</t>
  </si>
  <si>
    <t>RC661301</t>
  </si>
  <si>
    <t>COGEN SOSUKO</t>
  </si>
  <si>
    <t>RC6611102</t>
  </si>
  <si>
    <t>RC6611201</t>
  </si>
  <si>
    <t>RC6611202</t>
  </si>
  <si>
    <t>RC661110002</t>
  </si>
  <si>
    <t>PATRA</t>
  </si>
  <si>
    <t>RC661110004</t>
  </si>
  <si>
    <t>FERRO</t>
  </si>
  <si>
    <t>RC661110202</t>
  </si>
  <si>
    <t>RC661110203</t>
  </si>
  <si>
    <t>RC661120001</t>
  </si>
  <si>
    <t>SGG</t>
  </si>
  <si>
    <t>RC661120002</t>
  </si>
  <si>
    <t>SFG</t>
  </si>
  <si>
    <t>RC661120003</t>
  </si>
  <si>
    <t>ULS</t>
  </si>
  <si>
    <t>RC661120004</t>
  </si>
  <si>
    <t>TBC</t>
  </si>
  <si>
    <t>RC661120005</t>
  </si>
  <si>
    <t>RVP</t>
  </si>
  <si>
    <t>RC661120006</t>
  </si>
  <si>
    <t>BPT</t>
  </si>
  <si>
    <t>RC661120101</t>
  </si>
  <si>
    <t>SGIS</t>
  </si>
  <si>
    <t>RC661120102</t>
  </si>
  <si>
    <t>SFB</t>
  </si>
  <si>
    <t>RC661120103</t>
  </si>
  <si>
    <t>STC</t>
  </si>
  <si>
    <t>RC661120104</t>
  </si>
  <si>
    <t>SNK</t>
  </si>
  <si>
    <t>RC661120105</t>
  </si>
  <si>
    <t>SNTCI</t>
  </si>
  <si>
    <t>RC661120106</t>
  </si>
  <si>
    <t>STN</t>
  </si>
  <si>
    <t>RC661120107</t>
  </si>
  <si>
    <t>CPIC</t>
  </si>
  <si>
    <t>RC661120109</t>
  </si>
  <si>
    <t>TMG</t>
  </si>
  <si>
    <t>RC661120201</t>
  </si>
  <si>
    <t>TCT</t>
  </si>
  <si>
    <t>RC661120202</t>
  </si>
  <si>
    <t>SLC</t>
  </si>
  <si>
    <t>RC661120501</t>
  </si>
  <si>
    <t>TOTO</t>
  </si>
  <si>
    <t>RC661120502</t>
  </si>
  <si>
    <t>KOT</t>
  </si>
  <si>
    <t>RC661200001</t>
  </si>
  <si>
    <t>NKCC 8"</t>
  </si>
  <si>
    <t>NKCC 12"</t>
  </si>
  <si>
    <t>RC6711</t>
  </si>
  <si>
    <t>RC6712</t>
  </si>
  <si>
    <t>SFCC</t>
  </si>
  <si>
    <t>8"</t>
  </si>
  <si>
    <t>12"</t>
  </si>
  <si>
    <t>RC67122</t>
  </si>
  <si>
    <t>TGCI COGEN</t>
  </si>
  <si>
    <t>RC6712101</t>
  </si>
  <si>
    <t>TGCI 2</t>
  </si>
  <si>
    <t>RC6712102</t>
  </si>
  <si>
    <t>RC6712103</t>
  </si>
  <si>
    <t>RC6712104</t>
  </si>
  <si>
    <t>valve to valve ajinomoto2</t>
  </si>
  <si>
    <t>RC67111001</t>
  </si>
  <si>
    <t>TCC</t>
  </si>
  <si>
    <t>RC67111002</t>
  </si>
  <si>
    <t>UMI</t>
  </si>
  <si>
    <t>RC67111003</t>
  </si>
  <si>
    <t>RCI1</t>
  </si>
  <si>
    <t>RC67111004</t>
  </si>
  <si>
    <t>SSI</t>
  </si>
  <si>
    <t>RC671210001</t>
  </si>
  <si>
    <t>NCI</t>
  </si>
  <si>
    <t>RC671210002</t>
  </si>
  <si>
    <t>NFCC</t>
  </si>
  <si>
    <t>RC671210102</t>
  </si>
  <si>
    <t>HSC</t>
  </si>
  <si>
    <t>RC671210103</t>
  </si>
  <si>
    <t>SSG</t>
  </si>
  <si>
    <t>RC671210104</t>
  </si>
  <si>
    <t>DCC 2</t>
  </si>
  <si>
    <t>RC671210201</t>
  </si>
  <si>
    <t>Ajinomoto 1</t>
  </si>
  <si>
    <t>RC671210202</t>
  </si>
  <si>
    <t>CBC</t>
  </si>
  <si>
    <t>RC671210301</t>
  </si>
  <si>
    <t>TTCC</t>
  </si>
  <si>
    <t>RC671210401</t>
  </si>
  <si>
    <t>Ajinomoto 2</t>
  </si>
  <si>
    <t>RC66401002</t>
  </si>
  <si>
    <t>BKK CAO</t>
  </si>
  <si>
    <t>RC63601</t>
  </si>
  <si>
    <t>RC662100001</t>
  </si>
  <si>
    <t>SFC</t>
  </si>
  <si>
    <t>RC66401001</t>
  </si>
  <si>
    <t>SOSUCO1</t>
  </si>
  <si>
    <t>โคกแย้ (GKP1)</t>
  </si>
  <si>
    <t>RC67303</t>
  </si>
  <si>
    <t>GTLC</t>
  </si>
  <si>
    <t>RC6730101</t>
  </si>
  <si>
    <t>Hottap จาก NGV TD116</t>
  </si>
  <si>
    <t>RC673010101</t>
  </si>
  <si>
    <t>Diamond 2</t>
  </si>
  <si>
    <t>RC661120110</t>
  </si>
  <si>
    <t>NSP นอริตาเก้</t>
  </si>
  <si>
    <t>RC6611206</t>
  </si>
  <si>
    <t>8" TMG2</t>
  </si>
  <si>
    <t>DRP สยามโทสุ - D-Rubber</t>
  </si>
  <si>
    <t>TRY บ.การ์เดียน - หน้าไทยเรยอน</t>
  </si>
  <si>
    <t>Kensai 4" RC670 TO KENZAI</t>
  </si>
  <si>
    <t>RC330200002</t>
  </si>
  <si>
    <t>Vinithai</t>
  </si>
  <si>
    <t>RC330400008</t>
  </si>
  <si>
    <t>สยามไตรรีน โมโนเมอร์</t>
  </si>
  <si>
    <t>RC330500007</t>
  </si>
  <si>
    <t>Bang Synthetics</t>
  </si>
  <si>
    <t>RC330300001</t>
  </si>
  <si>
    <t>Tokuyama 1</t>
  </si>
  <si>
    <t>Tokuyama 2</t>
  </si>
  <si>
    <t>RC330500004</t>
  </si>
  <si>
    <t>TPC</t>
  </si>
  <si>
    <t>RC330500001</t>
  </si>
  <si>
    <t>Bangkok Polyattel YNS</t>
  </si>
  <si>
    <t>RC330500003</t>
  </si>
  <si>
    <t>Thai Wire Product</t>
  </si>
  <si>
    <t>RC330100002</t>
  </si>
  <si>
    <t>Thai Plastics</t>
  </si>
  <si>
    <t>RC330500008</t>
  </si>
  <si>
    <t>Rayongwire Industry</t>
  </si>
  <si>
    <t>RC340300002</t>
  </si>
  <si>
    <t>Rayong Oliphin</t>
  </si>
  <si>
    <t>RC330500012</t>
  </si>
  <si>
    <t>Aditayabira</t>
  </si>
  <si>
    <t>RC330100003</t>
  </si>
  <si>
    <t>Evonics United</t>
  </si>
  <si>
    <t>RC330600003</t>
  </si>
  <si>
    <t>TOC</t>
  </si>
  <si>
    <t>RC330800104</t>
  </si>
  <si>
    <t>RC330600002</t>
  </si>
  <si>
    <t>TCC เดิม</t>
  </si>
  <si>
    <t>RC330901002</t>
  </si>
  <si>
    <t>Indorama</t>
  </si>
  <si>
    <t>RC330901003</t>
  </si>
  <si>
    <t>PURAC</t>
  </si>
  <si>
    <t>MFC</t>
  </si>
  <si>
    <t>12" SSM G-STEEL</t>
  </si>
  <si>
    <t>RC6402106</t>
  </si>
  <si>
    <t>TYCON</t>
  </si>
  <si>
    <t>RC33050002</t>
  </si>
  <si>
    <t>SRF(TBIL)</t>
  </si>
  <si>
    <t>RC330900001</t>
  </si>
  <si>
    <t>RPC</t>
  </si>
  <si>
    <t>RC33010009</t>
  </si>
  <si>
    <t>BKC</t>
  </si>
  <si>
    <t>RC41041</t>
  </si>
  <si>
    <t>USAM</t>
  </si>
  <si>
    <t>RC41010101</t>
  </si>
  <si>
    <t>KWT(KTC)</t>
  </si>
  <si>
    <t>RC410300001</t>
  </si>
  <si>
    <t>ASF</t>
  </si>
  <si>
    <t>RC41010102</t>
  </si>
  <si>
    <t>Siam glass industry</t>
  </si>
  <si>
    <t>RC6521</t>
  </si>
  <si>
    <t>MIF</t>
  </si>
  <si>
    <t>RC6523</t>
  </si>
  <si>
    <t>ETC</t>
  </si>
  <si>
    <t>RC652501</t>
  </si>
  <si>
    <t>RC652200002</t>
  </si>
  <si>
    <t>KSI NEW</t>
  </si>
  <si>
    <t>RC33081004</t>
  </si>
  <si>
    <t>RC41010103</t>
  </si>
  <si>
    <t>SMCD</t>
  </si>
  <si>
    <t>RC4457010201</t>
  </si>
  <si>
    <t>AJT-PPD</t>
  </si>
  <si>
    <t>RC4457010103</t>
  </si>
  <si>
    <t>LTS เหล่าธงสิงห์</t>
  </si>
  <si>
    <t>RC6340101</t>
  </si>
  <si>
    <t>CPF3</t>
  </si>
  <si>
    <t>RC6340102</t>
  </si>
  <si>
    <t>CPF1</t>
  </si>
  <si>
    <t>RC634010101</t>
  </si>
  <si>
    <t>RC653060001</t>
  </si>
  <si>
    <t>RC6525</t>
  </si>
  <si>
    <t>DCAP</t>
  </si>
  <si>
    <t>RC653050001</t>
  </si>
  <si>
    <t>SARNTI</t>
  </si>
  <si>
    <t>RC653050002</t>
  </si>
  <si>
    <t>BIO</t>
  </si>
  <si>
    <t>RC65130101</t>
  </si>
  <si>
    <t>TUT</t>
  </si>
  <si>
    <t>RC65130201</t>
  </si>
  <si>
    <t>ILC</t>
  </si>
  <si>
    <t>RC651100002</t>
  </si>
  <si>
    <t>HESCO</t>
  </si>
  <si>
    <t>RC651100003</t>
  </si>
  <si>
    <t>BFC</t>
  </si>
  <si>
    <t>RC651100004</t>
  </si>
  <si>
    <t>JPS</t>
  </si>
  <si>
    <t>RC651200001</t>
  </si>
  <si>
    <t>TAC</t>
  </si>
  <si>
    <t>RC65311</t>
  </si>
  <si>
    <t>UZ</t>
  </si>
  <si>
    <t>RC6531102</t>
  </si>
  <si>
    <t>PBP</t>
  </si>
  <si>
    <t>RC6531103</t>
  </si>
  <si>
    <t>RC6531104</t>
  </si>
  <si>
    <t>RC653100001</t>
  </si>
  <si>
    <t>WTFI</t>
  </si>
  <si>
    <t>RC653110101</t>
  </si>
  <si>
    <t>RC653110103</t>
  </si>
  <si>
    <t>OEIC</t>
  </si>
  <si>
    <t>RC653110104</t>
  </si>
  <si>
    <t>IZUMI</t>
  </si>
  <si>
    <t>RC653110105</t>
  </si>
  <si>
    <t>HALE</t>
  </si>
  <si>
    <t>RC653110106</t>
  </si>
  <si>
    <t>HALE2</t>
  </si>
  <si>
    <t>RC653110108</t>
  </si>
  <si>
    <t>FSC1</t>
  </si>
  <si>
    <t>RC653110109</t>
  </si>
  <si>
    <t>FSC2</t>
  </si>
  <si>
    <t>RC653110110</t>
  </si>
  <si>
    <t>BGAC</t>
  </si>
  <si>
    <t>RC653110111</t>
  </si>
  <si>
    <t>A.P.C</t>
  </si>
  <si>
    <t>RC653110112</t>
  </si>
  <si>
    <t>TIT(TCTB)</t>
  </si>
  <si>
    <t>ART</t>
  </si>
  <si>
    <t>RC653110114</t>
  </si>
  <si>
    <t>RC653110115</t>
  </si>
  <si>
    <t>NEW WTF2</t>
  </si>
  <si>
    <t>RC653110116</t>
  </si>
  <si>
    <t>DF</t>
  </si>
  <si>
    <t>RC653110117</t>
  </si>
  <si>
    <t>Mitsubishi2</t>
  </si>
  <si>
    <t>RC653110201</t>
  </si>
  <si>
    <t>NTH</t>
  </si>
  <si>
    <t>RC653110202</t>
  </si>
  <si>
    <t>RC653110113</t>
  </si>
  <si>
    <t>ไม่มี route code</t>
  </si>
  <si>
    <t>Ranking6</t>
  </si>
  <si>
    <t>ท่อ NKCC</t>
  </si>
  <si>
    <t>661110002</t>
  </si>
  <si>
    <t>661110004</t>
  </si>
  <si>
    <t>661120001</t>
  </si>
  <si>
    <t>661120002</t>
  </si>
  <si>
    <t>661120003</t>
  </si>
  <si>
    <t>661120004</t>
  </si>
  <si>
    <t>661120005</t>
  </si>
  <si>
    <t>661120006</t>
  </si>
  <si>
    <t>6611201</t>
  </si>
  <si>
    <t>661120101</t>
  </si>
  <si>
    <t>661120102</t>
  </si>
  <si>
    <t>661120103</t>
  </si>
  <si>
    <t>661120104</t>
  </si>
  <si>
    <t>661120105</t>
  </si>
  <si>
    <t>661120106</t>
  </si>
  <si>
    <t>661120107</t>
  </si>
  <si>
    <t>661120108</t>
  </si>
  <si>
    <t>661120109</t>
  </si>
  <si>
    <t>6611202</t>
  </si>
  <si>
    <t>661120201</t>
  </si>
  <si>
    <t>661120110</t>
  </si>
  <si>
    <t>661120202</t>
  </si>
  <si>
    <t>661120401</t>
  </si>
  <si>
    <t>6611205</t>
  </si>
  <si>
    <t>661120501</t>
  </si>
  <si>
    <t>661120502</t>
  </si>
  <si>
    <t>6611206</t>
  </si>
  <si>
    <t>661200001</t>
  </si>
  <si>
    <t>6613</t>
  </si>
  <si>
    <t>6730101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</si>
  <si>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</si>
  <si>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</si>
  <si>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</si>
  <si>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</si>
  <si>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</si>
  <si>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</si>
  <si>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</si>
  <si>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</si>
  <si>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</si>
  <si>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</si>
  <si>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</si>
  <si>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</si>
  <si>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</si>
  <si>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</si>
  <si>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</si>
  <si>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</si>
  <si>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</si>
  <si>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Column3</t>
  </si>
  <si>
    <t>Coating defect survey2</t>
  </si>
  <si>
    <t>CP level</t>
  </si>
  <si>
    <t>Column4</t>
  </si>
  <si>
    <t>ปรับปรุงผลล่าสุด</t>
  </si>
  <si>
    <t>ท่อริมถนนไอ 2</t>
  </si>
  <si>
    <t>RC3305</t>
  </si>
  <si>
    <t>RC3307</t>
  </si>
  <si>
    <t>ท่อ 8" และ 10" I3</t>
  </si>
  <si>
    <t>RC3304</t>
  </si>
  <si>
    <t>ท่อ Looping MTP ริมถนนไอ4</t>
  </si>
  <si>
    <t>RC3302</t>
  </si>
  <si>
    <t>Looping ท่อช่วงหน้าบริษัท วีนิทัย ริมถนน</t>
  </si>
  <si>
    <t>RC330401</t>
  </si>
  <si>
    <t>แนวท่อริมถนนไอ 8</t>
  </si>
  <si>
    <t>RC330500013</t>
  </si>
  <si>
    <t>ท่อเข้า BST</t>
  </si>
  <si>
    <t>RC3303</t>
  </si>
  <si>
    <t>ท่อริมถนน I-3 A</t>
  </si>
  <si>
    <t>RC330300004</t>
  </si>
  <si>
    <t>H.C STARD</t>
  </si>
  <si>
    <t>RC330300002</t>
  </si>
  <si>
    <t xml:space="preserve"> TSSC2</t>
  </si>
  <si>
    <t>RC330100004</t>
  </si>
  <si>
    <t>RC330100001</t>
  </si>
  <si>
    <t>PTT GC 2 (NPC)</t>
  </si>
  <si>
    <t>PTT GC6 (RRC)</t>
  </si>
  <si>
    <t>RC330400005</t>
  </si>
  <si>
    <t>RC330500006</t>
  </si>
  <si>
    <t>PTT GC4(ATC)</t>
  </si>
  <si>
    <t>RC330500010</t>
  </si>
  <si>
    <t>STP</t>
  </si>
  <si>
    <t>RC330500005</t>
  </si>
  <si>
    <t>TSSC</t>
  </si>
  <si>
    <t>RC330500011</t>
  </si>
  <si>
    <t>NS</t>
  </si>
  <si>
    <t>RC33050001</t>
  </si>
  <si>
    <t>RC3301</t>
  </si>
  <si>
    <t>ริมถนนไอ 3</t>
  </si>
  <si>
    <t>Acceptable criteria</t>
  </si>
  <si>
    <t>Total External Corrosion Score</t>
  </si>
  <si>
    <t>Flooding susceptibility</t>
  </si>
  <si>
    <t>possible</t>
  </si>
  <si>
    <t>yes</t>
  </si>
  <si>
    <t>Soil stability</t>
  </si>
  <si>
    <t>Stable</t>
  </si>
  <si>
    <t>Land movement possible</t>
  </si>
  <si>
    <t>Measure strain increase</t>
  </si>
  <si>
    <t>Land movement record</t>
  </si>
  <si>
    <t>Exposed pipeline section</t>
  </si>
  <si>
    <t>All buried</t>
  </si>
  <si>
    <t>Some Areas Exposed</t>
  </si>
  <si>
    <t>Many Areas Exposed</t>
  </si>
  <si>
    <t>All Areas Exposed</t>
  </si>
  <si>
    <t>Category</t>
  </si>
  <si>
    <t>Start</t>
  </si>
  <si>
    <t>Dia</t>
  </si>
  <si>
    <t>Flooding</t>
  </si>
  <si>
    <t>Soil erosion</t>
  </si>
  <si>
    <t>Soil stability2</t>
  </si>
  <si>
    <t>Exposed pipeline section3</t>
  </si>
  <si>
    <t>Total  LGS Score</t>
  </si>
  <si>
    <t>2 Transmission-Branch</t>
  </si>
  <si>
    <t>Total LGS score</t>
  </si>
  <si>
    <t>1 Transmission - Main</t>
  </si>
  <si>
    <t>Ranking43</t>
  </si>
  <si>
    <t>RC330300005</t>
  </si>
  <si>
    <t>RC330600001</t>
  </si>
  <si>
    <t>Z</t>
  </si>
  <si>
    <t>y</t>
  </si>
  <si>
    <t>RC44570101</t>
  </si>
  <si>
    <t>SSW-Prasamutjadee</t>
  </si>
  <si>
    <t>RC44570102</t>
  </si>
  <si>
    <t>SSW-Prapadaeng</t>
  </si>
  <si>
    <t>Column5</t>
  </si>
  <si>
    <t>Acceptable criteria for EXT</t>
  </si>
  <si>
    <t>2,3,4,5</t>
  </si>
  <si>
    <t>6,7</t>
  </si>
  <si>
    <t>8,9</t>
  </si>
  <si>
    <t>12,13</t>
  </si>
  <si>
    <t>23,24,25</t>
  </si>
  <si>
    <t>28,29</t>
  </si>
  <si>
    <t>36,37</t>
  </si>
  <si>
    <t>38,39</t>
  </si>
  <si>
    <t>40,41</t>
  </si>
  <si>
    <t>46,47,48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</si>
</sst>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0.0000%"/>
  </numFmts>
  <fonts count="36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Calibri"/>
      <family val="2"/>
      <charset val="222"/>
    </font>
    <font>
      <b/>
      <u/>
      <sz val="11"/>
      <color theme="1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ahoma"/>
      <family val="2"/>
      <charset val="222"/>
      <scheme val="minor"/>
    </font>
    <font>
      <sz val="9"/>
      <name val="Microsoft Sans Serif"/>
      <family val="2"/>
    </font>
    <font>
      <b/>
      <sz val="11"/>
      <color theme="0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6"/>
      <color theme="1"/>
      <name val="Tahoma"/>
      <family val="2"/>
      <scheme val="minor"/>
    </font>
    <font>
      <b/>
      <sz val="8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scheme val="minor"/>
    </font>
    <font>
      <sz val="9"/>
      <name val="Microsoft Sans Serif"/>
      <family val="2"/>
    </font>
    <font>
      <sz val="11"/>
      <color theme="1"/>
      <name val="Tahoma"/>
      <family val="2"/>
      <scheme val="minor"/>
    </font>
    <font>
      <sz val="11"/>
      <color rgb="FF0070C0"/>
      <name val="Tahoma"/>
      <family val="2"/>
      <scheme val="minor"/>
    </font>
    <font>
      <sz val="9"/>
      <color rgb="FF0070C0"/>
      <name val="Microsoft Sans Serif"/>
      <family val="2"/>
    </font>
    <font>
      <sz val="11"/>
      <color rgb="FF0070C0"/>
      <name val="Tahoma"/>
      <family val="2"/>
      <charset val="222"/>
      <scheme val="minor"/>
    </font>
    <font>
      <sz val="11"/>
      <color rgb="FF0070C0"/>
      <name val="Tahoma"/>
      <family val="2"/>
      <scheme val="minor"/>
    </font>
    <font>
      <sz val="9"/>
      <color rgb="FF0070C0"/>
      <name val="Microsoft Sans Serif"/>
      <family val="2"/>
    </font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1"/>
      <color rgb="FF0070C0"/>
      <name val="Tahoma"/>
      <family val="2"/>
      <scheme val="minor"/>
    </font>
    <font>
      <sz val="9"/>
      <color rgb="FF0070C0"/>
      <name val="Microsoft Sans Serif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Tahoma"/>
      <family val="2"/>
      <scheme val="minor"/>
    </font>
    <font>
      <sz val="11"/>
      <name val="Tahoma"/>
      <scheme val="minor"/>
    </font>
    <font>
      <sz val="9"/>
      <name val="Microsoft Sans Serif"/>
    </font>
    <font>
      <sz val="11"/>
      <color theme="1"/>
      <name val="Tahoma"/>
      <scheme val="minor"/>
    </font>
    <font>
      <b/>
      <sz val="11"/>
      <color theme="1"/>
      <name val="Tahoma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/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7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/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7" fillId="0" borderId="0"/>
  </cellStyleXfs>
  <cellXfs count="26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6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0" fontId="1" fillId="0" borderId="6" xfId="0" applyFont="1" applyFill="1" applyBorder="1" applyAlignment="1">
      <alignment horizontal="center" vertical="center" textRotation="90"/>
    </xf>
    <xf numFmtId="0" fontId="6" fillId="0" borderId="7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/>
    </xf>
    <xf numFmtId="0" fontId="0" fillId="0" borderId="8" xfId="0" applyBorder="1"/>
    <xf numFmtId="0" fontId="0" fillId="0" borderId="2" xfId="0" applyBorder="1"/>
    <xf numFmtId="0" fontId="11" fillId="3" borderId="11" xfId="0" applyFont="1" applyFill="1" applyBorder="1" applyAlignment="1">
      <alignment horizontal="center" vertical="center" textRotation="90"/>
    </xf>
    <xf numFmtId="0" fontId="11" fillId="3" borderId="12" xfId="0" applyFont="1" applyFill="1" applyBorder="1" applyAlignment="1">
      <alignment horizontal="center" vertical="center" textRotation="90" wrapText="1"/>
    </xf>
    <xf numFmtId="0" fontId="8" fillId="0" borderId="2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 textRotation="90"/>
    </xf>
    <xf numFmtId="0" fontId="11" fillId="0" borderId="14" xfId="0" applyFont="1" applyFill="1" applyBorder="1" applyAlignment="1">
      <alignment horizontal="center" vertical="center" textRotation="90" wrapText="1"/>
    </xf>
    <xf numFmtId="0" fontId="0" fillId="0" borderId="1" xfId="0" applyFont="1" applyFill="1" applyBorder="1"/>
    <xf numFmtId="0" fontId="12" fillId="0" borderId="5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textRotation="90"/>
    </xf>
    <xf numFmtId="0" fontId="0" fillId="0" borderId="0" xfId="0" applyAlignment="1">
      <alignment wrapText="1"/>
    </xf>
    <xf numFmtId="0" fontId="8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 textRotation="90"/>
    </xf>
    <xf numFmtId="0" fontId="10" fillId="0" borderId="2" xfId="0" applyFont="1" applyFill="1" applyBorder="1" applyAlignment="1">
      <alignment horizontal="center" vertical="center" textRotation="90"/>
    </xf>
    <xf numFmtId="0" fontId="0" fillId="0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textRotation="90"/>
    </xf>
    <xf numFmtId="0" fontId="0" fillId="0" borderId="1" xfId="0" applyFont="1" applyFill="1" applyBorder="1" applyAlignment="1">
      <alignment horizontal="left" vertical="center" textRotation="90"/>
    </xf>
    <xf numFmtId="0" fontId="1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NumberFormat="1" applyFill="1"/>
    <xf numFmtId="0" fontId="13" fillId="0" borderId="1" xfId="0" applyFont="1" applyFill="1" applyBorder="1"/>
    <xf numFmtId="0" fontId="13" fillId="0" borderId="1" xfId="0" applyNumberFormat="1" applyFont="1" applyFill="1" applyBorder="1"/>
    <xf numFmtId="0" fontId="13" fillId="0" borderId="4" xfId="0" applyFont="1" applyFill="1" applyBorder="1"/>
    <xf numFmtId="0" fontId="0" fillId="0" borderId="8" xfId="0" applyNumberFormat="1" applyBorder="1"/>
    <xf numFmtId="0" fontId="8" fillId="0" borderId="2" xfId="0" applyFont="1" applyFill="1" applyBorder="1" applyAlignment="1">
      <alignment horizontal="center" vertical="center" textRotation="90"/>
    </xf>
    <xf numFmtId="0" fontId="0" fillId="0" borderId="0" xfId="0" applyFill="1" applyBorder="1"/>
    <xf numFmtId="0" fontId="0" fillId="0" borderId="0" xfId="0" applyNumberFormat="1" applyFill="1" applyBorder="1"/>
    <xf numFmtId="9" fontId="0" fillId="0" borderId="0" xfId="1" applyFont="1"/>
    <xf numFmtId="187" fontId="0" fillId="0" borderId="0" xfId="1" applyNumberFormat="1" applyFont="1"/>
    <xf numFmtId="0" fontId="15" fillId="0" borderId="7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left" wrapText="1"/>
    </xf>
    <xf numFmtId="0" fontId="16" fillId="0" borderId="8" xfId="0" applyFont="1" applyFill="1" applyBorder="1" applyAlignment="1">
      <alignment wrapText="1"/>
    </xf>
    <xf numFmtId="0" fontId="15" fillId="0" borderId="8" xfId="0" applyFont="1" applyFill="1" applyBorder="1"/>
    <xf numFmtId="0" fontId="15" fillId="0" borderId="8" xfId="0" applyNumberFormat="1" applyFont="1" applyFill="1" applyBorder="1"/>
    <xf numFmtId="0" fontId="15" fillId="0" borderId="9" xfId="0" applyFont="1" applyFill="1" applyBorder="1"/>
    <xf numFmtId="0" fontId="17" fillId="0" borderId="10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wrapText="1"/>
    </xf>
    <xf numFmtId="0" fontId="19" fillId="0" borderId="1" xfId="0" applyFont="1" applyFill="1" applyBorder="1" applyAlignment="1">
      <alignment wrapText="1"/>
    </xf>
    <xf numFmtId="0" fontId="18" fillId="0" borderId="1" xfId="0" applyFont="1" applyFill="1" applyBorder="1"/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/>
    <xf numFmtId="0" fontId="20" fillId="2" borderId="1" xfId="0" applyFont="1" applyFill="1" applyBorder="1"/>
    <xf numFmtId="0" fontId="21" fillId="0" borderId="3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" fillId="0" borderId="2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horizontal="left" wrapText="1"/>
    </xf>
    <xf numFmtId="0" fontId="19" fillId="4" borderId="1" xfId="0" applyFont="1" applyFill="1" applyBorder="1" applyAlignment="1">
      <alignment wrapText="1"/>
    </xf>
    <xf numFmtId="0" fontId="20" fillId="4" borderId="1" xfId="0" applyFont="1" applyFill="1" applyBorder="1"/>
    <xf numFmtId="0" fontId="20" fillId="4" borderId="4" xfId="0" applyFont="1" applyFill="1" applyBorder="1"/>
    <xf numFmtId="0" fontId="20" fillId="4" borderId="0" xfId="0" applyFont="1" applyFill="1"/>
    <xf numFmtId="0" fontId="0" fillId="0" borderId="1" xfId="0" applyBorder="1" applyAlignment="1">
      <alignment horizontal="left" vertical="center"/>
    </xf>
    <xf numFmtId="0" fontId="0" fillId="0" borderId="1" xfId="0" applyNumberFormat="1" applyBorder="1"/>
    <xf numFmtId="0" fontId="23" fillId="0" borderId="1" xfId="0" applyFont="1" applyFill="1" applyBorder="1"/>
    <xf numFmtId="0" fontId="23" fillId="0" borderId="0" xfId="0" applyNumberFormat="1" applyFont="1" applyFill="1" applyAlignment="1">
      <alignment horizontal="left" vertical="center"/>
    </xf>
    <xf numFmtId="0" fontId="23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8" fillId="2" borderId="3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wrapText="1"/>
    </xf>
    <xf numFmtId="0" fontId="20" fillId="2" borderId="3" xfId="0" applyFont="1" applyFill="1" applyBorder="1" applyAlignment="1">
      <alignment horizontal="center" vertical="center"/>
    </xf>
    <xf numFmtId="0" fontId="0" fillId="2" borderId="0" xfId="0" applyNumberFormat="1" applyFill="1" applyBorder="1"/>
    <xf numFmtId="0" fontId="0" fillId="2" borderId="0" xfId="0" applyNumberFormat="1" applyFill="1"/>
    <xf numFmtId="0" fontId="0" fillId="2" borderId="0" xfId="0" applyFill="1" applyBorder="1"/>
    <xf numFmtId="0" fontId="20" fillId="5" borderId="3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left" wrapText="1"/>
    </xf>
    <xf numFmtId="0" fontId="19" fillId="5" borderId="1" xfId="0" applyFont="1" applyFill="1" applyBorder="1" applyAlignment="1">
      <alignment wrapText="1"/>
    </xf>
    <xf numFmtId="0" fontId="0" fillId="5" borderId="0" xfId="0" applyFill="1"/>
    <xf numFmtId="0" fontId="0" fillId="5" borderId="0" xfId="0" applyNumberFormat="1" applyFill="1"/>
    <xf numFmtId="0" fontId="0" fillId="5" borderId="0" xfId="0" applyFill="1" applyBorder="1"/>
    <xf numFmtId="0" fontId="24" fillId="0" borderId="1" xfId="0" applyFont="1" applyFill="1" applyBorder="1"/>
    <xf numFmtId="0" fontId="24" fillId="0" borderId="2" xfId="0" applyFont="1" applyFill="1" applyBorder="1"/>
    <xf numFmtId="0" fontId="24" fillId="0" borderId="8" xfId="0" applyFont="1" applyFill="1" applyBorder="1"/>
    <xf numFmtId="0" fontId="25" fillId="0" borderId="2" xfId="0" applyFont="1" applyFill="1" applyBorder="1" applyAlignment="1">
      <alignment horizontal="center" vertical="center" textRotation="90"/>
    </xf>
    <xf numFmtId="0" fontId="24" fillId="0" borderId="0" xfId="0" applyFont="1" applyFill="1"/>
    <xf numFmtId="0" fontId="18" fillId="4" borderId="3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center"/>
    </xf>
    <xf numFmtId="0" fontId="18" fillId="4" borderId="1" xfId="0" applyFont="1" applyFill="1" applyBorder="1"/>
    <xf numFmtId="0" fontId="18" fillId="4" borderId="1" xfId="0" applyNumberFormat="1" applyFont="1" applyFill="1" applyBorder="1"/>
    <xf numFmtId="0" fontId="18" fillId="4" borderId="4" xfId="0" applyFont="1" applyFill="1" applyBorder="1"/>
    <xf numFmtId="0" fontId="24" fillId="4" borderId="2" xfId="0" applyFont="1" applyFill="1" applyBorder="1"/>
    <xf numFmtId="0" fontId="24" fillId="4" borderId="1" xfId="0" applyFont="1" applyFill="1" applyBorder="1"/>
    <xf numFmtId="0" fontId="24" fillId="4" borderId="0" xfId="0" applyFont="1" applyFill="1"/>
    <xf numFmtId="0" fontId="19" fillId="6" borderId="1" xfId="0" applyFont="1" applyFill="1" applyBorder="1" applyAlignment="1">
      <alignment horizontal="left" vertical="center"/>
    </xf>
    <xf numFmtId="0" fontId="19" fillId="6" borderId="8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8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wrapText="1"/>
    </xf>
    <xf numFmtId="0" fontId="19" fillId="0" borderId="8" xfId="0" applyFont="1" applyFill="1" applyBorder="1" applyAlignment="1">
      <alignment horizontal="left" wrapText="1"/>
    </xf>
    <xf numFmtId="0" fontId="20" fillId="0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7" fillId="0" borderId="0" xfId="2"/>
    <xf numFmtId="0" fontId="1" fillId="0" borderId="0" xfId="2" applyFont="1"/>
    <xf numFmtId="0" fontId="17" fillId="7" borderId="0" xfId="2" applyFill="1"/>
    <xf numFmtId="0" fontId="17" fillId="0" borderId="0" xfId="2" quotePrefix="1"/>
    <xf numFmtId="0" fontId="17" fillId="0" borderId="0" xfId="2" applyAlignment="1">
      <alignment horizontal="center"/>
    </xf>
    <xf numFmtId="0" fontId="17" fillId="0" borderId="0" xfId="2" quotePrefix="1" applyAlignment="1">
      <alignment horizontal="center"/>
    </xf>
    <xf numFmtId="0" fontId="17" fillId="0" borderId="0" xfId="2" applyAlignment="1">
      <alignment horizontal="left"/>
    </xf>
    <xf numFmtId="0" fontId="2" fillId="0" borderId="0" xfId="2" applyFont="1"/>
    <xf numFmtId="0" fontId="17" fillId="0" borderId="0" xfId="2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7" fillId="0" borderId="0" xfId="2" applyAlignment="1"/>
    <xf numFmtId="0" fontId="17" fillId="0" borderId="0" xfId="2" applyNumberFormat="1" applyAlignment="1">
      <alignment horizontal="right"/>
    </xf>
    <xf numFmtId="0" fontId="29" fillId="0" borderId="16" xfId="2" applyFont="1" applyFill="1" applyBorder="1" applyAlignment="1" applyProtection="1">
      <alignment horizontal="center" vertical="center" wrapText="1"/>
    </xf>
    <xf numFmtId="0" fontId="17" fillId="0" borderId="0" xfId="2" applyAlignment="1">
      <alignment horizontal="center" vertical="center" textRotation="90"/>
    </xf>
    <xf numFmtId="0" fontId="1" fillId="0" borderId="0" xfId="2" applyFont="1" applyAlignment="1">
      <alignment horizontal="center" vertical="center" textRotation="90"/>
    </xf>
    <xf numFmtId="0" fontId="17" fillId="0" borderId="16" xfId="2" applyBorder="1"/>
    <xf numFmtId="0" fontId="17" fillId="2" borderId="0" xfId="2" applyFill="1"/>
    <xf numFmtId="0" fontId="29" fillId="2" borderId="16" xfId="2" applyFont="1" applyFill="1" applyBorder="1" applyAlignment="1" applyProtection="1">
      <alignment horizontal="center" vertical="center" wrapText="1"/>
    </xf>
    <xf numFmtId="0" fontId="17" fillId="0" borderId="0" xfId="2" applyBorder="1"/>
    <xf numFmtId="0" fontId="17" fillId="0" borderId="0" xfId="2" applyNumberFormat="1" applyBorder="1" applyAlignment="1">
      <alignment horizontal="right"/>
    </xf>
    <xf numFmtId="0" fontId="29" fillId="0" borderId="17" xfId="2" applyFont="1" applyFill="1" applyBorder="1" applyAlignment="1" applyProtection="1">
      <alignment horizontal="center" vertical="center" wrapText="1"/>
    </xf>
    <xf numFmtId="0" fontId="30" fillId="0" borderId="16" xfId="2" applyFont="1" applyFill="1" applyBorder="1" applyAlignment="1" applyProtection="1">
      <alignment horizontal="center" vertical="center" wrapText="1"/>
    </xf>
    <xf numFmtId="0" fontId="30" fillId="0" borderId="17" xfId="2" applyFont="1" applyFill="1" applyBorder="1" applyAlignment="1" applyProtection="1">
      <alignment horizontal="center" vertical="center" wrapText="1"/>
    </xf>
    <xf numFmtId="0" fontId="0" fillId="2" borderId="1" xfId="0" applyFill="1" applyBorder="1"/>
    <xf numFmtId="0" fontId="13" fillId="4" borderId="1" xfId="0" applyFont="1" applyFill="1" applyBorder="1"/>
    <xf numFmtId="0" fontId="20" fillId="4" borderId="1" xfId="0" applyFont="1" applyFill="1" applyBorder="1" applyAlignment="1">
      <alignment horizontal="center" vertical="center"/>
    </xf>
    <xf numFmtId="0" fontId="13" fillId="4" borderId="1" xfId="0" applyNumberFormat="1" applyFont="1" applyFill="1" applyBorder="1"/>
    <xf numFmtId="0" fontId="18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6" fillId="4" borderId="4" xfId="0" applyFont="1" applyFill="1" applyBorder="1"/>
    <xf numFmtId="0" fontId="6" fillId="4" borderId="0" xfId="0" applyFont="1" applyFill="1"/>
    <xf numFmtId="0" fontId="21" fillId="4" borderId="3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left" wrapText="1"/>
    </xf>
    <xf numFmtId="0" fontId="22" fillId="4" borderId="1" xfId="0" applyFont="1" applyFill="1" applyBorder="1" applyAlignment="1">
      <alignment wrapText="1"/>
    </xf>
    <xf numFmtId="0" fontId="21" fillId="4" borderId="1" xfId="0" applyFont="1" applyFill="1" applyBorder="1"/>
    <xf numFmtId="0" fontId="21" fillId="4" borderId="1" xfId="0" applyNumberFormat="1" applyFont="1" applyFill="1" applyBorder="1"/>
    <xf numFmtId="0" fontId="21" fillId="4" borderId="4" xfId="0" applyFont="1" applyFill="1" applyBorder="1"/>
    <xf numFmtId="0" fontId="18" fillId="4" borderId="0" xfId="0" applyNumberFormat="1" applyFont="1" applyFill="1"/>
    <xf numFmtId="0" fontId="19" fillId="4" borderId="0" xfId="0" applyFont="1" applyFill="1"/>
    <xf numFmtId="0" fontId="26" fillId="4" borderId="1" xfId="0" applyFont="1" applyFill="1" applyBorder="1"/>
    <xf numFmtId="0" fontId="27" fillId="4" borderId="3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wrapText="1"/>
    </xf>
    <xf numFmtId="0" fontId="28" fillId="4" borderId="1" xfId="0" applyFont="1" applyFill="1" applyBorder="1" applyAlignment="1">
      <alignment wrapText="1"/>
    </xf>
    <xf numFmtId="0" fontId="27" fillId="4" borderId="1" xfId="0" applyFont="1" applyFill="1" applyBorder="1"/>
    <xf numFmtId="0" fontId="27" fillId="4" borderId="1" xfId="0" applyNumberFormat="1" applyFont="1" applyFill="1" applyBorder="1"/>
    <xf numFmtId="0" fontId="27" fillId="4" borderId="4" xfId="0" applyFont="1" applyFill="1" applyBorder="1"/>
    <xf numFmtId="0" fontId="27" fillId="4" borderId="0" xfId="0" applyNumberFormat="1" applyFont="1" applyFill="1"/>
    <xf numFmtId="0" fontId="13" fillId="4" borderId="3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4" xfId="0" applyFont="1" applyFill="1" applyBorder="1"/>
    <xf numFmtId="0" fontId="13" fillId="4" borderId="0" xfId="0" applyNumberFormat="1" applyFont="1" applyFill="1"/>
    <xf numFmtId="0" fontId="31" fillId="0" borderId="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4" xfId="0" applyFont="1" applyFill="1" applyBorder="1"/>
    <xf numFmtId="0" fontId="24" fillId="2" borderId="2" xfId="0" applyFont="1" applyFill="1" applyBorder="1"/>
    <xf numFmtId="0" fontId="24" fillId="2" borderId="0" xfId="0" applyFont="1" applyFill="1"/>
    <xf numFmtId="0" fontId="20" fillId="2" borderId="0" xfId="0" applyFont="1" applyFill="1"/>
    <xf numFmtId="0" fontId="24" fillId="2" borderId="1" xfId="0" applyFont="1" applyFill="1" applyBorder="1"/>
    <xf numFmtId="0" fontId="13" fillId="2" borderId="1" xfId="0" applyNumberFormat="1" applyFont="1" applyFill="1" applyBorder="1"/>
    <xf numFmtId="0" fontId="18" fillId="2" borderId="1" xfId="0" applyFont="1" applyFill="1" applyBorder="1" applyAlignment="1">
      <alignment horizontal="left" vertical="center"/>
    </xf>
    <xf numFmtId="0" fontId="13" fillId="2" borderId="1" xfId="0" applyFont="1" applyFill="1" applyBorder="1"/>
    <xf numFmtId="0" fontId="18" fillId="2" borderId="1" xfId="0" applyFont="1" applyFill="1" applyBorder="1"/>
    <xf numFmtId="0" fontId="18" fillId="2" borderId="1" xfId="0" applyNumberFormat="1" applyFont="1" applyFill="1" applyBorder="1"/>
    <xf numFmtId="0" fontId="18" fillId="2" borderId="4" xfId="0" applyFont="1" applyFill="1" applyBorder="1"/>
    <xf numFmtId="0" fontId="18" fillId="2" borderId="0" xfId="0" applyNumberFormat="1" applyFont="1" applyFill="1"/>
    <xf numFmtId="0" fontId="20" fillId="0" borderId="1" xfId="0" applyFont="1" applyFill="1" applyBorder="1" applyAlignment="1">
      <alignment horizontal="left" vertical="center"/>
    </xf>
    <xf numFmtId="0" fontId="20" fillId="0" borderId="4" xfId="0" applyFont="1" applyFill="1" applyBorder="1"/>
    <xf numFmtId="0" fontId="20" fillId="0" borderId="0" xfId="0" applyFont="1" applyFill="1"/>
    <xf numFmtId="0" fontId="18" fillId="0" borderId="1" xfId="0" applyFont="1" applyFill="1" applyBorder="1" applyAlignment="1">
      <alignment horizontal="left" vertical="center"/>
    </xf>
    <xf numFmtId="0" fontId="18" fillId="0" borderId="1" xfId="0" applyNumberFormat="1" applyFont="1" applyFill="1" applyBorder="1"/>
    <xf numFmtId="0" fontId="18" fillId="0" borderId="4" xfId="0" applyFont="1" applyFill="1" applyBorder="1"/>
    <xf numFmtId="0" fontId="18" fillId="0" borderId="0" xfId="0" applyNumberFormat="1" applyFont="1" applyFill="1"/>
    <xf numFmtId="0" fontId="32" fillId="2" borderId="3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left" vertical="center"/>
    </xf>
    <xf numFmtId="0" fontId="33" fillId="2" borderId="1" xfId="0" applyFont="1" applyFill="1" applyBorder="1" applyAlignment="1">
      <alignment horizontal="left" wrapText="1"/>
    </xf>
    <xf numFmtId="0" fontId="33" fillId="2" borderId="1" xfId="0" applyFont="1" applyFill="1" applyBorder="1" applyAlignment="1">
      <alignment wrapText="1"/>
    </xf>
    <xf numFmtId="0" fontId="32" fillId="2" borderId="1" xfId="0" applyFont="1" applyFill="1" applyBorder="1"/>
    <xf numFmtId="0" fontId="32" fillId="2" borderId="1" xfId="0" applyNumberFormat="1" applyFont="1" applyFill="1" applyBorder="1"/>
    <xf numFmtId="0" fontId="32" fillId="2" borderId="4" xfId="0" applyFont="1" applyFill="1" applyBorder="1"/>
    <xf numFmtId="0" fontId="32" fillId="2" borderId="0" xfId="0" applyNumberFormat="1" applyFont="1" applyFill="1"/>
    <xf numFmtId="0" fontId="27" fillId="2" borderId="3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left" wrapText="1"/>
    </xf>
    <xf numFmtId="0" fontId="28" fillId="2" borderId="1" xfId="0" applyFont="1" applyFill="1" applyBorder="1" applyAlignment="1">
      <alignment wrapText="1"/>
    </xf>
    <xf numFmtId="0" fontId="26" fillId="2" borderId="1" xfId="0" applyFont="1" applyFill="1" applyBorder="1"/>
    <xf numFmtId="0" fontId="27" fillId="2" borderId="1" xfId="0" applyFont="1" applyFill="1" applyBorder="1"/>
    <xf numFmtId="0" fontId="27" fillId="2" borderId="1" xfId="0" applyNumberFormat="1" applyFont="1" applyFill="1" applyBorder="1"/>
    <xf numFmtId="0" fontId="27" fillId="2" borderId="4" xfId="0" applyFont="1" applyFill="1" applyBorder="1"/>
    <xf numFmtId="0" fontId="27" fillId="2" borderId="0" xfId="0" applyNumberFormat="1" applyFont="1" applyFill="1"/>
    <xf numFmtId="0" fontId="34" fillId="0" borderId="0" xfId="0" applyFont="1" applyFill="1" applyBorder="1" applyAlignment="1">
      <alignment horizontal="left" vertical="center"/>
    </xf>
    <xf numFmtId="0" fontId="34" fillId="0" borderId="15" xfId="0" applyFon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20" fillId="0" borderId="8" xfId="0" applyFont="1" applyFill="1" applyBorder="1"/>
    <xf numFmtId="0" fontId="32" fillId="0" borderId="8" xfId="0" applyNumberFormat="1" applyFont="1" applyFill="1" applyBorder="1"/>
    <xf numFmtId="0" fontId="32" fillId="0" borderId="7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left" vertical="center"/>
    </xf>
    <xf numFmtId="0" fontId="33" fillId="0" borderId="8" xfId="0" applyFont="1" applyFill="1" applyBorder="1" applyAlignment="1">
      <alignment horizontal="left" wrapText="1"/>
    </xf>
    <xf numFmtId="0" fontId="33" fillId="0" borderId="8" xfId="0" applyFont="1" applyFill="1" applyBorder="1" applyAlignment="1">
      <alignment wrapText="1"/>
    </xf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NumberFormat="1" applyFont="1" applyFill="1" applyBorder="1"/>
    <xf numFmtId="0" fontId="0" fillId="0" borderId="3" xfId="0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 textRotation="90"/>
    </xf>
    <xf numFmtId="16" fontId="18" fillId="0" borderId="3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23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</cellXfs>
  <cellStyles count="3">
    <cellStyle name="Normal" xfId="0" builtinId="0"/>
    <cellStyle name="Normal 2" xfId="2"/>
    <cellStyle name="Percent" xfId="1" builtinId="5"/>
  </cellStyles>
  <dxfs count="25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EEECE1"/>
        </left>
        <right style="thin">
          <color rgb="FFEEECE1"/>
        </right>
        <top style="thin">
          <color rgb="FFEEECE1"/>
        </top>
        <bottom style="thin">
          <color rgb="FFEEECE1"/>
        </bottom>
        <vertical/>
        <horizontal/>
      </border>
      <protection locked="1" hidden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Microsoft Sans Serif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Microsoft Sans Serif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ahoma"/>
        <scheme val="minor"/>
      </font>
      <fill>
        <patternFill patternType="none">
          <fgColor indexed="64"/>
          <bgColor auto="1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  <color rgb="FF0070C0"/>
        <name val="Microsoft Sans Serif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9"/>
        <color rgb="FF0070C0"/>
        <name val="Microsoft Sans Serif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70C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Microsoft Sans Serif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rgb="FF000000"/>
        </top>
      </border>
    </dxf>
    <dxf>
      <fill>
        <patternFill patternType="none">
          <fgColor rgb="FF000000"/>
          <bgColor auto="1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minor"/>
      </font>
      <fill>
        <patternFill patternType="none">
          <fgColor indexed="64"/>
          <bgColor auto="1"/>
        </patternFill>
      </fill>
      <alignment horizontal="center" vertical="center" textRotation="9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6.xml"/><Relationship Id="rId3" Type="http://schemas.openxmlformats.org/officeDocument/2006/relationships/chartsheet" Target="chartsheets/sheet2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4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3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pipeline </a:t>
            </a:r>
            <a:r>
              <a:rPr lang="en-US" baseline="0"/>
              <a:t> risk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557169878285832E-2"/>
          <c:y val="0.16902801513717258"/>
          <c:w val="0.90469855176430292"/>
          <c:h val="0.76376862382332911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'Risk score summary'!$I$2</c:f>
              <c:strCache>
                <c:ptCount val="1"/>
                <c:pt idx="0">
                  <c:v>INTERNAL CORROSION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summary'!$I$3:$I$314</c:f>
              <c:numCache>
                <c:formatCode>General</c:formatCode>
                <c:ptCount val="312"/>
                <c:pt idx="0">
                  <c:v>34.166666666666664</c:v>
                </c:pt>
                <c:pt idx="1">
                  <c:v>34.166666666666664</c:v>
                </c:pt>
                <c:pt idx="2">
                  <c:v>34.166666666666664</c:v>
                </c:pt>
                <c:pt idx="3">
                  <c:v>34.166666666666664</c:v>
                </c:pt>
                <c:pt idx="4">
                  <c:v>34.166666666666664</c:v>
                </c:pt>
                <c:pt idx="5">
                  <c:v>34.166666666666664</c:v>
                </c:pt>
                <c:pt idx="6">
                  <c:v>34.166666666666664</c:v>
                </c:pt>
                <c:pt idx="7">
                  <c:v>34.166666666666664</c:v>
                </c:pt>
                <c:pt idx="8">
                  <c:v>34.166666666666664</c:v>
                </c:pt>
                <c:pt idx="9">
                  <c:v>34.166666666666664</c:v>
                </c:pt>
                <c:pt idx="10">
                  <c:v>34.166666666666664</c:v>
                </c:pt>
                <c:pt idx="11">
                  <c:v>34.166666666666664</c:v>
                </c:pt>
                <c:pt idx="12">
                  <c:v>34.166666666666664</c:v>
                </c:pt>
                <c:pt idx="13">
                  <c:v>34.166666666666664</c:v>
                </c:pt>
                <c:pt idx="14">
                  <c:v>34.166666666666664</c:v>
                </c:pt>
                <c:pt idx="15">
                  <c:v>34.166666666666664</c:v>
                </c:pt>
                <c:pt idx="16">
                  <c:v>34.166666666666664</c:v>
                </c:pt>
                <c:pt idx="17">
                  <c:v>34.166666666666664</c:v>
                </c:pt>
                <c:pt idx="18">
                  <c:v>34.166666666666664</c:v>
                </c:pt>
                <c:pt idx="19">
                  <c:v>34.166666666666664</c:v>
                </c:pt>
                <c:pt idx="20">
                  <c:v>34.166666666666664</c:v>
                </c:pt>
                <c:pt idx="21">
                  <c:v>34.166666666666664</c:v>
                </c:pt>
                <c:pt idx="22">
                  <c:v>34.166666666666664</c:v>
                </c:pt>
                <c:pt idx="23">
                  <c:v>34.166666666666664</c:v>
                </c:pt>
                <c:pt idx="24">
                  <c:v>34.166666666666664</c:v>
                </c:pt>
                <c:pt idx="25">
                  <c:v>34.166666666666664</c:v>
                </c:pt>
                <c:pt idx="26">
                  <c:v>34.166666666666664</c:v>
                </c:pt>
                <c:pt idx="27">
                  <c:v>34.166666666666664</c:v>
                </c:pt>
                <c:pt idx="28">
                  <c:v>34.166666666666664</c:v>
                </c:pt>
                <c:pt idx="29">
                  <c:v>34.166666666666664</c:v>
                </c:pt>
                <c:pt idx="30">
                  <c:v>34.166666666666664</c:v>
                </c:pt>
                <c:pt idx="31">
                  <c:v>34.166666666666664</c:v>
                </c:pt>
                <c:pt idx="32">
                  <c:v>34.166666666666664</c:v>
                </c:pt>
                <c:pt idx="33">
                  <c:v>33.611111111111107</c:v>
                </c:pt>
                <c:pt idx="34">
                  <c:v>34.166666666666664</c:v>
                </c:pt>
                <c:pt idx="35">
                  <c:v>34.166666666666664</c:v>
                </c:pt>
                <c:pt idx="36">
                  <c:v>34.166666666666664</c:v>
                </c:pt>
                <c:pt idx="37">
                  <c:v>34.166666666666664</c:v>
                </c:pt>
                <c:pt idx="38">
                  <c:v>34.166666666666664</c:v>
                </c:pt>
                <c:pt idx="39">
                  <c:v>34.166666666666664</c:v>
                </c:pt>
                <c:pt idx="40">
                  <c:v>34.166666666666664</c:v>
                </c:pt>
                <c:pt idx="41">
                  <c:v>34.166666666666664</c:v>
                </c:pt>
                <c:pt idx="42">
                  <c:v>34.166666666666664</c:v>
                </c:pt>
                <c:pt idx="43">
                  <c:v>34.166666666666664</c:v>
                </c:pt>
                <c:pt idx="44">
                  <c:v>34.166666666666664</c:v>
                </c:pt>
                <c:pt idx="45">
                  <c:v>33.333333333333329</c:v>
                </c:pt>
                <c:pt idx="46">
                  <c:v>34.166666666666664</c:v>
                </c:pt>
                <c:pt idx="47">
                  <c:v>34.166666666666664</c:v>
                </c:pt>
                <c:pt idx="48">
                  <c:v>34.166666666666664</c:v>
                </c:pt>
                <c:pt idx="49">
                  <c:v>34.166666666666664</c:v>
                </c:pt>
                <c:pt idx="50">
                  <c:v>34.166666666666664</c:v>
                </c:pt>
                <c:pt idx="51">
                  <c:v>34.166666666666664</c:v>
                </c:pt>
                <c:pt idx="52">
                  <c:v>34.166666666666664</c:v>
                </c:pt>
                <c:pt idx="53">
                  <c:v>33.611111111111107</c:v>
                </c:pt>
                <c:pt idx="54">
                  <c:v>34.166666666666664</c:v>
                </c:pt>
                <c:pt idx="55">
                  <c:v>34.166666666666664</c:v>
                </c:pt>
                <c:pt idx="56">
                  <c:v>34.166666666666664</c:v>
                </c:pt>
                <c:pt idx="57">
                  <c:v>34.166666666666664</c:v>
                </c:pt>
                <c:pt idx="58">
                  <c:v>34.166666666666664</c:v>
                </c:pt>
                <c:pt idx="59">
                  <c:v>34.166666666666664</c:v>
                </c:pt>
                <c:pt idx="60">
                  <c:v>34.999999999999993</c:v>
                </c:pt>
                <c:pt idx="61">
                  <c:v>33.888888888888886</c:v>
                </c:pt>
                <c:pt idx="62">
                  <c:v>33.888888888888886</c:v>
                </c:pt>
                <c:pt idx="63">
                  <c:v>33.611111111111107</c:v>
                </c:pt>
                <c:pt idx="64">
                  <c:v>33.888888888888886</c:v>
                </c:pt>
                <c:pt idx="65">
                  <c:v>34.166666666666664</c:v>
                </c:pt>
                <c:pt idx="66">
                  <c:v>34.166666666666664</c:v>
                </c:pt>
                <c:pt idx="67">
                  <c:v>34.166666666666664</c:v>
                </c:pt>
                <c:pt idx="69">
                  <c:v>34.166666666666664</c:v>
                </c:pt>
                <c:pt idx="70">
                  <c:v>34.166666666666664</c:v>
                </c:pt>
                <c:pt idx="71">
                  <c:v>34.166666666666664</c:v>
                </c:pt>
                <c:pt idx="72">
                  <c:v>34.166666666666664</c:v>
                </c:pt>
                <c:pt idx="73">
                  <c:v>34.166666666666664</c:v>
                </c:pt>
                <c:pt idx="74">
                  <c:v>34.166666666666664</c:v>
                </c:pt>
                <c:pt idx="75">
                  <c:v>33.333333333333329</c:v>
                </c:pt>
                <c:pt idx="76">
                  <c:v>33.333333333333329</c:v>
                </c:pt>
                <c:pt idx="77">
                  <c:v>33.333333333333329</c:v>
                </c:pt>
                <c:pt idx="78">
                  <c:v>33.333333333333329</c:v>
                </c:pt>
                <c:pt idx="79">
                  <c:v>34.166666666666664</c:v>
                </c:pt>
                <c:pt idx="80">
                  <c:v>34.166666666666664</c:v>
                </c:pt>
                <c:pt idx="81">
                  <c:v>34.166666666666664</c:v>
                </c:pt>
                <c:pt idx="82">
                  <c:v>34.166666666666664</c:v>
                </c:pt>
                <c:pt idx="83">
                  <c:v>34.166666666666664</c:v>
                </c:pt>
                <c:pt idx="84">
                  <c:v>34.166666666666664</c:v>
                </c:pt>
                <c:pt idx="85">
                  <c:v>34.166666666666664</c:v>
                </c:pt>
                <c:pt idx="86">
                  <c:v>34.166666666666664</c:v>
                </c:pt>
                <c:pt idx="87">
                  <c:v>34.166666666666664</c:v>
                </c:pt>
                <c:pt idx="88">
                  <c:v>34.166666666666664</c:v>
                </c:pt>
                <c:pt idx="89">
                  <c:v>34.166666666666664</c:v>
                </c:pt>
                <c:pt idx="90">
                  <c:v>34.166666666666664</c:v>
                </c:pt>
                <c:pt idx="91">
                  <c:v>33.333333333333329</c:v>
                </c:pt>
                <c:pt idx="92">
                  <c:v>33.333333333333329</c:v>
                </c:pt>
                <c:pt idx="93">
                  <c:v>34.166666666666664</c:v>
                </c:pt>
                <c:pt idx="94">
                  <c:v>34.166666666666664</c:v>
                </c:pt>
                <c:pt idx="95">
                  <c:v>33.333333333333329</c:v>
                </c:pt>
                <c:pt idx="96">
                  <c:v>34.166666666666664</c:v>
                </c:pt>
                <c:pt idx="97">
                  <c:v>33.333333333333329</c:v>
                </c:pt>
                <c:pt idx="98">
                  <c:v>33.333333333333329</c:v>
                </c:pt>
                <c:pt idx="99">
                  <c:v>33.333333333333329</c:v>
                </c:pt>
                <c:pt idx="100">
                  <c:v>34.166666666666664</c:v>
                </c:pt>
                <c:pt idx="101">
                  <c:v>34.166666666666664</c:v>
                </c:pt>
                <c:pt idx="102">
                  <c:v>34.166666666666664</c:v>
                </c:pt>
                <c:pt idx="103">
                  <c:v>34.166666666666664</c:v>
                </c:pt>
                <c:pt idx="104">
                  <c:v>34.166666666666664</c:v>
                </c:pt>
                <c:pt idx="105">
                  <c:v>34.166666666666664</c:v>
                </c:pt>
                <c:pt idx="106">
                  <c:v>34.166666666666664</c:v>
                </c:pt>
                <c:pt idx="107">
                  <c:v>34.166666666666664</c:v>
                </c:pt>
                <c:pt idx="108">
                  <c:v>34.166666666666664</c:v>
                </c:pt>
                <c:pt idx="109">
                  <c:v>34.166666666666664</c:v>
                </c:pt>
                <c:pt idx="110">
                  <c:v>34.166666666666664</c:v>
                </c:pt>
                <c:pt idx="111">
                  <c:v>34.166666666666664</c:v>
                </c:pt>
                <c:pt idx="112">
                  <c:v>34.166666666666664</c:v>
                </c:pt>
                <c:pt idx="113">
                  <c:v>34.166666666666664</c:v>
                </c:pt>
                <c:pt idx="114">
                  <c:v>34.166666666666664</c:v>
                </c:pt>
                <c:pt idx="115">
                  <c:v>34.166666666666664</c:v>
                </c:pt>
                <c:pt idx="116">
                  <c:v>34.166666666666664</c:v>
                </c:pt>
                <c:pt idx="117">
                  <c:v>34.166666666666664</c:v>
                </c:pt>
                <c:pt idx="118">
                  <c:v>34.166666666666664</c:v>
                </c:pt>
                <c:pt idx="119">
                  <c:v>34.166666666666664</c:v>
                </c:pt>
                <c:pt idx="120">
                  <c:v>34.166666666666664</c:v>
                </c:pt>
                <c:pt idx="121">
                  <c:v>34.166666666666664</c:v>
                </c:pt>
                <c:pt idx="122">
                  <c:v>34.166666666666664</c:v>
                </c:pt>
                <c:pt idx="123">
                  <c:v>34.166666666666664</c:v>
                </c:pt>
                <c:pt idx="124">
                  <c:v>34.166666666666664</c:v>
                </c:pt>
                <c:pt idx="125">
                  <c:v>34.166666666666664</c:v>
                </c:pt>
                <c:pt idx="126">
                  <c:v>34.166666666666664</c:v>
                </c:pt>
                <c:pt idx="127">
                  <c:v>34.166666666666664</c:v>
                </c:pt>
                <c:pt idx="128">
                  <c:v>34.166666666666664</c:v>
                </c:pt>
                <c:pt idx="129">
                  <c:v>34.166666666666664</c:v>
                </c:pt>
                <c:pt idx="130">
                  <c:v>34.166666666666664</c:v>
                </c:pt>
                <c:pt idx="131">
                  <c:v>34.166666666666664</c:v>
                </c:pt>
                <c:pt idx="132">
                  <c:v>34.166666666666664</c:v>
                </c:pt>
                <c:pt idx="133">
                  <c:v>34.166666666666664</c:v>
                </c:pt>
                <c:pt idx="134">
                  <c:v>34.166666666666664</c:v>
                </c:pt>
                <c:pt idx="135">
                  <c:v>33.611111111111107</c:v>
                </c:pt>
                <c:pt idx="136">
                  <c:v>33.611111111111107</c:v>
                </c:pt>
                <c:pt idx="137">
                  <c:v>34.166666666666664</c:v>
                </c:pt>
                <c:pt idx="138">
                  <c:v>34.166666666666664</c:v>
                </c:pt>
                <c:pt idx="139">
                  <c:v>34.166666666666664</c:v>
                </c:pt>
                <c:pt idx="140">
                  <c:v>34.166666666666664</c:v>
                </c:pt>
                <c:pt idx="141">
                  <c:v>34.166666666666664</c:v>
                </c:pt>
                <c:pt idx="142">
                  <c:v>34.166666666666664</c:v>
                </c:pt>
                <c:pt idx="143">
                  <c:v>34.166666666666664</c:v>
                </c:pt>
                <c:pt idx="144">
                  <c:v>34.166666666666664</c:v>
                </c:pt>
                <c:pt idx="145">
                  <c:v>34.166666666666664</c:v>
                </c:pt>
                <c:pt idx="146">
                  <c:v>34.166666666666664</c:v>
                </c:pt>
                <c:pt idx="147">
                  <c:v>34.166666666666664</c:v>
                </c:pt>
                <c:pt idx="148">
                  <c:v>34.166666666666664</c:v>
                </c:pt>
                <c:pt idx="149">
                  <c:v>34.166666666666664</c:v>
                </c:pt>
                <c:pt idx="150">
                  <c:v>34.166666666666664</c:v>
                </c:pt>
                <c:pt idx="151">
                  <c:v>34.166666666666664</c:v>
                </c:pt>
                <c:pt idx="152">
                  <c:v>34.166666666666664</c:v>
                </c:pt>
                <c:pt idx="153">
                  <c:v>34.166666666666664</c:v>
                </c:pt>
                <c:pt idx="154">
                  <c:v>34.166666666666664</c:v>
                </c:pt>
                <c:pt idx="155">
                  <c:v>34.166666666666664</c:v>
                </c:pt>
                <c:pt idx="156">
                  <c:v>34.166666666666664</c:v>
                </c:pt>
                <c:pt idx="157">
                  <c:v>34.166666666666664</c:v>
                </c:pt>
                <c:pt idx="158">
                  <c:v>34.166666666666664</c:v>
                </c:pt>
                <c:pt idx="159">
                  <c:v>34.166666666666664</c:v>
                </c:pt>
                <c:pt idx="160">
                  <c:v>34.166666666666664</c:v>
                </c:pt>
                <c:pt idx="161">
                  <c:v>34.166666666666664</c:v>
                </c:pt>
                <c:pt idx="162">
                  <c:v>34.166666666666664</c:v>
                </c:pt>
                <c:pt idx="163">
                  <c:v>34.166666666666664</c:v>
                </c:pt>
                <c:pt idx="164">
                  <c:v>34.166666666666664</c:v>
                </c:pt>
                <c:pt idx="165">
                  <c:v>34.166666666666664</c:v>
                </c:pt>
                <c:pt idx="166">
                  <c:v>34.166666666666664</c:v>
                </c:pt>
                <c:pt idx="167">
                  <c:v>34.166666666666664</c:v>
                </c:pt>
                <c:pt idx="168">
                  <c:v>34.166666666666664</c:v>
                </c:pt>
                <c:pt idx="169">
                  <c:v>34.166666666666664</c:v>
                </c:pt>
                <c:pt idx="170">
                  <c:v>34.166666666666664</c:v>
                </c:pt>
                <c:pt idx="171">
                  <c:v>34.166666666666664</c:v>
                </c:pt>
                <c:pt idx="172">
                  <c:v>34.166666666666664</c:v>
                </c:pt>
                <c:pt idx="173">
                  <c:v>34.166666666666664</c:v>
                </c:pt>
                <c:pt idx="174">
                  <c:v>34.166666666666664</c:v>
                </c:pt>
                <c:pt idx="175">
                  <c:v>34.166666666666664</c:v>
                </c:pt>
                <c:pt idx="176">
                  <c:v>34.166666666666664</c:v>
                </c:pt>
                <c:pt idx="177">
                  <c:v>34.166666666666664</c:v>
                </c:pt>
                <c:pt idx="178">
                  <c:v>33.611111111111107</c:v>
                </c:pt>
                <c:pt idx="179">
                  <c:v>34.166666666666664</c:v>
                </c:pt>
                <c:pt idx="180">
                  <c:v>33.611111111111107</c:v>
                </c:pt>
                <c:pt idx="181">
                  <c:v>33.611111111111107</c:v>
                </c:pt>
                <c:pt idx="182">
                  <c:v>33.611111111111107</c:v>
                </c:pt>
                <c:pt idx="183">
                  <c:v>33.611111111111107</c:v>
                </c:pt>
                <c:pt idx="184">
                  <c:v>34.166666666666664</c:v>
                </c:pt>
                <c:pt idx="185">
                  <c:v>34.166666666666664</c:v>
                </c:pt>
                <c:pt idx="186">
                  <c:v>33.611111111111107</c:v>
                </c:pt>
                <c:pt idx="187">
                  <c:v>34.166666666666664</c:v>
                </c:pt>
                <c:pt idx="188">
                  <c:v>34.166666666666664</c:v>
                </c:pt>
                <c:pt idx="189">
                  <c:v>34.166666666666664</c:v>
                </c:pt>
                <c:pt idx="190">
                  <c:v>34.166666666666664</c:v>
                </c:pt>
                <c:pt idx="191">
                  <c:v>34.166666666666664</c:v>
                </c:pt>
                <c:pt idx="192">
                  <c:v>34.166666666666664</c:v>
                </c:pt>
                <c:pt idx="193">
                  <c:v>34.166666666666664</c:v>
                </c:pt>
                <c:pt idx="194">
                  <c:v>34.166666666666664</c:v>
                </c:pt>
                <c:pt idx="195">
                  <c:v>34.166666666666664</c:v>
                </c:pt>
                <c:pt idx="196">
                  <c:v>34.166666666666664</c:v>
                </c:pt>
                <c:pt idx="197">
                  <c:v>34.166666666666664</c:v>
                </c:pt>
                <c:pt idx="198">
                  <c:v>34.166666666666664</c:v>
                </c:pt>
                <c:pt idx="199">
                  <c:v>34.166666666666664</c:v>
                </c:pt>
                <c:pt idx="200">
                  <c:v>34.166666666666664</c:v>
                </c:pt>
                <c:pt idx="201">
                  <c:v>34.166666666666664</c:v>
                </c:pt>
                <c:pt idx="202">
                  <c:v>34.166666666666664</c:v>
                </c:pt>
                <c:pt idx="203">
                  <c:v>34.166666666666664</c:v>
                </c:pt>
                <c:pt idx="204">
                  <c:v>34.166666666666664</c:v>
                </c:pt>
                <c:pt idx="205">
                  <c:v>33.611111111111107</c:v>
                </c:pt>
                <c:pt idx="206">
                  <c:v>33.611111111111107</c:v>
                </c:pt>
                <c:pt idx="207">
                  <c:v>34.166666666666664</c:v>
                </c:pt>
                <c:pt idx="208">
                  <c:v>33.333333333333329</c:v>
                </c:pt>
                <c:pt idx="209">
                  <c:v>34.166666666666664</c:v>
                </c:pt>
                <c:pt idx="210">
                  <c:v>33.333333333333329</c:v>
                </c:pt>
                <c:pt idx="211">
                  <c:v>33.611111111111107</c:v>
                </c:pt>
                <c:pt idx="212">
                  <c:v>34.166666666666664</c:v>
                </c:pt>
                <c:pt idx="213">
                  <c:v>34.166666666666664</c:v>
                </c:pt>
                <c:pt idx="214">
                  <c:v>34.166666666666664</c:v>
                </c:pt>
                <c:pt idx="215">
                  <c:v>34.166666666666664</c:v>
                </c:pt>
                <c:pt idx="216">
                  <c:v>33.333333333333329</c:v>
                </c:pt>
                <c:pt idx="217">
                  <c:v>34.166666666666664</c:v>
                </c:pt>
                <c:pt idx="218">
                  <c:v>33.333333333333329</c:v>
                </c:pt>
                <c:pt idx="219">
                  <c:v>33.333333333333329</c:v>
                </c:pt>
                <c:pt idx="220">
                  <c:v>34.166666666666664</c:v>
                </c:pt>
                <c:pt idx="221">
                  <c:v>34.166666666666664</c:v>
                </c:pt>
                <c:pt idx="222">
                  <c:v>34.166666666666664</c:v>
                </c:pt>
                <c:pt idx="223">
                  <c:v>34.166666666666664</c:v>
                </c:pt>
                <c:pt idx="224">
                  <c:v>34.999999999999993</c:v>
                </c:pt>
                <c:pt idx="225">
                  <c:v>34.999999999999993</c:v>
                </c:pt>
                <c:pt idx="226">
                  <c:v>34.166666666666664</c:v>
                </c:pt>
                <c:pt idx="227">
                  <c:v>33.333333333333329</c:v>
                </c:pt>
                <c:pt idx="228">
                  <c:v>33.333333333333329</c:v>
                </c:pt>
                <c:pt idx="229">
                  <c:v>33.333333333333329</c:v>
                </c:pt>
                <c:pt idx="230">
                  <c:v>34.999999999999993</c:v>
                </c:pt>
                <c:pt idx="231">
                  <c:v>34.999999999999993</c:v>
                </c:pt>
                <c:pt idx="232">
                  <c:v>33.333333333333329</c:v>
                </c:pt>
                <c:pt idx="233">
                  <c:v>33.333333333333329</c:v>
                </c:pt>
                <c:pt idx="234">
                  <c:v>33.333333333333329</c:v>
                </c:pt>
                <c:pt idx="235">
                  <c:v>33.333333333333329</c:v>
                </c:pt>
                <c:pt idx="236">
                  <c:v>34.166666666666664</c:v>
                </c:pt>
                <c:pt idx="237">
                  <c:v>34.166666666666664</c:v>
                </c:pt>
                <c:pt idx="238">
                  <c:v>34.166666666666664</c:v>
                </c:pt>
                <c:pt idx="239">
                  <c:v>34.166666666666664</c:v>
                </c:pt>
                <c:pt idx="240">
                  <c:v>33.611111111111107</c:v>
                </c:pt>
                <c:pt idx="241">
                  <c:v>33.333333333333329</c:v>
                </c:pt>
                <c:pt idx="242">
                  <c:v>33.611111111111107</c:v>
                </c:pt>
                <c:pt idx="243">
                  <c:v>33.611111111111107</c:v>
                </c:pt>
                <c:pt idx="244">
                  <c:v>33.611111111111107</c:v>
                </c:pt>
                <c:pt idx="245">
                  <c:v>33.611111111111107</c:v>
                </c:pt>
                <c:pt idx="246">
                  <c:v>34.166666666666664</c:v>
                </c:pt>
                <c:pt idx="247">
                  <c:v>34.166666666666664</c:v>
                </c:pt>
                <c:pt idx="248">
                  <c:v>34.166666666666664</c:v>
                </c:pt>
                <c:pt idx="249">
                  <c:v>34.166666666666664</c:v>
                </c:pt>
                <c:pt idx="250">
                  <c:v>34.166666666666664</c:v>
                </c:pt>
                <c:pt idx="251">
                  <c:v>34.166666666666664</c:v>
                </c:pt>
                <c:pt idx="252">
                  <c:v>34.166666666666664</c:v>
                </c:pt>
                <c:pt idx="253">
                  <c:v>34.166666666666664</c:v>
                </c:pt>
                <c:pt idx="254">
                  <c:v>34.166666666666664</c:v>
                </c:pt>
                <c:pt idx="255">
                  <c:v>34.166666666666664</c:v>
                </c:pt>
                <c:pt idx="256">
                  <c:v>34.166666666666664</c:v>
                </c:pt>
                <c:pt idx="257">
                  <c:v>34.166666666666664</c:v>
                </c:pt>
                <c:pt idx="258">
                  <c:v>34.166666666666664</c:v>
                </c:pt>
                <c:pt idx="259">
                  <c:v>33.611111111111107</c:v>
                </c:pt>
                <c:pt idx="260">
                  <c:v>34.999999999999993</c:v>
                </c:pt>
                <c:pt idx="261">
                  <c:v>34.999999999999993</c:v>
                </c:pt>
                <c:pt idx="262">
                  <c:v>34.166666666666664</c:v>
                </c:pt>
                <c:pt idx="263">
                  <c:v>34.166666666666664</c:v>
                </c:pt>
                <c:pt idx="264">
                  <c:v>34.166666666666664</c:v>
                </c:pt>
                <c:pt idx="265">
                  <c:v>34.166666666666664</c:v>
                </c:pt>
                <c:pt idx="266">
                  <c:v>34.166666666666664</c:v>
                </c:pt>
                <c:pt idx="267">
                  <c:v>34.166666666666664</c:v>
                </c:pt>
                <c:pt idx="268">
                  <c:v>34.166666666666664</c:v>
                </c:pt>
                <c:pt idx="269">
                  <c:v>34.166666666666664</c:v>
                </c:pt>
                <c:pt idx="270">
                  <c:v>34.166666666666664</c:v>
                </c:pt>
                <c:pt idx="271">
                  <c:v>34.166666666666664</c:v>
                </c:pt>
                <c:pt idx="272">
                  <c:v>34.166666666666664</c:v>
                </c:pt>
                <c:pt idx="273">
                  <c:v>34.166666666666664</c:v>
                </c:pt>
                <c:pt idx="274">
                  <c:v>34.166666666666664</c:v>
                </c:pt>
                <c:pt idx="275">
                  <c:v>34.166666666666664</c:v>
                </c:pt>
                <c:pt idx="276">
                  <c:v>34.166666666666664</c:v>
                </c:pt>
                <c:pt idx="277">
                  <c:v>34.166666666666664</c:v>
                </c:pt>
                <c:pt idx="278">
                  <c:v>34.166666666666664</c:v>
                </c:pt>
                <c:pt idx="279">
                  <c:v>34.166666666666664</c:v>
                </c:pt>
                <c:pt idx="280">
                  <c:v>34.166666666666664</c:v>
                </c:pt>
                <c:pt idx="281">
                  <c:v>34.166666666666664</c:v>
                </c:pt>
                <c:pt idx="282">
                  <c:v>33.611111111111107</c:v>
                </c:pt>
                <c:pt idx="283">
                  <c:v>34.166666666666664</c:v>
                </c:pt>
                <c:pt idx="284">
                  <c:v>34.166666666666664</c:v>
                </c:pt>
                <c:pt idx="285">
                  <c:v>34.166666666666664</c:v>
                </c:pt>
                <c:pt idx="286">
                  <c:v>33.611111111111107</c:v>
                </c:pt>
                <c:pt idx="287">
                  <c:v>34.166666666666664</c:v>
                </c:pt>
                <c:pt idx="288">
                  <c:v>34.166666666666664</c:v>
                </c:pt>
                <c:pt idx="289">
                  <c:v>34.166666666666664</c:v>
                </c:pt>
                <c:pt idx="290">
                  <c:v>34.166666666666664</c:v>
                </c:pt>
                <c:pt idx="291">
                  <c:v>34.166666666666664</c:v>
                </c:pt>
                <c:pt idx="292">
                  <c:v>34.166666666666664</c:v>
                </c:pt>
                <c:pt idx="293">
                  <c:v>34.166666666666664</c:v>
                </c:pt>
                <c:pt idx="294">
                  <c:v>34.166666666666664</c:v>
                </c:pt>
                <c:pt idx="295">
                  <c:v>34.166666666666664</c:v>
                </c:pt>
                <c:pt idx="296">
                  <c:v>34.166666666666664</c:v>
                </c:pt>
                <c:pt idx="297">
                  <c:v>34.166666666666664</c:v>
                </c:pt>
                <c:pt idx="298">
                  <c:v>34.166666666666664</c:v>
                </c:pt>
                <c:pt idx="299">
                  <c:v>34.166666666666664</c:v>
                </c:pt>
                <c:pt idx="300">
                  <c:v>34.166666666666664</c:v>
                </c:pt>
                <c:pt idx="301">
                  <c:v>34.166666666666664</c:v>
                </c:pt>
                <c:pt idx="302">
                  <c:v>34.166666666666664</c:v>
                </c:pt>
                <c:pt idx="303">
                  <c:v>34.166666666666664</c:v>
                </c:pt>
                <c:pt idx="304">
                  <c:v>34.166666666666664</c:v>
                </c:pt>
                <c:pt idx="305">
                  <c:v>34.166666666666664</c:v>
                </c:pt>
                <c:pt idx="306">
                  <c:v>34.166666666666664</c:v>
                </c:pt>
                <c:pt idx="307">
                  <c:v>34.166666666666664</c:v>
                </c:pt>
                <c:pt idx="308">
                  <c:v>34.166666666666664</c:v>
                </c:pt>
                <c:pt idx="309">
                  <c:v>34.166666666666664</c:v>
                </c:pt>
                <c:pt idx="310">
                  <c:v>34.166666666666664</c:v>
                </c:pt>
                <c:pt idx="311">
                  <c:v>34.166666666666664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E-410E-91CF-A54BF56F9C0F}"/>
            </c:ext>
          </c:extLst>
        </c:ser>
        <c:ser>
          <c:idx val="4"/>
          <c:order val="2"/>
          <c:tx>
            <c:strRef>
              <c:f>'Risk score summary'!$K$2</c:f>
              <c:strCache>
                <c:ptCount val="1"/>
                <c:pt idx="0">
                  <c:v>EXTERNAL CORROSION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summary'!$K$3:$K$314</c:f>
              <c:numCache>
                <c:formatCode>General</c:formatCode>
                <c:ptCount val="312"/>
                <c:pt idx="0">
                  <c:v>19.493670000000002</c:v>
                </c:pt>
                <c:pt idx="1">
                  <c:v>19.493670000000002</c:v>
                </c:pt>
                <c:pt idx="2">
                  <c:v>19.493670000000002</c:v>
                </c:pt>
                <c:pt idx="3">
                  <c:v>19.493670000000002</c:v>
                </c:pt>
                <c:pt idx="4">
                  <c:v>19.493670000000002</c:v>
                </c:pt>
                <c:pt idx="5">
                  <c:v>19.493670000000002</c:v>
                </c:pt>
                <c:pt idx="6">
                  <c:v>19.493670000000002</c:v>
                </c:pt>
                <c:pt idx="7">
                  <c:v>19.493670000000002</c:v>
                </c:pt>
                <c:pt idx="8">
                  <c:v>19.493670000000002</c:v>
                </c:pt>
                <c:pt idx="9">
                  <c:v>19.493670000000002</c:v>
                </c:pt>
                <c:pt idx="10">
                  <c:v>19.493670000000002</c:v>
                </c:pt>
                <c:pt idx="11">
                  <c:v>19.493670000000002</c:v>
                </c:pt>
                <c:pt idx="12">
                  <c:v>19.493670000000002</c:v>
                </c:pt>
                <c:pt idx="13">
                  <c:v>19.493670000000002</c:v>
                </c:pt>
                <c:pt idx="14">
                  <c:v>19.493670000000002</c:v>
                </c:pt>
                <c:pt idx="15">
                  <c:v>19.493670000000002</c:v>
                </c:pt>
                <c:pt idx="16">
                  <c:v>19.493670000000002</c:v>
                </c:pt>
                <c:pt idx="17">
                  <c:v>19.493670000000002</c:v>
                </c:pt>
                <c:pt idx="18">
                  <c:v>19.493670000000002</c:v>
                </c:pt>
                <c:pt idx="19">
                  <c:v>19.493670000000002</c:v>
                </c:pt>
                <c:pt idx="20">
                  <c:v>19.493670000000002</c:v>
                </c:pt>
                <c:pt idx="21">
                  <c:v>19.493670000000002</c:v>
                </c:pt>
                <c:pt idx="22">
                  <c:v>19.493670000000002</c:v>
                </c:pt>
                <c:pt idx="23">
                  <c:v>19.493670000000002</c:v>
                </c:pt>
                <c:pt idx="24">
                  <c:v>19.493670000000002</c:v>
                </c:pt>
                <c:pt idx="25">
                  <c:v>19.493670000000002</c:v>
                </c:pt>
                <c:pt idx="26">
                  <c:v>19.493670000000002</c:v>
                </c:pt>
                <c:pt idx="27">
                  <c:v>19.493670000000002</c:v>
                </c:pt>
                <c:pt idx="28">
                  <c:v>19.493670000000002</c:v>
                </c:pt>
                <c:pt idx="29">
                  <c:v>19.493670000000002</c:v>
                </c:pt>
                <c:pt idx="30">
                  <c:v>19.493670000000002</c:v>
                </c:pt>
                <c:pt idx="31">
                  <c:v>19.493670000000002</c:v>
                </c:pt>
                <c:pt idx="32">
                  <c:v>19.493670000000002</c:v>
                </c:pt>
                <c:pt idx="33">
                  <c:v>19.493670000000002</c:v>
                </c:pt>
                <c:pt idx="34">
                  <c:v>19.493670000000002</c:v>
                </c:pt>
                <c:pt idx="35">
                  <c:v>19.493670000000002</c:v>
                </c:pt>
                <c:pt idx="36">
                  <c:v>19.493670000000002</c:v>
                </c:pt>
                <c:pt idx="37">
                  <c:v>19.493670000000002</c:v>
                </c:pt>
                <c:pt idx="38">
                  <c:v>19.493670000000002</c:v>
                </c:pt>
                <c:pt idx="39">
                  <c:v>19.493670000000002</c:v>
                </c:pt>
                <c:pt idx="40">
                  <c:v>19.493670000000002</c:v>
                </c:pt>
                <c:pt idx="41">
                  <c:v>19.493670000000002</c:v>
                </c:pt>
                <c:pt idx="42">
                  <c:v>19.493670000000002</c:v>
                </c:pt>
                <c:pt idx="43">
                  <c:v>19.493670000000002</c:v>
                </c:pt>
                <c:pt idx="44">
                  <c:v>19.493670000000002</c:v>
                </c:pt>
                <c:pt idx="45">
                  <c:v>19.493670000000002</c:v>
                </c:pt>
                <c:pt idx="46">
                  <c:v>19.493670000000002</c:v>
                </c:pt>
                <c:pt idx="47">
                  <c:v>19.493670000000002</c:v>
                </c:pt>
                <c:pt idx="48">
                  <c:v>19.493670000000002</c:v>
                </c:pt>
                <c:pt idx="49">
                  <c:v>19.493670000000002</c:v>
                </c:pt>
                <c:pt idx="50">
                  <c:v>19.493670000000002</c:v>
                </c:pt>
                <c:pt idx="51">
                  <c:v>19.493670000000002</c:v>
                </c:pt>
                <c:pt idx="52">
                  <c:v>19.493670000000002</c:v>
                </c:pt>
                <c:pt idx="53">
                  <c:v>19.493670000000002</c:v>
                </c:pt>
                <c:pt idx="54">
                  <c:v>19.493670000000002</c:v>
                </c:pt>
                <c:pt idx="55">
                  <c:v>19.493670000000002</c:v>
                </c:pt>
                <c:pt idx="56">
                  <c:v>19.493670000000002</c:v>
                </c:pt>
                <c:pt idx="57">
                  <c:v>19.493670000000002</c:v>
                </c:pt>
                <c:pt idx="58">
                  <c:v>19.493670000000002</c:v>
                </c:pt>
                <c:pt idx="59">
                  <c:v>0</c:v>
                </c:pt>
                <c:pt idx="60">
                  <c:v>19.493670000000002</c:v>
                </c:pt>
                <c:pt idx="61">
                  <c:v>19.493670000000002</c:v>
                </c:pt>
                <c:pt idx="62">
                  <c:v>19.493670000000002</c:v>
                </c:pt>
                <c:pt idx="63">
                  <c:v>19.493670000000002</c:v>
                </c:pt>
                <c:pt idx="64">
                  <c:v>19.493670000000002</c:v>
                </c:pt>
                <c:pt idx="65">
                  <c:v>15.221518987341771</c:v>
                </c:pt>
                <c:pt idx="66">
                  <c:v>19.493670000000002</c:v>
                </c:pt>
                <c:pt idx="67">
                  <c:v>19.493670000000002</c:v>
                </c:pt>
                <c:pt idx="69">
                  <c:v>19.493670000000002</c:v>
                </c:pt>
                <c:pt idx="70">
                  <c:v>19.493670000000002</c:v>
                </c:pt>
                <c:pt idx="71">
                  <c:v>19.493670000000002</c:v>
                </c:pt>
                <c:pt idx="72">
                  <c:v>19.493670000000002</c:v>
                </c:pt>
                <c:pt idx="73">
                  <c:v>19.493670000000002</c:v>
                </c:pt>
                <c:pt idx="74">
                  <c:v>19.493670000000002</c:v>
                </c:pt>
                <c:pt idx="75">
                  <c:v>19.493670000000002</c:v>
                </c:pt>
                <c:pt idx="76">
                  <c:v>19.493670000000002</c:v>
                </c:pt>
                <c:pt idx="77">
                  <c:v>19.493670000000002</c:v>
                </c:pt>
                <c:pt idx="78">
                  <c:v>19.493670000000002</c:v>
                </c:pt>
                <c:pt idx="79">
                  <c:v>19.493670000000002</c:v>
                </c:pt>
                <c:pt idx="80">
                  <c:v>19.493670000000002</c:v>
                </c:pt>
                <c:pt idx="81">
                  <c:v>19.493670000000002</c:v>
                </c:pt>
                <c:pt idx="82">
                  <c:v>19.493670000000002</c:v>
                </c:pt>
                <c:pt idx="83">
                  <c:v>19.493670000000002</c:v>
                </c:pt>
                <c:pt idx="84">
                  <c:v>19.493670000000002</c:v>
                </c:pt>
                <c:pt idx="85">
                  <c:v>19.493670000000002</c:v>
                </c:pt>
                <c:pt idx="86">
                  <c:v>19.493670000000002</c:v>
                </c:pt>
                <c:pt idx="87">
                  <c:v>19.493670000000002</c:v>
                </c:pt>
                <c:pt idx="88">
                  <c:v>19.493670000000002</c:v>
                </c:pt>
                <c:pt idx="89">
                  <c:v>19.493670000000002</c:v>
                </c:pt>
                <c:pt idx="90">
                  <c:v>19.493670000000002</c:v>
                </c:pt>
                <c:pt idx="91">
                  <c:v>19.493670000000002</c:v>
                </c:pt>
                <c:pt idx="92">
                  <c:v>19.493670000000002</c:v>
                </c:pt>
                <c:pt idx="93">
                  <c:v>19.493670000000002</c:v>
                </c:pt>
                <c:pt idx="94">
                  <c:v>19.493670000000002</c:v>
                </c:pt>
                <c:pt idx="95">
                  <c:v>19.493670000000002</c:v>
                </c:pt>
                <c:pt idx="96">
                  <c:v>19.493670000000002</c:v>
                </c:pt>
                <c:pt idx="97">
                  <c:v>19.493670000000002</c:v>
                </c:pt>
                <c:pt idx="98">
                  <c:v>19.493670000000002</c:v>
                </c:pt>
                <c:pt idx="99">
                  <c:v>19.493670000000002</c:v>
                </c:pt>
                <c:pt idx="100">
                  <c:v>19.493670000000002</c:v>
                </c:pt>
                <c:pt idx="101">
                  <c:v>19.493670000000002</c:v>
                </c:pt>
                <c:pt idx="102">
                  <c:v>19.493670000000002</c:v>
                </c:pt>
                <c:pt idx="103">
                  <c:v>19.493670000000002</c:v>
                </c:pt>
                <c:pt idx="104">
                  <c:v>19.493670000000002</c:v>
                </c:pt>
                <c:pt idx="105">
                  <c:v>19.493670000000002</c:v>
                </c:pt>
                <c:pt idx="106">
                  <c:v>19.493670000000002</c:v>
                </c:pt>
                <c:pt idx="107">
                  <c:v>19.493670000000002</c:v>
                </c:pt>
                <c:pt idx="108">
                  <c:v>19.493670000000002</c:v>
                </c:pt>
                <c:pt idx="109">
                  <c:v>36.74050632911392</c:v>
                </c:pt>
                <c:pt idx="110">
                  <c:v>17.753164556962023</c:v>
                </c:pt>
                <c:pt idx="111">
                  <c:v>17.753164556962023</c:v>
                </c:pt>
                <c:pt idx="112">
                  <c:v>17.753164556962023</c:v>
                </c:pt>
                <c:pt idx="113">
                  <c:v>17.753164556962023</c:v>
                </c:pt>
                <c:pt idx="114">
                  <c:v>17.753164556962023</c:v>
                </c:pt>
                <c:pt idx="115">
                  <c:v>17.753164556962023</c:v>
                </c:pt>
                <c:pt idx="116">
                  <c:v>17.753164556962023</c:v>
                </c:pt>
                <c:pt idx="117">
                  <c:v>17.753164556962023</c:v>
                </c:pt>
                <c:pt idx="118">
                  <c:v>17.753164556962023</c:v>
                </c:pt>
                <c:pt idx="119">
                  <c:v>17.753164556962023</c:v>
                </c:pt>
                <c:pt idx="120">
                  <c:v>17.753164556962023</c:v>
                </c:pt>
                <c:pt idx="121">
                  <c:v>17.753164556962023</c:v>
                </c:pt>
                <c:pt idx="122">
                  <c:v>17.753164556962023</c:v>
                </c:pt>
                <c:pt idx="123">
                  <c:v>17.753164556962023</c:v>
                </c:pt>
                <c:pt idx="124">
                  <c:v>17.753164556962023</c:v>
                </c:pt>
                <c:pt idx="125">
                  <c:v>17.753164556962023</c:v>
                </c:pt>
                <c:pt idx="126">
                  <c:v>17.753164556962023</c:v>
                </c:pt>
                <c:pt idx="127">
                  <c:v>17.753164556962023</c:v>
                </c:pt>
                <c:pt idx="128">
                  <c:v>17.753164556962023</c:v>
                </c:pt>
                <c:pt idx="129">
                  <c:v>17.753164556962023</c:v>
                </c:pt>
                <c:pt idx="130">
                  <c:v>17.753164556962023</c:v>
                </c:pt>
                <c:pt idx="131">
                  <c:v>17.753164556962023</c:v>
                </c:pt>
                <c:pt idx="132">
                  <c:v>19.493670000000002</c:v>
                </c:pt>
                <c:pt idx="133">
                  <c:v>19.493670000000002</c:v>
                </c:pt>
                <c:pt idx="134">
                  <c:v>19.493670000000002</c:v>
                </c:pt>
                <c:pt idx="135">
                  <c:v>19.493670000000002</c:v>
                </c:pt>
                <c:pt idx="136">
                  <c:v>19.493670000000002</c:v>
                </c:pt>
                <c:pt idx="137">
                  <c:v>19.493670000000002</c:v>
                </c:pt>
                <c:pt idx="138">
                  <c:v>19.493670000000002</c:v>
                </c:pt>
                <c:pt idx="139">
                  <c:v>19.493670000000002</c:v>
                </c:pt>
                <c:pt idx="140">
                  <c:v>19.493670000000002</c:v>
                </c:pt>
                <c:pt idx="141">
                  <c:v>19.493670000000002</c:v>
                </c:pt>
                <c:pt idx="142">
                  <c:v>15.221518987341771</c:v>
                </c:pt>
                <c:pt idx="143">
                  <c:v>15.221518987341771</c:v>
                </c:pt>
                <c:pt idx="144">
                  <c:v>15.221518987341771</c:v>
                </c:pt>
                <c:pt idx="145">
                  <c:v>15.221518987341771</c:v>
                </c:pt>
                <c:pt idx="146">
                  <c:v>15.221518987341771</c:v>
                </c:pt>
                <c:pt idx="147">
                  <c:v>15.221518987341771</c:v>
                </c:pt>
                <c:pt idx="148">
                  <c:v>15.221518987341771</c:v>
                </c:pt>
                <c:pt idx="149">
                  <c:v>15.221518987341771</c:v>
                </c:pt>
                <c:pt idx="150">
                  <c:v>15.221518987341771</c:v>
                </c:pt>
                <c:pt idx="151">
                  <c:v>15.221518987341771</c:v>
                </c:pt>
                <c:pt idx="152">
                  <c:v>15.221518987341771</c:v>
                </c:pt>
                <c:pt idx="153">
                  <c:v>15.221518987341771</c:v>
                </c:pt>
                <c:pt idx="154">
                  <c:v>15.221518987341771</c:v>
                </c:pt>
                <c:pt idx="155">
                  <c:v>15.221518987341771</c:v>
                </c:pt>
                <c:pt idx="156">
                  <c:v>15.221518987341771</c:v>
                </c:pt>
                <c:pt idx="157">
                  <c:v>15.221518987341771</c:v>
                </c:pt>
                <c:pt idx="158">
                  <c:v>15.221518987341771</c:v>
                </c:pt>
                <c:pt idx="159">
                  <c:v>15.221518987341771</c:v>
                </c:pt>
                <c:pt idx="160">
                  <c:v>15.221518987341771</c:v>
                </c:pt>
                <c:pt idx="161">
                  <c:v>15.221518987341771</c:v>
                </c:pt>
                <c:pt idx="162">
                  <c:v>15.221518987341771</c:v>
                </c:pt>
                <c:pt idx="163">
                  <c:v>15.221518987341771</c:v>
                </c:pt>
                <c:pt idx="164">
                  <c:v>15.221518987341771</c:v>
                </c:pt>
                <c:pt idx="165">
                  <c:v>15.221518987341771</c:v>
                </c:pt>
                <c:pt idx="166">
                  <c:v>15.221518987341771</c:v>
                </c:pt>
                <c:pt idx="167">
                  <c:v>15.221518987341771</c:v>
                </c:pt>
                <c:pt idx="168">
                  <c:v>15.221518987341771</c:v>
                </c:pt>
                <c:pt idx="169">
                  <c:v>15.221518987341771</c:v>
                </c:pt>
                <c:pt idx="170">
                  <c:v>15.221518987341771</c:v>
                </c:pt>
                <c:pt idx="171">
                  <c:v>15.221518987341771</c:v>
                </c:pt>
                <c:pt idx="172">
                  <c:v>15.221518987341771</c:v>
                </c:pt>
                <c:pt idx="173">
                  <c:v>15.221518987341771</c:v>
                </c:pt>
                <c:pt idx="174">
                  <c:v>15.221518987341771</c:v>
                </c:pt>
                <c:pt idx="175">
                  <c:v>19.493670000000002</c:v>
                </c:pt>
                <c:pt idx="176">
                  <c:v>19.493670000000002</c:v>
                </c:pt>
                <c:pt idx="177">
                  <c:v>15.221518987341771</c:v>
                </c:pt>
                <c:pt idx="178">
                  <c:v>19.493670000000002</c:v>
                </c:pt>
                <c:pt idx="179">
                  <c:v>19.493670000000002</c:v>
                </c:pt>
                <c:pt idx="180">
                  <c:v>19.493670000000002</c:v>
                </c:pt>
                <c:pt idx="181">
                  <c:v>19.493670000000002</c:v>
                </c:pt>
                <c:pt idx="182">
                  <c:v>19.493670000000002</c:v>
                </c:pt>
                <c:pt idx="183">
                  <c:v>19.493670000000002</c:v>
                </c:pt>
                <c:pt idx="184">
                  <c:v>19.493670000000002</c:v>
                </c:pt>
                <c:pt idx="185">
                  <c:v>19.493670000000002</c:v>
                </c:pt>
                <c:pt idx="186">
                  <c:v>19.493670000000002</c:v>
                </c:pt>
                <c:pt idx="187">
                  <c:v>19.493670000000002</c:v>
                </c:pt>
                <c:pt idx="188">
                  <c:v>19.493670000000002</c:v>
                </c:pt>
                <c:pt idx="189">
                  <c:v>19.493670000000002</c:v>
                </c:pt>
                <c:pt idx="190">
                  <c:v>19.493670000000002</c:v>
                </c:pt>
                <c:pt idx="191">
                  <c:v>17.753164556962023</c:v>
                </c:pt>
                <c:pt idx="192">
                  <c:v>17.753164556962023</c:v>
                </c:pt>
                <c:pt idx="193">
                  <c:v>17.753164556962023</c:v>
                </c:pt>
                <c:pt idx="194">
                  <c:v>17.753164556962023</c:v>
                </c:pt>
                <c:pt idx="195">
                  <c:v>17.753164556962023</c:v>
                </c:pt>
                <c:pt idx="196">
                  <c:v>17.753164556962023</c:v>
                </c:pt>
                <c:pt idx="197">
                  <c:v>17.753164556962023</c:v>
                </c:pt>
                <c:pt idx="198">
                  <c:v>17.753164556962023</c:v>
                </c:pt>
                <c:pt idx="199">
                  <c:v>19.493670000000002</c:v>
                </c:pt>
                <c:pt idx="200">
                  <c:v>15.221518987341771</c:v>
                </c:pt>
                <c:pt idx="201">
                  <c:v>19.493670000000002</c:v>
                </c:pt>
                <c:pt idx="202">
                  <c:v>19.493670000000002</c:v>
                </c:pt>
                <c:pt idx="203">
                  <c:v>19.493670000000002</c:v>
                </c:pt>
                <c:pt idx="204">
                  <c:v>19.493670000000002</c:v>
                </c:pt>
                <c:pt idx="205">
                  <c:v>19.493670000000002</c:v>
                </c:pt>
                <c:pt idx="206">
                  <c:v>19.493670000000002</c:v>
                </c:pt>
                <c:pt idx="207">
                  <c:v>19.493670000000002</c:v>
                </c:pt>
                <c:pt idx="208">
                  <c:v>19.493670000000002</c:v>
                </c:pt>
                <c:pt idx="209">
                  <c:v>19.493670000000002</c:v>
                </c:pt>
                <c:pt idx="210">
                  <c:v>19.493670000000002</c:v>
                </c:pt>
                <c:pt idx="211">
                  <c:v>19.493670000000002</c:v>
                </c:pt>
                <c:pt idx="212">
                  <c:v>19.493670000000002</c:v>
                </c:pt>
                <c:pt idx="213">
                  <c:v>19.493670000000002</c:v>
                </c:pt>
                <c:pt idx="214">
                  <c:v>19.493670000000002</c:v>
                </c:pt>
                <c:pt idx="215">
                  <c:v>19.493670000000002</c:v>
                </c:pt>
                <c:pt idx="216">
                  <c:v>19.493670000000002</c:v>
                </c:pt>
                <c:pt idx="217">
                  <c:v>19.493670000000002</c:v>
                </c:pt>
                <c:pt idx="218">
                  <c:v>19.493670000000002</c:v>
                </c:pt>
                <c:pt idx="219">
                  <c:v>19.493670000000002</c:v>
                </c:pt>
                <c:pt idx="220">
                  <c:v>19.493670000000002</c:v>
                </c:pt>
                <c:pt idx="221">
                  <c:v>19.493670000000002</c:v>
                </c:pt>
                <c:pt idx="222">
                  <c:v>19.493670000000002</c:v>
                </c:pt>
                <c:pt idx="223">
                  <c:v>19.493670000000002</c:v>
                </c:pt>
                <c:pt idx="224">
                  <c:v>19.493670000000002</c:v>
                </c:pt>
                <c:pt idx="225">
                  <c:v>19.493670000000002</c:v>
                </c:pt>
                <c:pt idx="226">
                  <c:v>19.493670000000002</c:v>
                </c:pt>
                <c:pt idx="227">
                  <c:v>19.493670000000002</c:v>
                </c:pt>
                <c:pt idx="228">
                  <c:v>19.493670000000002</c:v>
                </c:pt>
                <c:pt idx="229">
                  <c:v>19.493670000000002</c:v>
                </c:pt>
                <c:pt idx="230">
                  <c:v>19.493670000000002</c:v>
                </c:pt>
                <c:pt idx="231">
                  <c:v>19.493670000000002</c:v>
                </c:pt>
                <c:pt idx="232">
                  <c:v>19.493670000000002</c:v>
                </c:pt>
                <c:pt idx="233">
                  <c:v>19.493670000000002</c:v>
                </c:pt>
                <c:pt idx="234">
                  <c:v>19.493670000000002</c:v>
                </c:pt>
                <c:pt idx="235">
                  <c:v>19.493670000000002</c:v>
                </c:pt>
                <c:pt idx="236">
                  <c:v>19.493670000000002</c:v>
                </c:pt>
                <c:pt idx="237">
                  <c:v>19.493670000000002</c:v>
                </c:pt>
                <c:pt idx="238">
                  <c:v>19.493670000000002</c:v>
                </c:pt>
                <c:pt idx="239">
                  <c:v>19.493670000000002</c:v>
                </c:pt>
                <c:pt idx="240">
                  <c:v>19.493670000000002</c:v>
                </c:pt>
                <c:pt idx="241">
                  <c:v>19.493670000000002</c:v>
                </c:pt>
                <c:pt idx="242">
                  <c:v>19.493670000000002</c:v>
                </c:pt>
                <c:pt idx="243">
                  <c:v>19.493670000000002</c:v>
                </c:pt>
                <c:pt idx="244">
                  <c:v>19.493670000000002</c:v>
                </c:pt>
                <c:pt idx="245">
                  <c:v>19.493670000000002</c:v>
                </c:pt>
                <c:pt idx="246">
                  <c:v>17.753164556962023</c:v>
                </c:pt>
                <c:pt idx="247">
                  <c:v>17.753164556962023</c:v>
                </c:pt>
                <c:pt idx="248">
                  <c:v>17.753164556962023</c:v>
                </c:pt>
                <c:pt idx="249">
                  <c:v>17.753164556962023</c:v>
                </c:pt>
                <c:pt idx="250">
                  <c:v>17.753164556962023</c:v>
                </c:pt>
                <c:pt idx="251">
                  <c:v>17.753164556962023</c:v>
                </c:pt>
                <c:pt idx="252">
                  <c:v>17.753164556962023</c:v>
                </c:pt>
                <c:pt idx="253">
                  <c:v>17.753164556962023</c:v>
                </c:pt>
                <c:pt idx="254">
                  <c:v>19.493670000000002</c:v>
                </c:pt>
                <c:pt idx="255">
                  <c:v>19.493670886075947</c:v>
                </c:pt>
                <c:pt idx="256">
                  <c:v>15.221518987341771</c:v>
                </c:pt>
                <c:pt idx="257">
                  <c:v>15.221518987341771</c:v>
                </c:pt>
                <c:pt idx="258">
                  <c:v>15.221518987341771</c:v>
                </c:pt>
                <c:pt idx="259">
                  <c:v>19.493670000000002</c:v>
                </c:pt>
                <c:pt idx="260">
                  <c:v>19.493670000000002</c:v>
                </c:pt>
                <c:pt idx="261">
                  <c:v>19.493670000000002</c:v>
                </c:pt>
                <c:pt idx="262">
                  <c:v>17.594936708860757</c:v>
                </c:pt>
                <c:pt idx="263">
                  <c:v>19.493670000000002</c:v>
                </c:pt>
                <c:pt idx="264">
                  <c:v>19.493670000000002</c:v>
                </c:pt>
                <c:pt idx="265">
                  <c:v>19.493670000000002</c:v>
                </c:pt>
                <c:pt idx="266">
                  <c:v>19.493670000000002</c:v>
                </c:pt>
                <c:pt idx="267">
                  <c:v>19.493670000000002</c:v>
                </c:pt>
                <c:pt idx="268">
                  <c:v>19.493670000000002</c:v>
                </c:pt>
                <c:pt idx="269">
                  <c:v>19.493670000000002</c:v>
                </c:pt>
                <c:pt idx="270">
                  <c:v>19.493670000000002</c:v>
                </c:pt>
                <c:pt idx="271">
                  <c:v>19.493670000000002</c:v>
                </c:pt>
                <c:pt idx="272">
                  <c:v>19.493670000000002</c:v>
                </c:pt>
                <c:pt idx="273">
                  <c:v>19.493670000000002</c:v>
                </c:pt>
                <c:pt idx="274">
                  <c:v>19.493670000000002</c:v>
                </c:pt>
                <c:pt idx="275">
                  <c:v>19.493670000000002</c:v>
                </c:pt>
                <c:pt idx="276">
                  <c:v>19.493670000000002</c:v>
                </c:pt>
                <c:pt idx="277">
                  <c:v>19.493670000000002</c:v>
                </c:pt>
                <c:pt idx="278">
                  <c:v>19.493670000000002</c:v>
                </c:pt>
                <c:pt idx="279">
                  <c:v>19.493670000000002</c:v>
                </c:pt>
                <c:pt idx="280">
                  <c:v>19.493670000000002</c:v>
                </c:pt>
                <c:pt idx="281">
                  <c:v>19.493670000000002</c:v>
                </c:pt>
                <c:pt idx="282">
                  <c:v>19.493670000000002</c:v>
                </c:pt>
                <c:pt idx="283">
                  <c:v>19.493670000000002</c:v>
                </c:pt>
                <c:pt idx="284">
                  <c:v>19.493670000000002</c:v>
                </c:pt>
                <c:pt idx="285">
                  <c:v>19.493670000000002</c:v>
                </c:pt>
                <c:pt idx="286">
                  <c:v>19.493670000000002</c:v>
                </c:pt>
                <c:pt idx="287">
                  <c:v>19.493670000000002</c:v>
                </c:pt>
                <c:pt idx="288">
                  <c:v>19.493670000000002</c:v>
                </c:pt>
                <c:pt idx="289">
                  <c:v>19.493670000000002</c:v>
                </c:pt>
                <c:pt idx="290">
                  <c:v>19.493670000000002</c:v>
                </c:pt>
                <c:pt idx="291">
                  <c:v>19.493670000000002</c:v>
                </c:pt>
                <c:pt idx="292">
                  <c:v>19.493670000000002</c:v>
                </c:pt>
                <c:pt idx="293">
                  <c:v>19.493670000000002</c:v>
                </c:pt>
                <c:pt idx="294">
                  <c:v>19.493670000000002</c:v>
                </c:pt>
                <c:pt idx="295">
                  <c:v>19.493670000000002</c:v>
                </c:pt>
                <c:pt idx="296">
                  <c:v>19.493670000000002</c:v>
                </c:pt>
                <c:pt idx="297">
                  <c:v>19.493670000000002</c:v>
                </c:pt>
                <c:pt idx="298">
                  <c:v>19.493670000000002</c:v>
                </c:pt>
                <c:pt idx="299">
                  <c:v>19.493670000000002</c:v>
                </c:pt>
                <c:pt idx="300">
                  <c:v>19.493670000000002</c:v>
                </c:pt>
                <c:pt idx="301">
                  <c:v>19.493670000000002</c:v>
                </c:pt>
                <c:pt idx="302">
                  <c:v>19.493670000000002</c:v>
                </c:pt>
                <c:pt idx="303">
                  <c:v>19.493670000000002</c:v>
                </c:pt>
                <c:pt idx="304">
                  <c:v>19.493670000000002</c:v>
                </c:pt>
                <c:pt idx="305">
                  <c:v>19.493670000000002</c:v>
                </c:pt>
                <c:pt idx="306">
                  <c:v>19.493670000000002</c:v>
                </c:pt>
                <c:pt idx="307">
                  <c:v>19.493670000000002</c:v>
                </c:pt>
                <c:pt idx="308">
                  <c:v>19.493670000000002</c:v>
                </c:pt>
                <c:pt idx="309">
                  <c:v>19.493670000000002</c:v>
                </c:pt>
                <c:pt idx="310">
                  <c:v>19.493670000000002</c:v>
                </c:pt>
                <c:pt idx="311">
                  <c:v>15.221518987341771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E-410E-91CF-A54BF56F9C0F}"/>
            </c:ext>
          </c:extLst>
        </c:ser>
        <c:ser>
          <c:idx val="6"/>
          <c:order val="3"/>
          <c:tx>
            <c:strRef>
              <c:f>'Risk score summary'!$M$2</c:f>
              <c:strCache>
                <c:ptCount val="1"/>
                <c:pt idx="0">
                  <c:v>THIRD PARTY INTERFERENCE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summary'!$M$3:$M$314</c:f>
              <c:numCache>
                <c:formatCode>General</c:formatCode>
                <c:ptCount val="312"/>
                <c:pt idx="0">
                  <c:v>43.63636363636364</c:v>
                </c:pt>
                <c:pt idx="1">
                  <c:v>43.63636363636364</c:v>
                </c:pt>
                <c:pt idx="2">
                  <c:v>43.63636363636364</c:v>
                </c:pt>
                <c:pt idx="3">
                  <c:v>43.63636363636364</c:v>
                </c:pt>
                <c:pt idx="4">
                  <c:v>43.63636363636364</c:v>
                </c:pt>
                <c:pt idx="5">
                  <c:v>43.63636363636364</c:v>
                </c:pt>
                <c:pt idx="6">
                  <c:v>43.63636363636364</c:v>
                </c:pt>
                <c:pt idx="7">
                  <c:v>43.63636363636364</c:v>
                </c:pt>
                <c:pt idx="8">
                  <c:v>43.63636363636364</c:v>
                </c:pt>
                <c:pt idx="9">
                  <c:v>43.63636363636364</c:v>
                </c:pt>
                <c:pt idx="10">
                  <c:v>43.63636363636364</c:v>
                </c:pt>
                <c:pt idx="11">
                  <c:v>43.63636363636364</c:v>
                </c:pt>
                <c:pt idx="12">
                  <c:v>43.63636363636364</c:v>
                </c:pt>
                <c:pt idx="13">
                  <c:v>43.63636363636364</c:v>
                </c:pt>
                <c:pt idx="14">
                  <c:v>43.63636363636364</c:v>
                </c:pt>
                <c:pt idx="15">
                  <c:v>43.63636363636364</c:v>
                </c:pt>
                <c:pt idx="16">
                  <c:v>40.454545454545453</c:v>
                </c:pt>
                <c:pt idx="17">
                  <c:v>43.63636363636364</c:v>
                </c:pt>
                <c:pt idx="18">
                  <c:v>43.63636363636364</c:v>
                </c:pt>
                <c:pt idx="19">
                  <c:v>43.63636363636364</c:v>
                </c:pt>
                <c:pt idx="20">
                  <c:v>43.63636363636364</c:v>
                </c:pt>
                <c:pt idx="21">
                  <c:v>43.63636363636364</c:v>
                </c:pt>
                <c:pt idx="22">
                  <c:v>43.63636363636364</c:v>
                </c:pt>
                <c:pt idx="23">
                  <c:v>43.63636363636364</c:v>
                </c:pt>
                <c:pt idx="24">
                  <c:v>40.454545454545453</c:v>
                </c:pt>
                <c:pt idx="25">
                  <c:v>43.63636363636364</c:v>
                </c:pt>
                <c:pt idx="26">
                  <c:v>43.63636363636364</c:v>
                </c:pt>
                <c:pt idx="27">
                  <c:v>43.63636363636364</c:v>
                </c:pt>
                <c:pt idx="28">
                  <c:v>43.63636363636364</c:v>
                </c:pt>
                <c:pt idx="29">
                  <c:v>43.63636363636364</c:v>
                </c:pt>
                <c:pt idx="30">
                  <c:v>43.63636363636364</c:v>
                </c:pt>
                <c:pt idx="31">
                  <c:v>43.63636363636364</c:v>
                </c:pt>
                <c:pt idx="32">
                  <c:v>43.63636363636364</c:v>
                </c:pt>
                <c:pt idx="33">
                  <c:v>43.63636363636364</c:v>
                </c:pt>
                <c:pt idx="34">
                  <c:v>43.63636363636364</c:v>
                </c:pt>
                <c:pt idx="35">
                  <c:v>43.63636363636364</c:v>
                </c:pt>
                <c:pt idx="36">
                  <c:v>43.63636363636364</c:v>
                </c:pt>
                <c:pt idx="37">
                  <c:v>43.63636363636364</c:v>
                </c:pt>
                <c:pt idx="38">
                  <c:v>43.63636363636364</c:v>
                </c:pt>
                <c:pt idx="39">
                  <c:v>43.63636363636364</c:v>
                </c:pt>
                <c:pt idx="40">
                  <c:v>43.63636363636364</c:v>
                </c:pt>
                <c:pt idx="41">
                  <c:v>43.63636363636364</c:v>
                </c:pt>
                <c:pt idx="42">
                  <c:v>40.454545454545453</c:v>
                </c:pt>
                <c:pt idx="43">
                  <c:v>43.63636363636364</c:v>
                </c:pt>
                <c:pt idx="44">
                  <c:v>43.63636363636364</c:v>
                </c:pt>
                <c:pt idx="45">
                  <c:v>40.454545454545453</c:v>
                </c:pt>
                <c:pt idx="46">
                  <c:v>43.63636363636364</c:v>
                </c:pt>
                <c:pt idx="47">
                  <c:v>43.63636363636364</c:v>
                </c:pt>
                <c:pt idx="48">
                  <c:v>43.63636363636364</c:v>
                </c:pt>
                <c:pt idx="49">
                  <c:v>43.63636363636364</c:v>
                </c:pt>
                <c:pt idx="50">
                  <c:v>43.63636363636364</c:v>
                </c:pt>
                <c:pt idx="51">
                  <c:v>43.63636363636364</c:v>
                </c:pt>
                <c:pt idx="52">
                  <c:v>43.63636363636364</c:v>
                </c:pt>
                <c:pt idx="53">
                  <c:v>43.63636363636364</c:v>
                </c:pt>
                <c:pt idx="54">
                  <c:v>43.63636363636364</c:v>
                </c:pt>
                <c:pt idx="55">
                  <c:v>43.63636363636364</c:v>
                </c:pt>
                <c:pt idx="56">
                  <c:v>43.63636363636364</c:v>
                </c:pt>
                <c:pt idx="57">
                  <c:v>43.63636363636364</c:v>
                </c:pt>
                <c:pt idx="58">
                  <c:v>43.63636363636364</c:v>
                </c:pt>
                <c:pt idx="59">
                  <c:v>40.454545454545453</c:v>
                </c:pt>
                <c:pt idx="60">
                  <c:v>43.63636363636364</c:v>
                </c:pt>
                <c:pt idx="61">
                  <c:v>43.63636363636364</c:v>
                </c:pt>
                <c:pt idx="62">
                  <c:v>43.63636363636364</c:v>
                </c:pt>
                <c:pt idx="63">
                  <c:v>43.63636363636364</c:v>
                </c:pt>
                <c:pt idx="64">
                  <c:v>40.454545454545453</c:v>
                </c:pt>
                <c:pt idx="65">
                  <c:v>43.63636363636364</c:v>
                </c:pt>
                <c:pt idx="66">
                  <c:v>43.63636363636364</c:v>
                </c:pt>
                <c:pt idx="67">
                  <c:v>43.63636363636364</c:v>
                </c:pt>
                <c:pt idx="69">
                  <c:v>43.63636363636364</c:v>
                </c:pt>
                <c:pt idx="70">
                  <c:v>43.63636363636364</c:v>
                </c:pt>
                <c:pt idx="71">
                  <c:v>43.63636363636364</c:v>
                </c:pt>
                <c:pt idx="72">
                  <c:v>43.63636363636364</c:v>
                </c:pt>
                <c:pt idx="73">
                  <c:v>43.63636363636364</c:v>
                </c:pt>
                <c:pt idx="74">
                  <c:v>43.63636363636364</c:v>
                </c:pt>
                <c:pt idx="75">
                  <c:v>43.63636363636364</c:v>
                </c:pt>
                <c:pt idx="76">
                  <c:v>43.63636363636364</c:v>
                </c:pt>
                <c:pt idx="77">
                  <c:v>43.63636363636364</c:v>
                </c:pt>
                <c:pt idx="78">
                  <c:v>43.63636363636364</c:v>
                </c:pt>
                <c:pt idx="79">
                  <c:v>43.63636363636364</c:v>
                </c:pt>
                <c:pt idx="80">
                  <c:v>43.63636363636364</c:v>
                </c:pt>
                <c:pt idx="81">
                  <c:v>43.63636363636364</c:v>
                </c:pt>
                <c:pt idx="82">
                  <c:v>43.63636363636364</c:v>
                </c:pt>
                <c:pt idx="83">
                  <c:v>43.63636363636364</c:v>
                </c:pt>
                <c:pt idx="84">
                  <c:v>43.63636363636364</c:v>
                </c:pt>
                <c:pt idx="85">
                  <c:v>43.63636363636364</c:v>
                </c:pt>
                <c:pt idx="86">
                  <c:v>43.63636363636364</c:v>
                </c:pt>
                <c:pt idx="87">
                  <c:v>43.63636363636364</c:v>
                </c:pt>
                <c:pt idx="88">
                  <c:v>43.63636363636364</c:v>
                </c:pt>
                <c:pt idx="89">
                  <c:v>43.63636363636364</c:v>
                </c:pt>
                <c:pt idx="90">
                  <c:v>43.63636363636364</c:v>
                </c:pt>
                <c:pt idx="91">
                  <c:v>43.63636363636364</c:v>
                </c:pt>
                <c:pt idx="92">
                  <c:v>40.454545454545453</c:v>
                </c:pt>
                <c:pt idx="93">
                  <c:v>43.63636363636364</c:v>
                </c:pt>
                <c:pt idx="94">
                  <c:v>43.63636363636364</c:v>
                </c:pt>
                <c:pt idx="95">
                  <c:v>43.63636363636364</c:v>
                </c:pt>
                <c:pt idx="96">
                  <c:v>43.63636363636364</c:v>
                </c:pt>
                <c:pt idx="97">
                  <c:v>43.63636363636364</c:v>
                </c:pt>
                <c:pt idx="98">
                  <c:v>43.63636363636364</c:v>
                </c:pt>
                <c:pt idx="99">
                  <c:v>43.63636363636364</c:v>
                </c:pt>
                <c:pt idx="100">
                  <c:v>43.63636363636364</c:v>
                </c:pt>
                <c:pt idx="101">
                  <c:v>40.454545454545453</c:v>
                </c:pt>
                <c:pt idx="102">
                  <c:v>43.63636363636364</c:v>
                </c:pt>
                <c:pt idx="103">
                  <c:v>43.63636363636364</c:v>
                </c:pt>
                <c:pt idx="104">
                  <c:v>43.63636363636364</c:v>
                </c:pt>
                <c:pt idx="105">
                  <c:v>43.63636363636364</c:v>
                </c:pt>
                <c:pt idx="106">
                  <c:v>40.454545454545453</c:v>
                </c:pt>
                <c:pt idx="107">
                  <c:v>43.63636363636364</c:v>
                </c:pt>
                <c:pt idx="108">
                  <c:v>43.63636363636364</c:v>
                </c:pt>
                <c:pt idx="109">
                  <c:v>40.454545454545453</c:v>
                </c:pt>
                <c:pt idx="110">
                  <c:v>43.63636363636364</c:v>
                </c:pt>
                <c:pt idx="111">
                  <c:v>40.454545454545453</c:v>
                </c:pt>
                <c:pt idx="112">
                  <c:v>43.63636363636364</c:v>
                </c:pt>
                <c:pt idx="113">
                  <c:v>43.63636363636364</c:v>
                </c:pt>
                <c:pt idx="114">
                  <c:v>43.63636363636364</c:v>
                </c:pt>
                <c:pt idx="115">
                  <c:v>43.63636363636364</c:v>
                </c:pt>
                <c:pt idx="116">
                  <c:v>43.63636363636364</c:v>
                </c:pt>
                <c:pt idx="117">
                  <c:v>43.63636363636364</c:v>
                </c:pt>
                <c:pt idx="118">
                  <c:v>43.63636363636364</c:v>
                </c:pt>
                <c:pt idx="119">
                  <c:v>43.63636363636364</c:v>
                </c:pt>
                <c:pt idx="120">
                  <c:v>43.63636363636364</c:v>
                </c:pt>
                <c:pt idx="121">
                  <c:v>43.63636363636364</c:v>
                </c:pt>
                <c:pt idx="122">
                  <c:v>43.63636363636364</c:v>
                </c:pt>
                <c:pt idx="123">
                  <c:v>43.63636363636364</c:v>
                </c:pt>
                <c:pt idx="124">
                  <c:v>43.63636363636364</c:v>
                </c:pt>
                <c:pt idx="125">
                  <c:v>43.63636363636364</c:v>
                </c:pt>
                <c:pt idx="126">
                  <c:v>43.63636363636364</c:v>
                </c:pt>
                <c:pt idx="127">
                  <c:v>43.63636363636364</c:v>
                </c:pt>
                <c:pt idx="128">
                  <c:v>43.63636363636364</c:v>
                </c:pt>
                <c:pt idx="129">
                  <c:v>43.63636363636364</c:v>
                </c:pt>
                <c:pt idx="130">
                  <c:v>43.63636363636364</c:v>
                </c:pt>
                <c:pt idx="131">
                  <c:v>43.63636363636364</c:v>
                </c:pt>
                <c:pt idx="132">
                  <c:v>40.454545454545453</c:v>
                </c:pt>
                <c:pt idx="133">
                  <c:v>43.63636363636364</c:v>
                </c:pt>
                <c:pt idx="134">
                  <c:v>43.63636363636364</c:v>
                </c:pt>
                <c:pt idx="135">
                  <c:v>43.63636363636364</c:v>
                </c:pt>
                <c:pt idx="136">
                  <c:v>43.63636363636364</c:v>
                </c:pt>
                <c:pt idx="137">
                  <c:v>43.63636363636364</c:v>
                </c:pt>
                <c:pt idx="138">
                  <c:v>43.63636363636364</c:v>
                </c:pt>
                <c:pt idx="139">
                  <c:v>43.63636363636364</c:v>
                </c:pt>
                <c:pt idx="140">
                  <c:v>43.63636363636364</c:v>
                </c:pt>
                <c:pt idx="141">
                  <c:v>43.63636363636364</c:v>
                </c:pt>
                <c:pt idx="142">
                  <c:v>40.454545454545453</c:v>
                </c:pt>
                <c:pt idx="143">
                  <c:v>43.63636363636364</c:v>
                </c:pt>
                <c:pt idx="144">
                  <c:v>43.63636363636364</c:v>
                </c:pt>
                <c:pt idx="145">
                  <c:v>43.63636363636364</c:v>
                </c:pt>
                <c:pt idx="146">
                  <c:v>43.63636363636364</c:v>
                </c:pt>
                <c:pt idx="147">
                  <c:v>43.63636363636364</c:v>
                </c:pt>
                <c:pt idx="148">
                  <c:v>43.63636363636364</c:v>
                </c:pt>
                <c:pt idx="149">
                  <c:v>43.63636363636364</c:v>
                </c:pt>
                <c:pt idx="150">
                  <c:v>43.63636363636364</c:v>
                </c:pt>
                <c:pt idx="151">
                  <c:v>40.454545454545453</c:v>
                </c:pt>
                <c:pt idx="152">
                  <c:v>43.63636363636364</c:v>
                </c:pt>
                <c:pt idx="153">
                  <c:v>43.63636363636364</c:v>
                </c:pt>
                <c:pt idx="154">
                  <c:v>43.63636363636364</c:v>
                </c:pt>
                <c:pt idx="155">
                  <c:v>43.63636363636364</c:v>
                </c:pt>
                <c:pt idx="156">
                  <c:v>43.63636363636364</c:v>
                </c:pt>
                <c:pt idx="157">
                  <c:v>43.63636363636364</c:v>
                </c:pt>
                <c:pt idx="158">
                  <c:v>43.63636363636364</c:v>
                </c:pt>
                <c:pt idx="159">
                  <c:v>43.63636363636364</c:v>
                </c:pt>
                <c:pt idx="160">
                  <c:v>43.63636363636364</c:v>
                </c:pt>
                <c:pt idx="161">
                  <c:v>43.63636363636364</c:v>
                </c:pt>
                <c:pt idx="162">
                  <c:v>43.63636363636364</c:v>
                </c:pt>
                <c:pt idx="163">
                  <c:v>43.63636363636364</c:v>
                </c:pt>
                <c:pt idx="164">
                  <c:v>43.63636363636364</c:v>
                </c:pt>
                <c:pt idx="165">
                  <c:v>43.63636363636364</c:v>
                </c:pt>
                <c:pt idx="166">
                  <c:v>43.63636363636364</c:v>
                </c:pt>
                <c:pt idx="167">
                  <c:v>43.63636363636364</c:v>
                </c:pt>
                <c:pt idx="168">
                  <c:v>40.454545454545453</c:v>
                </c:pt>
                <c:pt idx="169">
                  <c:v>43.63636363636364</c:v>
                </c:pt>
                <c:pt idx="170">
                  <c:v>43.63636363636364</c:v>
                </c:pt>
                <c:pt idx="171">
                  <c:v>43.63636363636364</c:v>
                </c:pt>
                <c:pt idx="172">
                  <c:v>43.63636363636364</c:v>
                </c:pt>
                <c:pt idx="173">
                  <c:v>40.454545454545453</c:v>
                </c:pt>
                <c:pt idx="174">
                  <c:v>43.63636363636364</c:v>
                </c:pt>
                <c:pt idx="175">
                  <c:v>43.63636363636364</c:v>
                </c:pt>
                <c:pt idx="176">
                  <c:v>43.63636363636364</c:v>
                </c:pt>
                <c:pt idx="177">
                  <c:v>43.63636363636364</c:v>
                </c:pt>
                <c:pt idx="178">
                  <c:v>43.63636363636364</c:v>
                </c:pt>
                <c:pt idx="179">
                  <c:v>43.63636363636364</c:v>
                </c:pt>
                <c:pt idx="180">
                  <c:v>43.63636363636364</c:v>
                </c:pt>
                <c:pt idx="181">
                  <c:v>43.63636363636364</c:v>
                </c:pt>
                <c:pt idx="182">
                  <c:v>43.63636363636364</c:v>
                </c:pt>
                <c:pt idx="183">
                  <c:v>43.63636363636364</c:v>
                </c:pt>
                <c:pt idx="184">
                  <c:v>43.636363639999999</c:v>
                </c:pt>
                <c:pt idx="185">
                  <c:v>40.454545454545453</c:v>
                </c:pt>
                <c:pt idx="186">
                  <c:v>43.63636363636364</c:v>
                </c:pt>
                <c:pt idx="187">
                  <c:v>43.63636363636364</c:v>
                </c:pt>
                <c:pt idx="188">
                  <c:v>43.63636363636364</c:v>
                </c:pt>
                <c:pt idx="189">
                  <c:v>43.63636363636364</c:v>
                </c:pt>
                <c:pt idx="190">
                  <c:v>43.63636363636364</c:v>
                </c:pt>
                <c:pt idx="191">
                  <c:v>43.63636363636364</c:v>
                </c:pt>
                <c:pt idx="192">
                  <c:v>43.63636363636364</c:v>
                </c:pt>
                <c:pt idx="193">
                  <c:v>43.63636363636364</c:v>
                </c:pt>
                <c:pt idx="194">
                  <c:v>40.454545454545453</c:v>
                </c:pt>
                <c:pt idx="195">
                  <c:v>43.63636363636364</c:v>
                </c:pt>
                <c:pt idx="196">
                  <c:v>43.63636363636364</c:v>
                </c:pt>
                <c:pt idx="197">
                  <c:v>43.63636363636364</c:v>
                </c:pt>
                <c:pt idx="198">
                  <c:v>43.63636363636364</c:v>
                </c:pt>
                <c:pt idx="199">
                  <c:v>43.63636363636364</c:v>
                </c:pt>
                <c:pt idx="200">
                  <c:v>43.63636363636364</c:v>
                </c:pt>
                <c:pt idx="201">
                  <c:v>43.63636363636364</c:v>
                </c:pt>
                <c:pt idx="202">
                  <c:v>43.63636363636364</c:v>
                </c:pt>
                <c:pt idx="203">
                  <c:v>43.63636363636364</c:v>
                </c:pt>
                <c:pt idx="204">
                  <c:v>43.63636363636364</c:v>
                </c:pt>
                <c:pt idx="205">
                  <c:v>43.63636363636364</c:v>
                </c:pt>
                <c:pt idx="206">
                  <c:v>40.454545454545453</c:v>
                </c:pt>
                <c:pt idx="207">
                  <c:v>43.63636363636364</c:v>
                </c:pt>
                <c:pt idx="208">
                  <c:v>43.63636363636364</c:v>
                </c:pt>
                <c:pt idx="209">
                  <c:v>40.454545454545453</c:v>
                </c:pt>
                <c:pt idx="210">
                  <c:v>43.63636363636364</c:v>
                </c:pt>
                <c:pt idx="211">
                  <c:v>40.454545454545453</c:v>
                </c:pt>
                <c:pt idx="212">
                  <c:v>43.63636363636364</c:v>
                </c:pt>
                <c:pt idx="213">
                  <c:v>40.454545454545453</c:v>
                </c:pt>
                <c:pt idx="214">
                  <c:v>40.454545454545453</c:v>
                </c:pt>
                <c:pt idx="215">
                  <c:v>43.63636363636364</c:v>
                </c:pt>
                <c:pt idx="216">
                  <c:v>43.63636363636364</c:v>
                </c:pt>
                <c:pt idx="217">
                  <c:v>43.63636363636364</c:v>
                </c:pt>
                <c:pt idx="218">
                  <c:v>43.63636363636364</c:v>
                </c:pt>
                <c:pt idx="219">
                  <c:v>43.63636363636364</c:v>
                </c:pt>
                <c:pt idx="220">
                  <c:v>43.63636363636364</c:v>
                </c:pt>
                <c:pt idx="221">
                  <c:v>43.63636363636364</c:v>
                </c:pt>
                <c:pt idx="222">
                  <c:v>43.63636363636364</c:v>
                </c:pt>
                <c:pt idx="223">
                  <c:v>43.63636363636364</c:v>
                </c:pt>
                <c:pt idx="224">
                  <c:v>43.63636363636364</c:v>
                </c:pt>
                <c:pt idx="225">
                  <c:v>43.63636363636364</c:v>
                </c:pt>
                <c:pt idx="226">
                  <c:v>43.63636363636364</c:v>
                </c:pt>
                <c:pt idx="227">
                  <c:v>40.454545454545453</c:v>
                </c:pt>
                <c:pt idx="228">
                  <c:v>43.63636363636364</c:v>
                </c:pt>
                <c:pt idx="229">
                  <c:v>43.63636363636364</c:v>
                </c:pt>
                <c:pt idx="230">
                  <c:v>43.63636363636364</c:v>
                </c:pt>
                <c:pt idx="231">
                  <c:v>43.63636363636364</c:v>
                </c:pt>
                <c:pt idx="232">
                  <c:v>43.63636363636364</c:v>
                </c:pt>
                <c:pt idx="233">
                  <c:v>43.63636363636364</c:v>
                </c:pt>
                <c:pt idx="234">
                  <c:v>43.63636363636364</c:v>
                </c:pt>
                <c:pt idx="235">
                  <c:v>43.63636363636364</c:v>
                </c:pt>
                <c:pt idx="236">
                  <c:v>43.63636363636364</c:v>
                </c:pt>
                <c:pt idx="237">
                  <c:v>43.63636363636364</c:v>
                </c:pt>
                <c:pt idx="238">
                  <c:v>40.454545454545453</c:v>
                </c:pt>
                <c:pt idx="239">
                  <c:v>40.454545454545453</c:v>
                </c:pt>
                <c:pt idx="240">
                  <c:v>40.454545454545453</c:v>
                </c:pt>
                <c:pt idx="241">
                  <c:v>40.454545454545453</c:v>
                </c:pt>
                <c:pt idx="242">
                  <c:v>43.63636363636364</c:v>
                </c:pt>
                <c:pt idx="243">
                  <c:v>43.63636363636364</c:v>
                </c:pt>
                <c:pt idx="244">
                  <c:v>43.63636363636364</c:v>
                </c:pt>
                <c:pt idx="245">
                  <c:v>43.63636363636364</c:v>
                </c:pt>
                <c:pt idx="246">
                  <c:v>40.454545454545453</c:v>
                </c:pt>
                <c:pt idx="247">
                  <c:v>43.63636363636364</c:v>
                </c:pt>
                <c:pt idx="248">
                  <c:v>43.63636363636364</c:v>
                </c:pt>
                <c:pt idx="249">
                  <c:v>40.454545454545453</c:v>
                </c:pt>
                <c:pt idx="250">
                  <c:v>43.63636363636364</c:v>
                </c:pt>
                <c:pt idx="251">
                  <c:v>43.63636363636364</c:v>
                </c:pt>
                <c:pt idx="252">
                  <c:v>43.63636363636364</c:v>
                </c:pt>
                <c:pt idx="253">
                  <c:v>43.63636363636364</c:v>
                </c:pt>
                <c:pt idx="254">
                  <c:v>43.63636363636364</c:v>
                </c:pt>
                <c:pt idx="255">
                  <c:v>43.63636363636364</c:v>
                </c:pt>
                <c:pt idx="256">
                  <c:v>43.63636363636364</c:v>
                </c:pt>
                <c:pt idx="257">
                  <c:v>40.454545454545453</c:v>
                </c:pt>
                <c:pt idx="258">
                  <c:v>43.63636363636364</c:v>
                </c:pt>
                <c:pt idx="259">
                  <c:v>43.63636363636364</c:v>
                </c:pt>
                <c:pt idx="260">
                  <c:v>41.81818181818182</c:v>
                </c:pt>
                <c:pt idx="261">
                  <c:v>43.63636363636364</c:v>
                </c:pt>
                <c:pt idx="262">
                  <c:v>43.63636363636364</c:v>
                </c:pt>
                <c:pt idx="263">
                  <c:v>43.63636363636364</c:v>
                </c:pt>
                <c:pt idx="264">
                  <c:v>43.63636363636364</c:v>
                </c:pt>
                <c:pt idx="265">
                  <c:v>43.63636363636364</c:v>
                </c:pt>
                <c:pt idx="266">
                  <c:v>43.63636363636364</c:v>
                </c:pt>
                <c:pt idx="267">
                  <c:v>43.63636363636364</c:v>
                </c:pt>
                <c:pt idx="268">
                  <c:v>43.63636363636364</c:v>
                </c:pt>
                <c:pt idx="269">
                  <c:v>43.63636363636364</c:v>
                </c:pt>
                <c:pt idx="270">
                  <c:v>43.63636363636364</c:v>
                </c:pt>
                <c:pt idx="271">
                  <c:v>43.63636363636364</c:v>
                </c:pt>
                <c:pt idx="272">
                  <c:v>43.63636363636364</c:v>
                </c:pt>
                <c:pt idx="273">
                  <c:v>43.63636363636364</c:v>
                </c:pt>
                <c:pt idx="274">
                  <c:v>43.63636363636364</c:v>
                </c:pt>
                <c:pt idx="275">
                  <c:v>43.63636363636364</c:v>
                </c:pt>
                <c:pt idx="276">
                  <c:v>43.63636363636364</c:v>
                </c:pt>
                <c:pt idx="277">
                  <c:v>43.63636363636364</c:v>
                </c:pt>
                <c:pt idx="278">
                  <c:v>43.63636363636364</c:v>
                </c:pt>
                <c:pt idx="279">
                  <c:v>43.63636363636364</c:v>
                </c:pt>
                <c:pt idx="280">
                  <c:v>43.63636363636364</c:v>
                </c:pt>
                <c:pt idx="281">
                  <c:v>43.63636363636364</c:v>
                </c:pt>
                <c:pt idx="282">
                  <c:v>43.63636363636364</c:v>
                </c:pt>
                <c:pt idx="283">
                  <c:v>43.63636363636364</c:v>
                </c:pt>
                <c:pt idx="284">
                  <c:v>43.63636363636364</c:v>
                </c:pt>
                <c:pt idx="285">
                  <c:v>43.63636363636364</c:v>
                </c:pt>
                <c:pt idx="286">
                  <c:v>43.63636363636364</c:v>
                </c:pt>
                <c:pt idx="287">
                  <c:v>43.63636363636364</c:v>
                </c:pt>
                <c:pt idx="288">
                  <c:v>43.63636363636364</c:v>
                </c:pt>
                <c:pt idx="289">
                  <c:v>43.63636363636364</c:v>
                </c:pt>
                <c:pt idx="290">
                  <c:v>43.63636363636364</c:v>
                </c:pt>
                <c:pt idx="291">
                  <c:v>43.63636363636364</c:v>
                </c:pt>
                <c:pt idx="292">
                  <c:v>43.63636363636364</c:v>
                </c:pt>
                <c:pt idx="293">
                  <c:v>43.63636363636364</c:v>
                </c:pt>
                <c:pt idx="294">
                  <c:v>43.63636363636364</c:v>
                </c:pt>
                <c:pt idx="295">
                  <c:v>43.63636363636364</c:v>
                </c:pt>
                <c:pt idx="296">
                  <c:v>43.63636363636364</c:v>
                </c:pt>
                <c:pt idx="297">
                  <c:v>43.63636363636364</c:v>
                </c:pt>
                <c:pt idx="298">
                  <c:v>43.63636363636364</c:v>
                </c:pt>
                <c:pt idx="299">
                  <c:v>43.63636363636364</c:v>
                </c:pt>
                <c:pt idx="300">
                  <c:v>43.63636363636364</c:v>
                </c:pt>
                <c:pt idx="301">
                  <c:v>43.63636363636364</c:v>
                </c:pt>
                <c:pt idx="302">
                  <c:v>43.63636363636364</c:v>
                </c:pt>
                <c:pt idx="303">
                  <c:v>43.63636363636364</c:v>
                </c:pt>
                <c:pt idx="304">
                  <c:v>43.63636363636364</c:v>
                </c:pt>
                <c:pt idx="305">
                  <c:v>43.63636363636364</c:v>
                </c:pt>
                <c:pt idx="306">
                  <c:v>43.63636363636364</c:v>
                </c:pt>
                <c:pt idx="307">
                  <c:v>43.63636363636364</c:v>
                </c:pt>
                <c:pt idx="308">
                  <c:v>43.63636363636364</c:v>
                </c:pt>
                <c:pt idx="309">
                  <c:v>43.63636363636364</c:v>
                </c:pt>
                <c:pt idx="310">
                  <c:v>43.63636363636364</c:v>
                </c:pt>
                <c:pt idx="311">
                  <c:v>43.63636363636364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E-410E-91CF-A54BF56F9C0F}"/>
            </c:ext>
          </c:extLst>
        </c:ser>
        <c:ser>
          <c:idx val="9"/>
          <c:order val="4"/>
          <c:tx>
            <c:strRef>
              <c:f>'Risk score summary'!$R$2</c:f>
              <c:strCache>
                <c:ptCount val="1"/>
                <c:pt idx="0">
                  <c:v>C1 : Societal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summary'!$R$3:$R$314</c:f>
            </c:numRef>
          </c:val>
          <c:extLst>
            <c:ext xmlns:c16="http://schemas.microsoft.com/office/drawing/2014/chart" uri="{C3380CC4-5D6E-409C-BE32-E72D297353CC}">
              <c16:uniqueId val="{00000003-4F7E-410E-91CF-A54BF56F9C0F}"/>
            </c:ext>
          </c:extLst>
        </c:ser>
        <c:ser>
          <c:idx val="10"/>
          <c:order val="5"/>
          <c:tx>
            <c:strRef>
              <c:f>'Risk score summary'!$S$2</c:f>
              <c:strCache>
                <c:ptCount val="1"/>
                <c:pt idx="0">
                  <c:v>C2 : Cost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summary'!$S$3:$S$314</c:f>
            </c:numRef>
          </c:val>
          <c:extLst>
            <c:ext xmlns:c16="http://schemas.microsoft.com/office/drawing/2014/chart" uri="{C3380CC4-5D6E-409C-BE32-E72D297353CC}">
              <c16:uniqueId val="{00000004-4F7E-410E-91CF-A54BF56F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203245600"/>
        <c:axId val="419306000"/>
      </c:barChart>
      <c:barChart>
        <c:barDir val="col"/>
        <c:grouping val="stacked"/>
        <c:varyColors val="0"/>
        <c:ser>
          <c:idx val="0"/>
          <c:order val="0"/>
          <c:tx>
            <c:strRef>
              <c:f>'Risk score summary'!$G$2</c:f>
              <c:strCache>
                <c:ptCount val="1"/>
                <c:pt idx="0">
                  <c:v>Risk Score</c:v>
                </c:pt>
              </c:strCache>
            </c:strRef>
          </c:tx>
          <c:spPr>
            <a:solidFill>
              <a:srgbClr val="FF0000">
                <a:alpha val="15000"/>
              </a:srgbClr>
            </a:solidFill>
          </c:spPr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summary'!$G$3:$G$314</c:f>
              <c:numCache>
                <c:formatCode>General</c:formatCode>
                <c:ptCount val="312"/>
                <c:pt idx="0">
                  <c:v>1466.2087537878788</c:v>
                </c:pt>
                <c:pt idx="1">
                  <c:v>1466.2087537878788</c:v>
                </c:pt>
                <c:pt idx="2">
                  <c:v>1466.2087537878788</c:v>
                </c:pt>
                <c:pt idx="3">
                  <c:v>1466.2087537878788</c:v>
                </c:pt>
                <c:pt idx="4">
                  <c:v>1466.2087537878788</c:v>
                </c:pt>
                <c:pt idx="5">
                  <c:v>1466.2087537878788</c:v>
                </c:pt>
                <c:pt idx="6">
                  <c:v>1466.2087537878788</c:v>
                </c:pt>
                <c:pt idx="7">
                  <c:v>1466.2087537878788</c:v>
                </c:pt>
                <c:pt idx="8">
                  <c:v>1466.2087537878788</c:v>
                </c:pt>
                <c:pt idx="9">
                  <c:v>1466.2087537878788</c:v>
                </c:pt>
                <c:pt idx="10">
                  <c:v>1466.2087537878788</c:v>
                </c:pt>
                <c:pt idx="11">
                  <c:v>1466.2087537878788</c:v>
                </c:pt>
                <c:pt idx="12">
                  <c:v>1466.2087537878788</c:v>
                </c:pt>
                <c:pt idx="13">
                  <c:v>1466.2087537878788</c:v>
                </c:pt>
                <c:pt idx="14">
                  <c:v>1466.2087537878788</c:v>
                </c:pt>
                <c:pt idx="15">
                  <c:v>1466.2087537878788</c:v>
                </c:pt>
                <c:pt idx="16">
                  <c:v>1426.4360265151515</c:v>
                </c:pt>
                <c:pt idx="17">
                  <c:v>1466.2087537878788</c:v>
                </c:pt>
                <c:pt idx="18">
                  <c:v>1466.2087537878788</c:v>
                </c:pt>
                <c:pt idx="19">
                  <c:v>1466.2087537878788</c:v>
                </c:pt>
                <c:pt idx="20">
                  <c:v>1466.2087537878788</c:v>
                </c:pt>
                <c:pt idx="21">
                  <c:v>1466.2087537878788</c:v>
                </c:pt>
                <c:pt idx="22">
                  <c:v>1466.2087537878788</c:v>
                </c:pt>
                <c:pt idx="23">
                  <c:v>1466.2087537878788</c:v>
                </c:pt>
                <c:pt idx="24">
                  <c:v>1426.4360265151515</c:v>
                </c:pt>
                <c:pt idx="25">
                  <c:v>1466.2087537878788</c:v>
                </c:pt>
                <c:pt idx="26">
                  <c:v>1466.2087537878788</c:v>
                </c:pt>
                <c:pt idx="27">
                  <c:v>1466.2087537878788</c:v>
                </c:pt>
                <c:pt idx="28">
                  <c:v>1466.2087537878788</c:v>
                </c:pt>
                <c:pt idx="29">
                  <c:v>1466.2087537878788</c:v>
                </c:pt>
                <c:pt idx="30">
                  <c:v>1466.2087537878788</c:v>
                </c:pt>
                <c:pt idx="31">
                  <c:v>1466.2087537878788</c:v>
                </c:pt>
                <c:pt idx="32">
                  <c:v>1466.2087537878788</c:v>
                </c:pt>
                <c:pt idx="33">
                  <c:v>1459.2643093434344</c:v>
                </c:pt>
                <c:pt idx="34">
                  <c:v>1466.2087537878788</c:v>
                </c:pt>
                <c:pt idx="35">
                  <c:v>1466.2087537878788</c:v>
                </c:pt>
                <c:pt idx="36">
                  <c:v>1466.2087537878788</c:v>
                </c:pt>
                <c:pt idx="37">
                  <c:v>1466.2087537878788</c:v>
                </c:pt>
                <c:pt idx="38">
                  <c:v>1466.2087537878788</c:v>
                </c:pt>
                <c:pt idx="39">
                  <c:v>1466.2087537878788</c:v>
                </c:pt>
                <c:pt idx="40">
                  <c:v>1466.2087537878788</c:v>
                </c:pt>
                <c:pt idx="41">
                  <c:v>1466.2087537878788</c:v>
                </c:pt>
                <c:pt idx="42">
                  <c:v>1426.4360265151515</c:v>
                </c:pt>
                <c:pt idx="43">
                  <c:v>1466.2087537878788</c:v>
                </c:pt>
                <c:pt idx="44">
                  <c:v>1466.2087537878788</c:v>
                </c:pt>
                <c:pt idx="45">
                  <c:v>1416.0193598484848</c:v>
                </c:pt>
                <c:pt idx="46">
                  <c:v>1466.2087537878788</c:v>
                </c:pt>
                <c:pt idx="47">
                  <c:v>1466.2087537878788</c:v>
                </c:pt>
                <c:pt idx="48">
                  <c:v>1466.2087537878788</c:v>
                </c:pt>
                <c:pt idx="49">
                  <c:v>1466.2087537878788</c:v>
                </c:pt>
                <c:pt idx="50">
                  <c:v>1466.2087537878788</c:v>
                </c:pt>
                <c:pt idx="51">
                  <c:v>1466.2087537878788</c:v>
                </c:pt>
                <c:pt idx="52">
                  <c:v>1466.2087537878788</c:v>
                </c:pt>
                <c:pt idx="53">
                  <c:v>1459.2643093434344</c:v>
                </c:pt>
                <c:pt idx="54">
                  <c:v>1466.2087537878788</c:v>
                </c:pt>
                <c:pt idx="55">
                  <c:v>1466.2087537878788</c:v>
                </c:pt>
                <c:pt idx="56">
                  <c:v>1466.2087537878788</c:v>
                </c:pt>
                <c:pt idx="57">
                  <c:v>1466.2087537878788</c:v>
                </c:pt>
                <c:pt idx="58">
                  <c:v>1466.2087537878788</c:v>
                </c:pt>
                <c:pt idx="59">
                  <c:v>1182.7651515151515</c:v>
                </c:pt>
                <c:pt idx="60">
                  <c:v>1476.6254204545455</c:v>
                </c:pt>
                <c:pt idx="61">
                  <c:v>1462.7365315656566</c:v>
                </c:pt>
                <c:pt idx="62">
                  <c:v>1462.7365315656566</c:v>
                </c:pt>
                <c:pt idx="63">
                  <c:v>1459.2643093434344</c:v>
                </c:pt>
                <c:pt idx="64">
                  <c:v>1422.9638042929291</c:v>
                </c:pt>
                <c:pt idx="65">
                  <c:v>1412.8068661296511</c:v>
                </c:pt>
                <c:pt idx="66">
                  <c:v>1466.2087537878788</c:v>
                </c:pt>
                <c:pt idx="67">
                  <c:v>1466.2087537878788</c:v>
                </c:pt>
                <c:pt idx="69">
                  <c:v>1466.2087537878788</c:v>
                </c:pt>
                <c:pt idx="70">
                  <c:v>1466.2087537878788</c:v>
                </c:pt>
                <c:pt idx="71">
                  <c:v>1466.2087537878788</c:v>
                </c:pt>
                <c:pt idx="72">
                  <c:v>1466.2087537878788</c:v>
                </c:pt>
                <c:pt idx="73">
                  <c:v>1466.2087537878788</c:v>
                </c:pt>
                <c:pt idx="74">
                  <c:v>1466.2087537878788</c:v>
                </c:pt>
                <c:pt idx="75">
                  <c:v>1455.7920871212123</c:v>
                </c:pt>
                <c:pt idx="76">
                  <c:v>1455.7920871212123</c:v>
                </c:pt>
                <c:pt idx="77">
                  <c:v>1455.7920871212123</c:v>
                </c:pt>
                <c:pt idx="78">
                  <c:v>1455.7920871212123</c:v>
                </c:pt>
                <c:pt idx="79">
                  <c:v>1466.2087537878788</c:v>
                </c:pt>
                <c:pt idx="80">
                  <c:v>1466.2087537878788</c:v>
                </c:pt>
                <c:pt idx="81">
                  <c:v>1466.2087537878788</c:v>
                </c:pt>
                <c:pt idx="82">
                  <c:v>1466.2087537878788</c:v>
                </c:pt>
                <c:pt idx="83">
                  <c:v>1466.2087537878788</c:v>
                </c:pt>
                <c:pt idx="84">
                  <c:v>1466.2087537878788</c:v>
                </c:pt>
                <c:pt idx="85">
                  <c:v>1466.2087537878788</c:v>
                </c:pt>
                <c:pt idx="86">
                  <c:v>1466.2087537878788</c:v>
                </c:pt>
                <c:pt idx="87">
                  <c:v>1466.2087537878788</c:v>
                </c:pt>
                <c:pt idx="88">
                  <c:v>1466.2087537878788</c:v>
                </c:pt>
                <c:pt idx="89">
                  <c:v>1466.2087537878788</c:v>
                </c:pt>
                <c:pt idx="90">
                  <c:v>1466.2087537878788</c:v>
                </c:pt>
                <c:pt idx="91">
                  <c:v>1455.7920871212123</c:v>
                </c:pt>
                <c:pt idx="92">
                  <c:v>1416.0193598484848</c:v>
                </c:pt>
                <c:pt idx="93">
                  <c:v>1466.2087537878788</c:v>
                </c:pt>
                <c:pt idx="94">
                  <c:v>1466.2087537878788</c:v>
                </c:pt>
                <c:pt idx="95">
                  <c:v>1455.7920871212123</c:v>
                </c:pt>
                <c:pt idx="96">
                  <c:v>1466.2087537878788</c:v>
                </c:pt>
                <c:pt idx="97">
                  <c:v>1455.7920871212123</c:v>
                </c:pt>
                <c:pt idx="98">
                  <c:v>1455.7920871212123</c:v>
                </c:pt>
                <c:pt idx="99">
                  <c:v>1455.7920871212123</c:v>
                </c:pt>
                <c:pt idx="100">
                  <c:v>1466.2087537878788</c:v>
                </c:pt>
                <c:pt idx="101">
                  <c:v>1426.4360265151515</c:v>
                </c:pt>
                <c:pt idx="102">
                  <c:v>1466.2087537878788</c:v>
                </c:pt>
                <c:pt idx="103">
                  <c:v>1466.2087537878788</c:v>
                </c:pt>
                <c:pt idx="104">
                  <c:v>1466.2087537878788</c:v>
                </c:pt>
                <c:pt idx="105">
                  <c:v>1466.2087537878788</c:v>
                </c:pt>
                <c:pt idx="106">
                  <c:v>1426.4360265151515</c:v>
                </c:pt>
                <c:pt idx="107">
                  <c:v>1466.2087537878788</c:v>
                </c:pt>
                <c:pt idx="108">
                  <c:v>1466.2087537878788</c:v>
                </c:pt>
                <c:pt idx="109">
                  <c:v>1642.0214806290755</c:v>
                </c:pt>
                <c:pt idx="110">
                  <c:v>1444.4524357499042</c:v>
                </c:pt>
                <c:pt idx="111">
                  <c:v>1404.6797084771767</c:v>
                </c:pt>
                <c:pt idx="112">
                  <c:v>1819.4524357499042</c:v>
                </c:pt>
                <c:pt idx="113">
                  <c:v>1444.4524357499042</c:v>
                </c:pt>
                <c:pt idx="114">
                  <c:v>1444.4524357499042</c:v>
                </c:pt>
                <c:pt idx="115">
                  <c:v>1819.4524357499042</c:v>
                </c:pt>
                <c:pt idx="116">
                  <c:v>1819.4524357499042</c:v>
                </c:pt>
                <c:pt idx="117">
                  <c:v>1819.4524357499042</c:v>
                </c:pt>
                <c:pt idx="118">
                  <c:v>1444.4524357499042</c:v>
                </c:pt>
                <c:pt idx="119">
                  <c:v>1819.4524357499042</c:v>
                </c:pt>
                <c:pt idx="120">
                  <c:v>1819.4524357499042</c:v>
                </c:pt>
                <c:pt idx="121">
                  <c:v>1819.4524357499042</c:v>
                </c:pt>
                <c:pt idx="122">
                  <c:v>1819.4524357499042</c:v>
                </c:pt>
                <c:pt idx="123">
                  <c:v>1444.4524357499042</c:v>
                </c:pt>
                <c:pt idx="124">
                  <c:v>1819.4524357499042</c:v>
                </c:pt>
                <c:pt idx="125">
                  <c:v>1819.4524357499042</c:v>
                </c:pt>
                <c:pt idx="126">
                  <c:v>1444.4524357499042</c:v>
                </c:pt>
                <c:pt idx="127">
                  <c:v>1444.4524357499042</c:v>
                </c:pt>
                <c:pt idx="128">
                  <c:v>1819.4524357499042</c:v>
                </c:pt>
                <c:pt idx="129">
                  <c:v>1819.4524357499042</c:v>
                </c:pt>
                <c:pt idx="130">
                  <c:v>1819.4524357499042</c:v>
                </c:pt>
                <c:pt idx="131">
                  <c:v>1444.4524357499042</c:v>
                </c:pt>
                <c:pt idx="132">
                  <c:v>1426.4360265151515</c:v>
                </c:pt>
                <c:pt idx="133">
                  <c:v>1466.2087537878788</c:v>
                </c:pt>
                <c:pt idx="134">
                  <c:v>1466.2087537878788</c:v>
                </c:pt>
                <c:pt idx="135">
                  <c:v>1459.2643093434344</c:v>
                </c:pt>
                <c:pt idx="136">
                  <c:v>1459.2643093434344</c:v>
                </c:pt>
                <c:pt idx="137">
                  <c:v>1466.2087537878788</c:v>
                </c:pt>
                <c:pt idx="138">
                  <c:v>1466.2087537878788</c:v>
                </c:pt>
                <c:pt idx="139">
                  <c:v>1466.2087537878788</c:v>
                </c:pt>
                <c:pt idx="140">
                  <c:v>1466.2087537878788</c:v>
                </c:pt>
                <c:pt idx="141">
                  <c:v>1466.2087537878788</c:v>
                </c:pt>
                <c:pt idx="142">
                  <c:v>1373.0341388569236</c:v>
                </c:pt>
                <c:pt idx="143">
                  <c:v>1412.8068661296511</c:v>
                </c:pt>
                <c:pt idx="144">
                  <c:v>1412.8068661296511</c:v>
                </c:pt>
                <c:pt idx="145">
                  <c:v>1412.8068661296511</c:v>
                </c:pt>
                <c:pt idx="146">
                  <c:v>1412.8068661296511</c:v>
                </c:pt>
                <c:pt idx="147">
                  <c:v>1412.8068661296511</c:v>
                </c:pt>
                <c:pt idx="148">
                  <c:v>1412.8068661296511</c:v>
                </c:pt>
                <c:pt idx="149">
                  <c:v>1412.8068661296511</c:v>
                </c:pt>
                <c:pt idx="150">
                  <c:v>1412.8068661296511</c:v>
                </c:pt>
                <c:pt idx="151">
                  <c:v>1373.0341388569236</c:v>
                </c:pt>
                <c:pt idx="152">
                  <c:v>1412.8068661296511</c:v>
                </c:pt>
                <c:pt idx="153">
                  <c:v>1412.8068661296511</c:v>
                </c:pt>
                <c:pt idx="154">
                  <c:v>1412.8068661296511</c:v>
                </c:pt>
                <c:pt idx="155">
                  <c:v>1412.8068661296511</c:v>
                </c:pt>
                <c:pt idx="156">
                  <c:v>1412.8068661296511</c:v>
                </c:pt>
                <c:pt idx="157">
                  <c:v>1412.8068661296511</c:v>
                </c:pt>
                <c:pt idx="158">
                  <c:v>1412.8068661296511</c:v>
                </c:pt>
                <c:pt idx="159">
                  <c:v>1412.8068661296511</c:v>
                </c:pt>
                <c:pt idx="160">
                  <c:v>1412.8068661296511</c:v>
                </c:pt>
                <c:pt idx="161">
                  <c:v>1412.8068661296511</c:v>
                </c:pt>
                <c:pt idx="162">
                  <c:v>1412.8068661296511</c:v>
                </c:pt>
                <c:pt idx="163">
                  <c:v>1412.8068661296511</c:v>
                </c:pt>
                <c:pt idx="164">
                  <c:v>1412.8068661296511</c:v>
                </c:pt>
                <c:pt idx="165">
                  <c:v>1412.8068661296511</c:v>
                </c:pt>
                <c:pt idx="166">
                  <c:v>1412.8068661296511</c:v>
                </c:pt>
                <c:pt idx="167">
                  <c:v>1412.8068661296511</c:v>
                </c:pt>
                <c:pt idx="168">
                  <c:v>1373.0341388569236</c:v>
                </c:pt>
                <c:pt idx="169">
                  <c:v>1412.8068661296511</c:v>
                </c:pt>
                <c:pt idx="170">
                  <c:v>1412.8068661296511</c:v>
                </c:pt>
                <c:pt idx="171">
                  <c:v>1412.8068661296511</c:v>
                </c:pt>
                <c:pt idx="172">
                  <c:v>1412.8068661296511</c:v>
                </c:pt>
                <c:pt idx="173">
                  <c:v>1373.0341388569236</c:v>
                </c:pt>
                <c:pt idx="174">
                  <c:v>1412.8068661296511</c:v>
                </c:pt>
                <c:pt idx="175">
                  <c:v>1466.2087537878788</c:v>
                </c:pt>
                <c:pt idx="176">
                  <c:v>1466.2087537878788</c:v>
                </c:pt>
                <c:pt idx="177">
                  <c:v>1412.8068661296511</c:v>
                </c:pt>
                <c:pt idx="178">
                  <c:v>1459.2643093434344</c:v>
                </c:pt>
                <c:pt idx="179">
                  <c:v>1466.2087537878788</c:v>
                </c:pt>
                <c:pt idx="180">
                  <c:v>1459.2643093434344</c:v>
                </c:pt>
                <c:pt idx="181">
                  <c:v>1459.2643093434344</c:v>
                </c:pt>
                <c:pt idx="182">
                  <c:v>1459.2643093434344</c:v>
                </c:pt>
                <c:pt idx="183">
                  <c:v>1459.2643093434344</c:v>
                </c:pt>
                <c:pt idx="184">
                  <c:v>1459.2643093434344</c:v>
                </c:pt>
                <c:pt idx="185">
                  <c:v>1426.4360265151515</c:v>
                </c:pt>
                <c:pt idx="186">
                  <c:v>1459.2643093434344</c:v>
                </c:pt>
                <c:pt idx="187">
                  <c:v>1466.2087537878788</c:v>
                </c:pt>
                <c:pt idx="188">
                  <c:v>1466.2087537878788</c:v>
                </c:pt>
                <c:pt idx="189">
                  <c:v>1466.2087537878788</c:v>
                </c:pt>
                <c:pt idx="190">
                  <c:v>1466.2087537878788</c:v>
                </c:pt>
                <c:pt idx="191">
                  <c:v>1444.4524357499042</c:v>
                </c:pt>
                <c:pt idx="192">
                  <c:v>1444.4524357499042</c:v>
                </c:pt>
                <c:pt idx="193">
                  <c:v>1444.4524357499042</c:v>
                </c:pt>
                <c:pt idx="194">
                  <c:v>1404.6797084771767</c:v>
                </c:pt>
                <c:pt idx="195">
                  <c:v>1444.4524357499042</c:v>
                </c:pt>
                <c:pt idx="196">
                  <c:v>1444.4524357499042</c:v>
                </c:pt>
                <c:pt idx="197">
                  <c:v>1444.4524357499042</c:v>
                </c:pt>
                <c:pt idx="198">
                  <c:v>1444.4524357499042</c:v>
                </c:pt>
                <c:pt idx="199">
                  <c:v>1466.2087537878788</c:v>
                </c:pt>
                <c:pt idx="200">
                  <c:v>1412.8068661296511</c:v>
                </c:pt>
                <c:pt idx="201">
                  <c:v>1466.2087537878788</c:v>
                </c:pt>
                <c:pt idx="202">
                  <c:v>1466.2087537878788</c:v>
                </c:pt>
                <c:pt idx="203">
                  <c:v>1466.2087537878788</c:v>
                </c:pt>
                <c:pt idx="204">
                  <c:v>1466.2087537878788</c:v>
                </c:pt>
                <c:pt idx="205">
                  <c:v>1459.2643093434344</c:v>
                </c:pt>
                <c:pt idx="206">
                  <c:v>1419.491582070707</c:v>
                </c:pt>
                <c:pt idx="207">
                  <c:v>1466.2087537878788</c:v>
                </c:pt>
                <c:pt idx="208">
                  <c:v>1455.7920871212123</c:v>
                </c:pt>
                <c:pt idx="209">
                  <c:v>1426.4360265151515</c:v>
                </c:pt>
                <c:pt idx="210">
                  <c:v>1455.7920871212123</c:v>
                </c:pt>
                <c:pt idx="211">
                  <c:v>1419.491582070707</c:v>
                </c:pt>
                <c:pt idx="212">
                  <c:v>1466.2087537878788</c:v>
                </c:pt>
                <c:pt idx="213">
                  <c:v>1426.4360265151515</c:v>
                </c:pt>
                <c:pt idx="214">
                  <c:v>1426.4360265151515</c:v>
                </c:pt>
                <c:pt idx="215">
                  <c:v>1466.2087537878788</c:v>
                </c:pt>
                <c:pt idx="216">
                  <c:v>1455.7920871212123</c:v>
                </c:pt>
                <c:pt idx="217">
                  <c:v>1466.2087537878788</c:v>
                </c:pt>
                <c:pt idx="218">
                  <c:v>1455.7920871212123</c:v>
                </c:pt>
                <c:pt idx="219">
                  <c:v>1455.7920871212123</c:v>
                </c:pt>
                <c:pt idx="220">
                  <c:v>1466.2087537878788</c:v>
                </c:pt>
                <c:pt idx="221">
                  <c:v>1466.2087537878788</c:v>
                </c:pt>
                <c:pt idx="222">
                  <c:v>1466.2087537878788</c:v>
                </c:pt>
                <c:pt idx="223">
                  <c:v>1466.2087537878788</c:v>
                </c:pt>
                <c:pt idx="224">
                  <c:v>1476.6254204545455</c:v>
                </c:pt>
                <c:pt idx="225">
                  <c:v>1476.6254204545455</c:v>
                </c:pt>
                <c:pt idx="226">
                  <c:v>1466.2087537878788</c:v>
                </c:pt>
                <c:pt idx="227">
                  <c:v>1416.0193598484848</c:v>
                </c:pt>
                <c:pt idx="228">
                  <c:v>1455.7920871212123</c:v>
                </c:pt>
                <c:pt idx="229">
                  <c:v>1455.7920871212123</c:v>
                </c:pt>
                <c:pt idx="230">
                  <c:v>1476.6254204545455</c:v>
                </c:pt>
                <c:pt idx="231">
                  <c:v>1476.6254204545455</c:v>
                </c:pt>
                <c:pt idx="232">
                  <c:v>1455.7920871212123</c:v>
                </c:pt>
                <c:pt idx="233">
                  <c:v>1455.7920871212123</c:v>
                </c:pt>
                <c:pt idx="234">
                  <c:v>1455.7920871212123</c:v>
                </c:pt>
                <c:pt idx="235">
                  <c:v>1455.7920871212123</c:v>
                </c:pt>
                <c:pt idx="236">
                  <c:v>1466.2087537878788</c:v>
                </c:pt>
                <c:pt idx="237">
                  <c:v>1466.2087537878788</c:v>
                </c:pt>
                <c:pt idx="238">
                  <c:v>1426.4360265151515</c:v>
                </c:pt>
                <c:pt idx="239">
                  <c:v>1426.4360265151515</c:v>
                </c:pt>
                <c:pt idx="240">
                  <c:v>1419.491582070707</c:v>
                </c:pt>
                <c:pt idx="241">
                  <c:v>1416.0193598484848</c:v>
                </c:pt>
                <c:pt idx="242">
                  <c:v>1459.2643093434344</c:v>
                </c:pt>
                <c:pt idx="243">
                  <c:v>1459.2643093434344</c:v>
                </c:pt>
                <c:pt idx="244">
                  <c:v>1459.2643093434344</c:v>
                </c:pt>
                <c:pt idx="245">
                  <c:v>1459.2643093434344</c:v>
                </c:pt>
                <c:pt idx="246">
                  <c:v>1404.6797084771767</c:v>
                </c:pt>
                <c:pt idx="247">
                  <c:v>1444.4524357499042</c:v>
                </c:pt>
                <c:pt idx="248">
                  <c:v>1444.4524357499042</c:v>
                </c:pt>
                <c:pt idx="249">
                  <c:v>1404.6797084771767</c:v>
                </c:pt>
                <c:pt idx="250">
                  <c:v>1444.4524357499042</c:v>
                </c:pt>
                <c:pt idx="251">
                  <c:v>1444.4524357499042</c:v>
                </c:pt>
                <c:pt idx="252">
                  <c:v>1444.4524357499042</c:v>
                </c:pt>
                <c:pt idx="253">
                  <c:v>1444.4524357499042</c:v>
                </c:pt>
                <c:pt idx="254">
                  <c:v>1841.208753787879</c:v>
                </c:pt>
                <c:pt idx="255">
                  <c:v>1466.208764863828</c:v>
                </c:pt>
                <c:pt idx="256">
                  <c:v>1412.8068661296511</c:v>
                </c:pt>
                <c:pt idx="257">
                  <c:v>1373.0341388569236</c:v>
                </c:pt>
                <c:pt idx="258">
                  <c:v>1412.8068661296511</c:v>
                </c:pt>
                <c:pt idx="259">
                  <c:v>1459.2643093434344</c:v>
                </c:pt>
                <c:pt idx="260">
                  <c:v>1453.8981477272728</c:v>
                </c:pt>
                <c:pt idx="261">
                  <c:v>1476.6254204545455</c:v>
                </c:pt>
                <c:pt idx="262">
                  <c:v>1442.4745876486384</c:v>
                </c:pt>
                <c:pt idx="263">
                  <c:v>1466.2087537878788</c:v>
                </c:pt>
                <c:pt idx="264">
                  <c:v>1466.2087537878788</c:v>
                </c:pt>
                <c:pt idx="265">
                  <c:v>1466.2087537878788</c:v>
                </c:pt>
                <c:pt idx="266">
                  <c:v>1466.2087537878788</c:v>
                </c:pt>
                <c:pt idx="267">
                  <c:v>1466.2087537878788</c:v>
                </c:pt>
                <c:pt idx="268">
                  <c:v>1466.2087537878788</c:v>
                </c:pt>
                <c:pt idx="269">
                  <c:v>1466.2087537878788</c:v>
                </c:pt>
                <c:pt idx="270">
                  <c:v>1466.2087537878788</c:v>
                </c:pt>
                <c:pt idx="271">
                  <c:v>1466.2087537878788</c:v>
                </c:pt>
                <c:pt idx="272">
                  <c:v>1466.2087537878788</c:v>
                </c:pt>
                <c:pt idx="273">
                  <c:v>1466.2087537878788</c:v>
                </c:pt>
                <c:pt idx="274">
                  <c:v>1466.2087537878788</c:v>
                </c:pt>
                <c:pt idx="275">
                  <c:v>1466.2087537878788</c:v>
                </c:pt>
                <c:pt idx="276">
                  <c:v>1466.2087537878788</c:v>
                </c:pt>
                <c:pt idx="277">
                  <c:v>1466.2087537878788</c:v>
                </c:pt>
                <c:pt idx="278">
                  <c:v>1466.2087537878788</c:v>
                </c:pt>
                <c:pt idx="279">
                  <c:v>1466.2087537878788</c:v>
                </c:pt>
                <c:pt idx="280">
                  <c:v>1466.2087537878788</c:v>
                </c:pt>
                <c:pt idx="281">
                  <c:v>1466.2087537878788</c:v>
                </c:pt>
                <c:pt idx="282">
                  <c:v>1459.2643093434344</c:v>
                </c:pt>
                <c:pt idx="283">
                  <c:v>1466.2087537878788</c:v>
                </c:pt>
                <c:pt idx="284">
                  <c:v>1466.2087537878788</c:v>
                </c:pt>
                <c:pt idx="285">
                  <c:v>1466.2087537878788</c:v>
                </c:pt>
                <c:pt idx="286">
                  <c:v>1459.2643093434344</c:v>
                </c:pt>
                <c:pt idx="287">
                  <c:v>1466.2087537878788</c:v>
                </c:pt>
                <c:pt idx="288">
                  <c:v>1466.2087537878788</c:v>
                </c:pt>
                <c:pt idx="289">
                  <c:v>1466.2087537878788</c:v>
                </c:pt>
                <c:pt idx="290">
                  <c:v>1466.2087537878788</c:v>
                </c:pt>
                <c:pt idx="291">
                  <c:v>1466.2087537878788</c:v>
                </c:pt>
                <c:pt idx="292">
                  <c:v>1466.2087537878788</c:v>
                </c:pt>
                <c:pt idx="293">
                  <c:v>1466.2087537878788</c:v>
                </c:pt>
                <c:pt idx="294">
                  <c:v>1466.2087537878788</c:v>
                </c:pt>
                <c:pt idx="295">
                  <c:v>1466.2087537878788</c:v>
                </c:pt>
                <c:pt idx="296">
                  <c:v>1466.2087537878788</c:v>
                </c:pt>
                <c:pt idx="297">
                  <c:v>1466.2087537878788</c:v>
                </c:pt>
                <c:pt idx="298">
                  <c:v>1466.2087537878788</c:v>
                </c:pt>
                <c:pt idx="299">
                  <c:v>1466.2087537878788</c:v>
                </c:pt>
                <c:pt idx="300">
                  <c:v>1466.2087537878788</c:v>
                </c:pt>
                <c:pt idx="301">
                  <c:v>1466.2087537878788</c:v>
                </c:pt>
                <c:pt idx="302">
                  <c:v>1466.2087537878788</c:v>
                </c:pt>
                <c:pt idx="303">
                  <c:v>1466.2087537878788</c:v>
                </c:pt>
                <c:pt idx="304">
                  <c:v>1466.2087537878788</c:v>
                </c:pt>
                <c:pt idx="305">
                  <c:v>1466.2087537878788</c:v>
                </c:pt>
                <c:pt idx="306">
                  <c:v>1466.2087537878788</c:v>
                </c:pt>
                <c:pt idx="307">
                  <c:v>1466.2087537878788</c:v>
                </c:pt>
                <c:pt idx="308">
                  <c:v>1466.2087537878788</c:v>
                </c:pt>
                <c:pt idx="309">
                  <c:v>1466.2087537878788</c:v>
                </c:pt>
                <c:pt idx="310">
                  <c:v>1466.2087537878788</c:v>
                </c:pt>
                <c:pt idx="311">
                  <c:v>1412.8068661296511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7E-410E-91CF-A54BF56F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419304824"/>
        <c:axId val="419304432"/>
      </c:barChart>
      <c:lineChart>
        <c:grouping val="stacked"/>
        <c:varyColors val="0"/>
        <c:ser>
          <c:idx val="1"/>
          <c:order val="6"/>
          <c:tx>
            <c:strRef>
              <c:f>'Risk score summary'!$F$2</c:f>
              <c:strCache>
                <c:ptCount val="1"/>
                <c:pt idx="0">
                  <c:v>acceptable criteria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'[1]Risk score summary'!$B$3:$B$302</c:f>
              <c:strCache>
                <c:ptCount val="300"/>
                <c:pt idx="0">
                  <c:v>4021</c:v>
                </c:pt>
                <c:pt idx="1">
                  <c:v>4023</c:v>
                </c:pt>
                <c:pt idx="2">
                  <c:v>4032</c:v>
                </c:pt>
                <c:pt idx="3">
                  <c:v>4311</c:v>
                </c:pt>
                <c:pt idx="4">
                  <c:v>431110003</c:v>
                </c:pt>
                <c:pt idx="5">
                  <c:v>4311103</c:v>
                </c:pt>
                <c:pt idx="6">
                  <c:v>431120101</c:v>
                </c:pt>
                <c:pt idx="7">
                  <c:v>431120102</c:v>
                </c:pt>
                <c:pt idx="8">
                  <c:v>431120103</c:v>
                </c:pt>
                <c:pt idx="9">
                  <c:v>431120106</c:v>
                </c:pt>
                <c:pt idx="10">
                  <c:v>431120108</c:v>
                </c:pt>
                <c:pt idx="11">
                  <c:v>431120001</c:v>
                </c:pt>
                <c:pt idx="12">
                  <c:v>4401</c:v>
                </c:pt>
                <c:pt idx="13">
                  <c:v>5033</c:v>
                </c:pt>
                <c:pt idx="14">
                  <c:v>40231</c:v>
                </c:pt>
                <c:pt idx="15">
                  <c:v>44041</c:v>
                </c:pt>
                <c:pt idx="16">
                  <c:v>402330206</c:v>
                </c:pt>
                <c:pt idx="17">
                  <c:v>632102</c:v>
                </c:pt>
                <c:pt idx="18">
                  <c:v>a</c:v>
                </c:pt>
                <c:pt idx="19">
                  <c:v>b</c:v>
                </c:pt>
                <c:pt idx="20">
                  <c:v>c</c:v>
                </c:pt>
                <c:pt idx="21">
                  <c:v>d</c:v>
                </c:pt>
                <c:pt idx="22">
                  <c:v>e</c:v>
                </c:pt>
                <c:pt idx="23">
                  <c:v>f</c:v>
                </c:pt>
                <c:pt idx="24">
                  <c:v>g</c:v>
                </c:pt>
                <c:pt idx="25">
                  <c:v>h</c:v>
                </c:pt>
                <c:pt idx="26">
                  <c:v>40231</c:v>
                </c:pt>
                <c:pt idx="27">
                  <c:v>i</c:v>
                </c:pt>
                <c:pt idx="28">
                  <c:v>j</c:v>
                </c:pt>
                <c:pt idx="29">
                  <c:v>k</c:v>
                </c:pt>
                <c:pt idx="30">
                  <c:v>l</c:v>
                </c:pt>
                <c:pt idx="31">
                  <c:v>m</c:v>
                </c:pt>
                <c:pt idx="32">
                  <c:v>n</c:v>
                </c:pt>
                <c:pt idx="33">
                  <c:v>o</c:v>
                </c:pt>
                <c:pt idx="34">
                  <c:v>p</c:v>
                </c:pt>
                <c:pt idx="35">
                  <c:v>q</c:v>
                </c:pt>
                <c:pt idx="36">
                  <c:v>631100002</c:v>
                </c:pt>
                <c:pt idx="37">
                  <c:v>631100004</c:v>
                </c:pt>
                <c:pt idx="38">
                  <c:v>6322101</c:v>
                </c:pt>
                <c:pt idx="39">
                  <c:v>6322104</c:v>
                </c:pt>
                <c:pt idx="40">
                  <c:v>40222012</c:v>
                </c:pt>
                <c:pt idx="41">
                  <c:v>402110001</c:v>
                </c:pt>
                <c:pt idx="42">
                  <c:v>402210001</c:v>
                </c:pt>
                <c:pt idx="43">
                  <c:v>402210003</c:v>
                </c:pt>
                <c:pt idx="44">
                  <c:v>4030301</c:v>
                </c:pt>
                <c:pt idx="45">
                  <c:v>405110101</c:v>
                </c:pt>
                <c:pt idx="46">
                  <c:v>4052</c:v>
                </c:pt>
                <c:pt idx="47">
                  <c:v>44021001</c:v>
                </c:pt>
                <c:pt idx="48">
                  <c:v>440210002</c:v>
                </c:pt>
                <c:pt idx="49">
                  <c:v>440210003</c:v>
                </c:pt>
                <c:pt idx="50">
                  <c:v>440210004</c:v>
                </c:pt>
                <c:pt idx="51">
                  <c:v>440220001</c:v>
                </c:pt>
                <c:pt idx="52">
                  <c:v>503100001</c:v>
                </c:pt>
                <c:pt idx="53">
                  <c:v>503100002</c:v>
                </c:pt>
                <c:pt idx="54">
                  <c:v>503200001</c:v>
                </c:pt>
                <c:pt idx="55">
                  <c:v>5033</c:v>
                </c:pt>
                <c:pt idx="56">
                  <c:v>5041</c:v>
                </c:pt>
                <c:pt idx="57">
                  <c:v>504200001</c:v>
                </c:pt>
                <c:pt idx="58">
                  <c:v>504300001</c:v>
                </c:pt>
                <c:pt idx="59">
                  <c:v>505100001</c:v>
                </c:pt>
                <c:pt idx="60">
                  <c:v>56051101</c:v>
                </c:pt>
                <c:pt idx="61">
                  <c:v>674</c:v>
                </c:pt>
                <c:pt idx="62">
                  <c:v>6611</c:v>
                </c:pt>
                <c:pt idx="63">
                  <c:v>661301</c:v>
                </c:pt>
                <c:pt idx="64">
                  <c:v>6614</c:v>
                </c:pt>
                <c:pt idx="65">
                  <c:v>6731</c:v>
                </c:pt>
                <c:pt idx="66">
                  <c:v>6732</c:v>
                </c:pt>
                <c:pt idx="67">
                  <c:v>6734</c:v>
                </c:pt>
                <c:pt idx="68">
                  <c:v>63601</c:v>
                </c:pt>
                <c:pt idx="69">
                  <c:v>63602</c:v>
                </c:pt>
                <c:pt idx="70">
                  <c:v>65820</c:v>
                </c:pt>
                <c:pt idx="71">
                  <c:v>66111</c:v>
                </c:pt>
                <c:pt idx="72">
                  <c:v>6611102</c:v>
                </c:pt>
                <c:pt idx="73">
                  <c:v>661110201</c:v>
                </c:pt>
                <c:pt idx="74">
                  <c:v>661110202</c:v>
                </c:pt>
                <c:pt idx="75">
                  <c:v>661110203</c:v>
                </c:pt>
                <c:pt idx="76">
                  <c:v>66112</c:v>
                </c:pt>
                <c:pt idx="77">
                  <c:v>66203</c:v>
                </c:pt>
                <c:pt idx="78">
                  <c:v>662100001</c:v>
                </c:pt>
                <c:pt idx="79">
                  <c:v>66401001</c:v>
                </c:pt>
                <c:pt idx="80">
                  <c:v>66401002</c:v>
                </c:pt>
                <c:pt idx="81">
                  <c:v>6711</c:v>
                </c:pt>
                <c:pt idx="82">
                  <c:v>Z</c:v>
                </c:pt>
                <c:pt idx="83">
                  <c:v>67111002</c:v>
                </c:pt>
                <c:pt idx="84">
                  <c:v>67111003</c:v>
                </c:pt>
                <c:pt idx="85">
                  <c:v>67111004</c:v>
                </c:pt>
                <c:pt idx="86">
                  <c:v>6712</c:v>
                </c:pt>
                <c:pt idx="87">
                  <c:v>67111</c:v>
                </c:pt>
                <c:pt idx="88">
                  <c:v>67121</c:v>
                </c:pt>
                <c:pt idx="89">
                  <c:v>67121</c:v>
                </c:pt>
                <c:pt idx="90">
                  <c:v>67121</c:v>
                </c:pt>
                <c:pt idx="91">
                  <c:v>6712101</c:v>
                </c:pt>
                <c:pt idx="92">
                  <c:v>671210103</c:v>
                </c:pt>
                <c:pt idx="93">
                  <c:v>671210104</c:v>
                </c:pt>
                <c:pt idx="94">
                  <c:v>6712102</c:v>
                </c:pt>
                <c:pt idx="95">
                  <c:v>671210201</c:v>
                </c:pt>
                <c:pt idx="96">
                  <c:v>671210202</c:v>
                </c:pt>
                <c:pt idx="97">
                  <c:v>6712103</c:v>
                </c:pt>
                <c:pt idx="98">
                  <c:v>671210301</c:v>
                </c:pt>
                <c:pt idx="99">
                  <c:v>671210401</c:v>
                </c:pt>
                <c:pt idx="100">
                  <c:v>6712104</c:v>
                </c:pt>
                <c:pt idx="101">
                  <c:v>6712105</c:v>
                </c:pt>
                <c:pt idx="102">
                  <c:v>67122</c:v>
                </c:pt>
                <c:pt idx="103">
                  <c:v>673010101</c:v>
                </c:pt>
                <c:pt idx="104">
                  <c:v>67303</c:v>
                </c:pt>
                <c:pt idx="105">
                  <c:v>67311</c:v>
                </c:pt>
                <c:pt idx="106">
                  <c:v>69211</c:v>
                </c:pt>
                <c:pt idx="107">
                  <c:v>671111</c:v>
                </c:pt>
                <c:pt idx="108">
                  <c:v>6360106</c:v>
                </c:pt>
                <c:pt idx="109">
                  <c:v>6582101</c:v>
                </c:pt>
                <c:pt idx="110">
                  <c:v>661110002</c:v>
                </c:pt>
                <c:pt idx="111">
                  <c:v>661110004</c:v>
                </c:pt>
                <c:pt idx="112">
                  <c:v>661110004</c:v>
                </c:pt>
                <c:pt idx="113">
                  <c:v>661120001</c:v>
                </c:pt>
                <c:pt idx="114">
                  <c:v>661120002</c:v>
                </c:pt>
                <c:pt idx="115">
                  <c:v>661120003</c:v>
                </c:pt>
                <c:pt idx="116">
                  <c:v>661120004</c:v>
                </c:pt>
                <c:pt idx="117">
                  <c:v>661120005</c:v>
                </c:pt>
                <c:pt idx="118">
                  <c:v>661120006</c:v>
                </c:pt>
                <c:pt idx="119">
                  <c:v>6611201</c:v>
                </c:pt>
                <c:pt idx="120">
                  <c:v>661120101</c:v>
                </c:pt>
                <c:pt idx="121">
                  <c:v>661120102</c:v>
                </c:pt>
                <c:pt idx="122">
                  <c:v>661120103</c:v>
                </c:pt>
                <c:pt idx="123">
                  <c:v>661120104</c:v>
                </c:pt>
                <c:pt idx="124">
                  <c:v>661120105</c:v>
                </c:pt>
                <c:pt idx="125">
                  <c:v>661120106</c:v>
                </c:pt>
                <c:pt idx="126">
                  <c:v>661120107</c:v>
                </c:pt>
                <c:pt idx="127">
                  <c:v>661120108</c:v>
                </c:pt>
                <c:pt idx="128">
                  <c:v>661120109</c:v>
                </c:pt>
                <c:pt idx="129">
                  <c:v>6611202</c:v>
                </c:pt>
                <c:pt idx="130">
                  <c:v>661120201</c:v>
                </c:pt>
                <c:pt idx="131">
                  <c:v>661120110</c:v>
                </c:pt>
                <c:pt idx="132">
                  <c:v>661120202</c:v>
                </c:pt>
                <c:pt idx="133">
                  <c:v>661120401</c:v>
                </c:pt>
                <c:pt idx="134">
                  <c:v>6611205</c:v>
                </c:pt>
                <c:pt idx="135">
                  <c:v>661120501</c:v>
                </c:pt>
                <c:pt idx="136">
                  <c:v>661120502</c:v>
                </c:pt>
                <c:pt idx="137">
                  <c:v>6611206</c:v>
                </c:pt>
                <c:pt idx="138">
                  <c:v>661200001</c:v>
                </c:pt>
                <c:pt idx="139">
                  <c:v>661200001</c:v>
                </c:pt>
                <c:pt idx="140">
                  <c:v>6613</c:v>
                </c:pt>
                <c:pt idx="141">
                  <c:v>6730101</c:v>
                </c:pt>
                <c:pt idx="142">
                  <c:v>6731101</c:v>
                </c:pt>
                <c:pt idx="143">
                  <c:v>6921101</c:v>
                </c:pt>
                <c:pt idx="144">
                  <c:v>67210001</c:v>
                </c:pt>
                <c:pt idx="145">
                  <c:v>67210002</c:v>
                </c:pt>
                <c:pt idx="146">
                  <c:v>658110001</c:v>
                </c:pt>
                <c:pt idx="147">
                  <c:v>658110002</c:v>
                </c:pt>
                <c:pt idx="148">
                  <c:v>661110201</c:v>
                </c:pt>
                <c:pt idx="149">
                  <c:v>671200001</c:v>
                </c:pt>
                <c:pt idx="150">
                  <c:v>671210001</c:v>
                </c:pt>
                <c:pt idx="151">
                  <c:v>671210002</c:v>
                </c:pt>
                <c:pt idx="152">
                  <c:v>671210101</c:v>
                </c:pt>
                <c:pt idx="153">
                  <c:v>671210102</c:v>
                </c:pt>
                <c:pt idx="154">
                  <c:v>671500001</c:v>
                </c:pt>
                <c:pt idx="155">
                  <c:v>673110001</c:v>
                </c:pt>
                <c:pt idx="156">
                  <c:v>673110002</c:v>
                </c:pt>
                <c:pt idx="157">
                  <c:v>673110003</c:v>
                </c:pt>
                <c:pt idx="158">
                  <c:v>673110004</c:v>
                </c:pt>
                <c:pt idx="159">
                  <c:v>673110005</c:v>
                </c:pt>
                <c:pt idx="160">
                  <c:v>673110103</c:v>
                </c:pt>
                <c:pt idx="161">
                  <c:v>673200001</c:v>
                </c:pt>
                <c:pt idx="162">
                  <c:v>673200002</c:v>
                </c:pt>
                <c:pt idx="163">
                  <c:v>673500001</c:v>
                </c:pt>
                <c:pt idx="164">
                  <c:v>673600001</c:v>
                </c:pt>
                <c:pt idx="165">
                  <c:v>673700001</c:v>
                </c:pt>
                <c:pt idx="166">
                  <c:v>674100001</c:v>
                </c:pt>
                <c:pt idx="167">
                  <c:v>692110101</c:v>
                </c:pt>
                <c:pt idx="168">
                  <c:v>692110103</c:v>
                </c:pt>
                <c:pt idx="169">
                  <c:v>330</c:v>
                </c:pt>
                <c:pt idx="170">
                  <c:v>330100002</c:v>
                </c:pt>
                <c:pt idx="171">
                  <c:v>330100003</c:v>
                </c:pt>
                <c:pt idx="172">
                  <c:v>33010009</c:v>
                </c:pt>
                <c:pt idx="173">
                  <c:v>330200002</c:v>
                </c:pt>
                <c:pt idx="174">
                  <c:v>330300001</c:v>
                </c:pt>
                <c:pt idx="175">
                  <c:v>330300001</c:v>
                </c:pt>
                <c:pt idx="176">
                  <c:v>330400008</c:v>
                </c:pt>
                <c:pt idx="177">
                  <c:v>330500001</c:v>
                </c:pt>
                <c:pt idx="178">
                  <c:v>33050002</c:v>
                </c:pt>
                <c:pt idx="179">
                  <c:v>330500001</c:v>
                </c:pt>
                <c:pt idx="180">
                  <c:v>330500004</c:v>
                </c:pt>
                <c:pt idx="181">
                  <c:v>330500003</c:v>
                </c:pt>
                <c:pt idx="182">
                  <c:v>330500007</c:v>
                </c:pt>
                <c:pt idx="183">
                  <c:v>330500008</c:v>
                </c:pt>
                <c:pt idx="184">
                  <c:v>330500012</c:v>
                </c:pt>
                <c:pt idx="185">
                  <c:v>330600002</c:v>
                </c:pt>
                <c:pt idx="186">
                  <c:v>330600003</c:v>
                </c:pt>
                <c:pt idx="187">
                  <c:v>430</c:v>
                </c:pt>
                <c:pt idx="188">
                  <c:v>3402</c:v>
                </c:pt>
                <c:pt idx="189">
                  <c:v>340300002</c:v>
                </c:pt>
                <c:pt idx="190">
                  <c:v>4014</c:v>
                </c:pt>
                <c:pt idx="191">
                  <c:v>40112</c:v>
                </c:pt>
                <c:pt idx="192">
                  <c:v>40321</c:v>
                </c:pt>
                <c:pt idx="193">
                  <c:v>560201</c:v>
                </c:pt>
                <c:pt idx="194">
                  <c:v>561201</c:v>
                </c:pt>
                <c:pt idx="195">
                  <c:v>6402106</c:v>
                </c:pt>
                <c:pt idx="196">
                  <c:v>3402101</c:v>
                </c:pt>
                <c:pt idx="197">
                  <c:v>3402102</c:v>
                </c:pt>
                <c:pt idx="198">
                  <c:v>3402103</c:v>
                </c:pt>
                <c:pt idx="199">
                  <c:v>3402104</c:v>
                </c:pt>
                <c:pt idx="200">
                  <c:v>3402105</c:v>
                </c:pt>
                <c:pt idx="201">
                  <c:v>3402106</c:v>
                </c:pt>
                <c:pt idx="202">
                  <c:v>4032201</c:v>
                </c:pt>
                <c:pt idx="203">
                  <c:v>330800104</c:v>
                </c:pt>
                <c:pt idx="204">
                  <c:v>33081004</c:v>
                </c:pt>
                <c:pt idx="205">
                  <c:v>33083010</c:v>
                </c:pt>
                <c:pt idx="206">
                  <c:v>56010101</c:v>
                </c:pt>
                <c:pt idx="207">
                  <c:v>56010102</c:v>
                </c:pt>
                <c:pt idx="208">
                  <c:v>56010103</c:v>
                </c:pt>
                <c:pt idx="209">
                  <c:v>330820005</c:v>
                </c:pt>
                <c:pt idx="210">
                  <c:v>330900001</c:v>
                </c:pt>
                <c:pt idx="211">
                  <c:v>330901001</c:v>
                </c:pt>
                <c:pt idx="212">
                  <c:v>330901002</c:v>
                </c:pt>
                <c:pt idx="213">
                  <c:v>330901003</c:v>
                </c:pt>
                <c:pt idx="214">
                  <c:v>340210602</c:v>
                </c:pt>
                <c:pt idx="215">
                  <c:v>340300001</c:v>
                </c:pt>
                <c:pt idx="216">
                  <c:v>401100001</c:v>
                </c:pt>
                <c:pt idx="217">
                  <c:v>401110001</c:v>
                </c:pt>
                <c:pt idx="218">
                  <c:v>41041</c:v>
                </c:pt>
                <c:pt idx="219">
                  <c:v>410101</c:v>
                </c:pt>
                <c:pt idx="220">
                  <c:v>41010101</c:v>
                </c:pt>
                <c:pt idx="221">
                  <c:v>410102</c:v>
                </c:pt>
                <c:pt idx="222">
                  <c:v>41010201</c:v>
                </c:pt>
                <c:pt idx="223">
                  <c:v>41010202</c:v>
                </c:pt>
                <c:pt idx="224">
                  <c:v>41010203</c:v>
                </c:pt>
                <c:pt idx="225">
                  <c:v>41010204</c:v>
                </c:pt>
                <c:pt idx="226">
                  <c:v>410300001</c:v>
                </c:pt>
                <c:pt idx="227">
                  <c:v>401201002</c:v>
                </c:pt>
                <c:pt idx="228">
                  <c:v>41010102</c:v>
                </c:pt>
                <c:pt idx="229">
                  <c:v>41010103</c:v>
                </c:pt>
                <c:pt idx="230">
                  <c:v>4457</c:v>
                </c:pt>
                <c:pt idx="231">
                  <c:v>5062</c:v>
                </c:pt>
                <c:pt idx="232">
                  <c:v>6100</c:v>
                </c:pt>
                <c:pt idx="233">
                  <c:v>50611</c:v>
                </c:pt>
                <c:pt idx="234">
                  <c:v>445402</c:v>
                </c:pt>
                <c:pt idx="235">
                  <c:v>445403</c:v>
                </c:pt>
                <c:pt idx="236">
                  <c:v>615201</c:v>
                </c:pt>
                <c:pt idx="237">
                  <c:v>616101</c:v>
                </c:pt>
                <c:pt idx="238">
                  <c:v>617801</c:v>
                </c:pt>
                <c:pt idx="239">
                  <c:v>61520101</c:v>
                </c:pt>
                <c:pt idx="240">
                  <c:v>61610101</c:v>
                </c:pt>
                <c:pt idx="241">
                  <c:v>4457010102</c:v>
                </c:pt>
                <c:pt idx="242">
                  <c:v>4457010103</c:v>
                </c:pt>
                <c:pt idx="243">
                  <c:v>4457010104</c:v>
                </c:pt>
                <c:pt idx="244">
                  <c:v>4457010105</c:v>
                </c:pt>
                <c:pt idx="245">
                  <c:v>4457010106</c:v>
                </c:pt>
                <c:pt idx="246">
                  <c:v>4457010108</c:v>
                </c:pt>
                <c:pt idx="247">
                  <c:v>y</c:v>
                </c:pt>
                <c:pt idx="248">
                  <c:v>4457010201</c:v>
                </c:pt>
                <c:pt idx="249">
                  <c:v>4457010204</c:v>
                </c:pt>
                <c:pt idx="250">
                  <c:v>620</c:v>
                </c:pt>
                <c:pt idx="251">
                  <c:v>6521</c:v>
                </c:pt>
                <c:pt idx="252">
                  <c:v>652200002</c:v>
                </c:pt>
                <c:pt idx="253">
                  <c:v>6523</c:v>
                </c:pt>
                <c:pt idx="254">
                  <c:v>6525</c:v>
                </c:pt>
                <c:pt idx="255">
                  <c:v>652501</c:v>
                </c:pt>
                <c:pt idx="256">
                  <c:v>4470</c:v>
                </c:pt>
                <c:pt idx="257">
                  <c:v>6203</c:v>
                </c:pt>
                <c:pt idx="258">
                  <c:v>6208</c:v>
                </c:pt>
                <c:pt idx="259">
                  <c:v>6531</c:v>
                </c:pt>
                <c:pt idx="260">
                  <c:v>653100001</c:v>
                </c:pt>
                <c:pt idx="261">
                  <c:v>65311</c:v>
                </c:pt>
                <c:pt idx="262">
                  <c:v>653110101</c:v>
                </c:pt>
                <c:pt idx="263">
                  <c:v>653110103</c:v>
                </c:pt>
                <c:pt idx="264">
                  <c:v>653110104</c:v>
                </c:pt>
                <c:pt idx="265">
                  <c:v>653110105</c:v>
                </c:pt>
                <c:pt idx="266">
                  <c:v>653110106</c:v>
                </c:pt>
                <c:pt idx="267">
                  <c:v>653110108</c:v>
                </c:pt>
                <c:pt idx="268">
                  <c:v>653110109</c:v>
                </c:pt>
                <c:pt idx="269">
                  <c:v>653110110</c:v>
                </c:pt>
                <c:pt idx="270">
                  <c:v>653110111</c:v>
                </c:pt>
                <c:pt idx="271">
                  <c:v>653110112</c:v>
                </c:pt>
                <c:pt idx="272">
                  <c:v>553110113</c:v>
                </c:pt>
                <c:pt idx="273">
                  <c:v>653110114</c:v>
                </c:pt>
                <c:pt idx="274">
                  <c:v>653110115</c:v>
                </c:pt>
                <c:pt idx="275">
                  <c:v>653110116</c:v>
                </c:pt>
                <c:pt idx="276">
                  <c:v>653110117</c:v>
                </c:pt>
                <c:pt idx="277">
                  <c:v>6531102</c:v>
                </c:pt>
                <c:pt idx="278">
                  <c:v>653110201</c:v>
                </c:pt>
                <c:pt idx="279">
                  <c:v>653110202</c:v>
                </c:pt>
                <c:pt idx="280">
                  <c:v>6531103</c:v>
                </c:pt>
                <c:pt idx="281">
                  <c:v>6531104</c:v>
                </c:pt>
                <c:pt idx="282">
                  <c:v>63401</c:v>
                </c:pt>
                <c:pt idx="283">
                  <c:v>6340101</c:v>
                </c:pt>
                <c:pt idx="284">
                  <c:v>634010101</c:v>
                </c:pt>
                <c:pt idx="285">
                  <c:v>6340102</c:v>
                </c:pt>
                <c:pt idx="286">
                  <c:v>65306</c:v>
                </c:pt>
                <c:pt idx="287">
                  <c:v>653050001</c:v>
                </c:pt>
                <c:pt idx="288">
                  <c:v>653050002</c:v>
                </c:pt>
                <c:pt idx="289">
                  <c:v>653060001</c:v>
                </c:pt>
                <c:pt idx="290">
                  <c:v>410903</c:v>
                </c:pt>
                <c:pt idx="291">
                  <c:v>6203004</c:v>
                </c:pt>
                <c:pt idx="292">
                  <c:v>651100001</c:v>
                </c:pt>
                <c:pt idx="293">
                  <c:v>651100002</c:v>
                </c:pt>
                <c:pt idx="294">
                  <c:v>651100003</c:v>
                </c:pt>
                <c:pt idx="295">
                  <c:v>651100004</c:v>
                </c:pt>
                <c:pt idx="296">
                  <c:v>651200001</c:v>
                </c:pt>
                <c:pt idx="297">
                  <c:v>651300001</c:v>
                </c:pt>
                <c:pt idx="298">
                  <c:v>65130101</c:v>
                </c:pt>
                <c:pt idx="299">
                  <c:v>65130201</c:v>
                </c:pt>
              </c:strCache>
            </c:strRef>
          </c:cat>
          <c:val>
            <c:numRef>
              <c:f>'Risk score summary'!$F$3:$F$314</c:f>
            </c:numRef>
          </c:val>
          <c:smooth val="0"/>
          <c:extLst>
            <c:ext xmlns:c16="http://schemas.microsoft.com/office/drawing/2014/chart" uri="{C3380CC4-5D6E-409C-BE32-E72D297353CC}">
              <c16:uniqueId val="{00000006-4F7E-410E-91CF-A54BF56F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04824"/>
        <c:axId val="419304432"/>
      </c:lineChart>
      <c:catAx>
        <c:axId val="20324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306000"/>
        <c:crosses val="autoZero"/>
        <c:auto val="1"/>
        <c:lblAlgn val="ctr"/>
        <c:lblOffset val="100"/>
        <c:noMultiLvlLbl val="0"/>
      </c:catAx>
      <c:valAx>
        <c:axId val="41930600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245600"/>
        <c:crosses val="autoZero"/>
        <c:crossBetween val="midCat"/>
      </c:valAx>
      <c:valAx>
        <c:axId val="419304432"/>
        <c:scaling>
          <c:orientation val="minMax"/>
          <c:max val="3000"/>
        </c:scaling>
        <c:delete val="0"/>
        <c:axPos val="r"/>
        <c:numFmt formatCode="General" sourceLinked="1"/>
        <c:majorTickMark val="out"/>
        <c:minorTickMark val="none"/>
        <c:tickLblPos val="nextTo"/>
        <c:crossAx val="419304824"/>
        <c:crosses val="max"/>
        <c:crossBetween val="between"/>
      </c:valAx>
      <c:catAx>
        <c:axId val="4193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30443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 pipeline </a:t>
            </a:r>
            <a:r>
              <a:rPr lang="en-US" baseline="0"/>
              <a:t> risk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2557169878285832E-2"/>
          <c:y val="0.16902801513717258"/>
          <c:w val="0.90469855176430292"/>
          <c:h val="0.76376862382332911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'Risk score summary (Problem)'!$I$2</c:f>
              <c:strCache>
                <c:ptCount val="1"/>
                <c:pt idx="0">
                  <c:v>INTERNAL CORROSION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 (Problem)'!$I$3:$I$17</c:f>
              <c:numCache>
                <c:formatCode>General</c:formatCode>
                <c:ptCount val="15"/>
                <c:pt idx="0">
                  <c:v>34.166666666666664</c:v>
                </c:pt>
                <c:pt idx="1">
                  <c:v>34.166666666666664</c:v>
                </c:pt>
                <c:pt idx="2">
                  <c:v>34.166666666666664</c:v>
                </c:pt>
                <c:pt idx="3">
                  <c:v>34.166666666666664</c:v>
                </c:pt>
                <c:pt idx="4">
                  <c:v>34.166666666666664</c:v>
                </c:pt>
                <c:pt idx="5">
                  <c:v>34.166666666666664</c:v>
                </c:pt>
                <c:pt idx="6">
                  <c:v>34.166666666666664</c:v>
                </c:pt>
                <c:pt idx="7">
                  <c:v>34.166666666666664</c:v>
                </c:pt>
                <c:pt idx="8">
                  <c:v>34.166666666666664</c:v>
                </c:pt>
                <c:pt idx="9">
                  <c:v>34.166666666666664</c:v>
                </c:pt>
                <c:pt idx="10">
                  <c:v>34.166666666666664</c:v>
                </c:pt>
                <c:pt idx="11">
                  <c:v>34.166666666666664</c:v>
                </c:pt>
                <c:pt idx="12">
                  <c:v>34.166666666666664</c:v>
                </c:pt>
                <c:pt idx="13">
                  <c:v>34.166666666666664</c:v>
                </c:pt>
                <c:pt idx="14">
                  <c:v>34.166666666666664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8-4088-916A-BDF696F3AB41}"/>
            </c:ext>
          </c:extLst>
        </c:ser>
        <c:ser>
          <c:idx val="4"/>
          <c:order val="2"/>
          <c:tx>
            <c:strRef>
              <c:f>'Risk score summary (Problem)'!$K$2</c:f>
              <c:strCache>
                <c:ptCount val="1"/>
                <c:pt idx="0">
                  <c:v>EXTERNAL CORROSION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 (Problem)'!$K$3:$K$17</c:f>
              <c:numCache>
                <c:formatCode>General</c:formatCode>
                <c:ptCount val="15"/>
                <c:pt idx="0">
                  <c:v>36.74050632911392</c:v>
                </c:pt>
                <c:pt idx="1">
                  <c:v>17.753164556962023</c:v>
                </c:pt>
                <c:pt idx="2">
                  <c:v>17.753164556962023</c:v>
                </c:pt>
                <c:pt idx="3">
                  <c:v>17.753164556962023</c:v>
                </c:pt>
                <c:pt idx="4">
                  <c:v>17.753164556962023</c:v>
                </c:pt>
                <c:pt idx="5">
                  <c:v>17.753164556962023</c:v>
                </c:pt>
                <c:pt idx="6">
                  <c:v>17.753164556962023</c:v>
                </c:pt>
                <c:pt idx="7">
                  <c:v>17.753164556962023</c:v>
                </c:pt>
                <c:pt idx="8">
                  <c:v>17.753164556962023</c:v>
                </c:pt>
                <c:pt idx="9">
                  <c:v>17.753164556962023</c:v>
                </c:pt>
                <c:pt idx="10">
                  <c:v>17.753164556962023</c:v>
                </c:pt>
                <c:pt idx="11">
                  <c:v>17.753164556962023</c:v>
                </c:pt>
                <c:pt idx="12">
                  <c:v>17.753164556962023</c:v>
                </c:pt>
                <c:pt idx="13">
                  <c:v>17.753164556962023</c:v>
                </c:pt>
                <c:pt idx="14">
                  <c:v>19.493670000000002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8-4088-916A-BDF696F3AB41}"/>
            </c:ext>
          </c:extLst>
        </c:ser>
        <c:ser>
          <c:idx val="6"/>
          <c:order val="3"/>
          <c:tx>
            <c:strRef>
              <c:f>'Risk score summary'!$M$2</c:f>
              <c:strCache>
                <c:ptCount val="1"/>
                <c:pt idx="0">
                  <c:v>THIRD PARTY INTERFERENCE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 (Problem)'!$M$3:$M$17</c:f>
              <c:numCache>
                <c:formatCode>General</c:formatCode>
                <c:ptCount val="15"/>
                <c:pt idx="0">
                  <c:v>40.454545454545453</c:v>
                </c:pt>
                <c:pt idx="1">
                  <c:v>43.63636363636364</c:v>
                </c:pt>
                <c:pt idx="2">
                  <c:v>43.63636363636364</c:v>
                </c:pt>
                <c:pt idx="3">
                  <c:v>43.63636363636364</c:v>
                </c:pt>
                <c:pt idx="4">
                  <c:v>43.63636363636364</c:v>
                </c:pt>
                <c:pt idx="5">
                  <c:v>43.63636363636364</c:v>
                </c:pt>
                <c:pt idx="6">
                  <c:v>43.63636363636364</c:v>
                </c:pt>
                <c:pt idx="7">
                  <c:v>43.63636363636364</c:v>
                </c:pt>
                <c:pt idx="8">
                  <c:v>43.63636363636364</c:v>
                </c:pt>
                <c:pt idx="9">
                  <c:v>43.63636363636364</c:v>
                </c:pt>
                <c:pt idx="10">
                  <c:v>43.63636363636364</c:v>
                </c:pt>
                <c:pt idx="11">
                  <c:v>43.63636363636364</c:v>
                </c:pt>
                <c:pt idx="12">
                  <c:v>43.63636363636364</c:v>
                </c:pt>
                <c:pt idx="13">
                  <c:v>43.63636363636364</c:v>
                </c:pt>
                <c:pt idx="14">
                  <c:v>43.63636363636364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8-4088-916A-BDF696F3AB41}"/>
            </c:ext>
          </c:extLst>
        </c:ser>
        <c:ser>
          <c:idx val="9"/>
          <c:order val="4"/>
          <c:tx>
            <c:strRef>
              <c:f>'Risk score summary (Problem)'!$R$2</c:f>
              <c:strCache>
                <c:ptCount val="1"/>
                <c:pt idx="0">
                  <c:v>C1 : Societal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 (Problem)'!$R$3:$R$17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78-4088-916A-BDF696F3AB41}"/>
            </c:ext>
          </c:extLst>
        </c:ser>
        <c:ser>
          <c:idx val="10"/>
          <c:order val="5"/>
          <c:tx>
            <c:strRef>
              <c:f>'Risk score summary (Problem)'!$S$2</c:f>
              <c:strCache>
                <c:ptCount val="1"/>
                <c:pt idx="0">
                  <c:v>C2 : Cost</c:v>
                </c:pt>
              </c:strCache>
            </c:strRef>
          </c:tx>
          <c:invertIfNegative val="0"/>
          <c:cat>
            <c:strRef>
              <c:f>'Risk score summary'!$C$3:$C$314</c:f>
              <c:strCache>
                <c:ptCount val="312"/>
                <c:pt idx="0">
                  <c:v>4470</c:v>
                </c:pt>
                <c:pt idx="1">
                  <c:v>6611</c:v>
                </c:pt>
                <c:pt idx="2">
                  <c:v>661301</c:v>
                </c:pt>
                <c:pt idx="3">
                  <c:v>66111</c:v>
                </c:pt>
                <c:pt idx="4">
                  <c:v>6611102</c:v>
                </c:pt>
                <c:pt idx="5">
                  <c:v>661110201</c:v>
                </c:pt>
                <c:pt idx="6">
                  <c:v>661110202</c:v>
                </c:pt>
                <c:pt idx="7">
                  <c:v>661110203</c:v>
                </c:pt>
                <c:pt idx="8">
                  <c:v>66112</c:v>
                </c:pt>
                <c:pt idx="9">
                  <c:v>661110002</c:v>
                </c:pt>
                <c:pt idx="10">
                  <c:v>661110004</c:v>
                </c:pt>
                <c:pt idx="11">
                  <c:v>661110004</c:v>
                </c:pt>
                <c:pt idx="12">
                  <c:v>661120001</c:v>
                </c:pt>
                <c:pt idx="13">
                  <c:v>661120002</c:v>
                </c:pt>
                <c:pt idx="14">
                  <c:v>661120003</c:v>
                </c:pt>
                <c:pt idx="15">
                  <c:v>661120004</c:v>
                </c:pt>
                <c:pt idx="16">
                  <c:v>661120005</c:v>
                </c:pt>
                <c:pt idx="17">
                  <c:v>661120006</c:v>
                </c:pt>
                <c:pt idx="18">
                  <c:v>6611201</c:v>
                </c:pt>
                <c:pt idx="19">
                  <c:v>661120101</c:v>
                </c:pt>
                <c:pt idx="20">
                  <c:v>661120102</c:v>
                </c:pt>
                <c:pt idx="21">
                  <c:v>661120103</c:v>
                </c:pt>
                <c:pt idx="22">
                  <c:v>661120104</c:v>
                </c:pt>
                <c:pt idx="23">
                  <c:v>661120105</c:v>
                </c:pt>
                <c:pt idx="24">
                  <c:v>661120106</c:v>
                </c:pt>
                <c:pt idx="25">
                  <c:v>661120107</c:v>
                </c:pt>
                <c:pt idx="26">
                  <c:v>661120108</c:v>
                </c:pt>
                <c:pt idx="27">
                  <c:v>661120109</c:v>
                </c:pt>
                <c:pt idx="28">
                  <c:v>6611202</c:v>
                </c:pt>
                <c:pt idx="29">
                  <c:v>661120201</c:v>
                </c:pt>
                <c:pt idx="30">
                  <c:v>661120110</c:v>
                </c:pt>
                <c:pt idx="31">
                  <c:v>661120202</c:v>
                </c:pt>
                <c:pt idx="32">
                  <c:v>661120401</c:v>
                </c:pt>
                <c:pt idx="33">
                  <c:v>6611205</c:v>
                </c:pt>
                <c:pt idx="34">
                  <c:v>661120501</c:v>
                </c:pt>
                <c:pt idx="35">
                  <c:v>661120502</c:v>
                </c:pt>
                <c:pt idx="36">
                  <c:v>6611206</c:v>
                </c:pt>
                <c:pt idx="37">
                  <c:v>661200001</c:v>
                </c:pt>
                <c:pt idx="38">
                  <c:v>661200001</c:v>
                </c:pt>
                <c:pt idx="39">
                  <c:v>6613</c:v>
                </c:pt>
                <c:pt idx="40">
                  <c:v>661110201</c:v>
                </c:pt>
                <c:pt idx="41">
                  <c:v>6614</c:v>
                </c:pt>
                <c:pt idx="42">
                  <c:v>41010101</c:v>
                </c:pt>
                <c:pt idx="43">
                  <c:v>401201002</c:v>
                </c:pt>
                <c:pt idx="44">
                  <c:v>41010102</c:v>
                </c:pt>
                <c:pt idx="45">
                  <c:v>41010103</c:v>
                </c:pt>
                <c:pt idx="46">
                  <c:v>410101</c:v>
                </c:pt>
                <c:pt idx="47">
                  <c:v>410102</c:v>
                </c:pt>
                <c:pt idx="48">
                  <c:v>41010201</c:v>
                </c:pt>
                <c:pt idx="49">
                  <c:v>41010202</c:v>
                </c:pt>
                <c:pt idx="50">
                  <c:v>41010203</c:v>
                </c:pt>
                <c:pt idx="51">
                  <c:v>41010204</c:v>
                </c:pt>
                <c:pt idx="52">
                  <c:v>41041</c:v>
                </c:pt>
                <c:pt idx="53">
                  <c:v>561201</c:v>
                </c:pt>
                <c:pt idx="54">
                  <c:v>44021001</c:v>
                </c:pt>
                <c:pt idx="55">
                  <c:v>440210002</c:v>
                </c:pt>
                <c:pt idx="56">
                  <c:v>440210003</c:v>
                </c:pt>
                <c:pt idx="57">
                  <c:v>440210004</c:v>
                </c:pt>
                <c:pt idx="58">
                  <c:v>440220001</c:v>
                </c:pt>
                <c:pt idx="59">
                  <c:v>4021</c:v>
                </c:pt>
                <c:pt idx="60">
                  <c:v>402110001</c:v>
                </c:pt>
                <c:pt idx="61">
                  <c:v>63602</c:v>
                </c:pt>
                <c:pt idx="62">
                  <c:v>65820</c:v>
                </c:pt>
                <c:pt idx="63">
                  <c:v>6360106</c:v>
                </c:pt>
                <c:pt idx="64">
                  <c:v>6582101</c:v>
                </c:pt>
                <c:pt idx="65">
                  <c:v>4032</c:v>
                </c:pt>
                <c:pt idx="66">
                  <c:v>40321</c:v>
                </c:pt>
                <c:pt idx="67">
                  <c:v>4032201</c:v>
                </c:pt>
                <c:pt idx="69">
                  <c:v>6711</c:v>
                </c:pt>
                <c:pt idx="70">
                  <c:v>Z</c:v>
                </c:pt>
                <c:pt idx="71">
                  <c:v>67111002</c:v>
                </c:pt>
                <c:pt idx="72">
                  <c:v>67111003</c:v>
                </c:pt>
                <c:pt idx="73">
                  <c:v>67111004</c:v>
                </c:pt>
                <c:pt idx="74">
                  <c:v>6712</c:v>
                </c:pt>
                <c:pt idx="75">
                  <c:v>67111</c:v>
                </c:pt>
                <c:pt idx="76">
                  <c:v>67121</c:v>
                </c:pt>
                <c:pt idx="77">
                  <c:v>67121</c:v>
                </c:pt>
                <c:pt idx="78">
                  <c:v>67121</c:v>
                </c:pt>
                <c:pt idx="79">
                  <c:v>6712101</c:v>
                </c:pt>
                <c:pt idx="80">
                  <c:v>671210103</c:v>
                </c:pt>
                <c:pt idx="81">
                  <c:v>671210104</c:v>
                </c:pt>
                <c:pt idx="82">
                  <c:v>6712102</c:v>
                </c:pt>
                <c:pt idx="83">
                  <c:v>671210201</c:v>
                </c:pt>
                <c:pt idx="84">
                  <c:v>671210202</c:v>
                </c:pt>
                <c:pt idx="85">
                  <c:v>6712103</c:v>
                </c:pt>
                <c:pt idx="86">
                  <c:v>671210301</c:v>
                </c:pt>
                <c:pt idx="87">
                  <c:v>671210401</c:v>
                </c:pt>
                <c:pt idx="88">
                  <c:v>6712104</c:v>
                </c:pt>
                <c:pt idx="89">
                  <c:v>6712105</c:v>
                </c:pt>
                <c:pt idx="90">
                  <c:v>67122</c:v>
                </c:pt>
                <c:pt idx="91">
                  <c:v>671111</c:v>
                </c:pt>
                <c:pt idx="92">
                  <c:v>671200001</c:v>
                </c:pt>
                <c:pt idx="93">
                  <c:v>671210001</c:v>
                </c:pt>
                <c:pt idx="94">
                  <c:v>671210002</c:v>
                </c:pt>
                <c:pt idx="95">
                  <c:v>671210101</c:v>
                </c:pt>
                <c:pt idx="96">
                  <c:v>671210102</c:v>
                </c:pt>
                <c:pt idx="97">
                  <c:v>6921101</c:v>
                </c:pt>
                <c:pt idx="98">
                  <c:v>69211</c:v>
                </c:pt>
                <c:pt idx="99">
                  <c:v>692110101</c:v>
                </c:pt>
                <c:pt idx="100">
                  <c:v>692110103</c:v>
                </c:pt>
                <c:pt idx="101">
                  <c:v>3402105</c:v>
                </c:pt>
                <c:pt idx="102">
                  <c:v>3402103</c:v>
                </c:pt>
                <c:pt idx="103">
                  <c:v>3402101</c:v>
                </c:pt>
                <c:pt idx="104">
                  <c:v>402210001</c:v>
                </c:pt>
                <c:pt idx="105">
                  <c:v>402210003</c:v>
                </c:pt>
                <c:pt idx="106">
                  <c:v>4030301</c:v>
                </c:pt>
                <c:pt idx="107">
                  <c:v>4052</c:v>
                </c:pt>
                <c:pt idx="108">
                  <c:v>56051101</c:v>
                </c:pt>
                <c:pt idx="109">
                  <c:v>6531</c:v>
                </c:pt>
                <c:pt idx="110">
                  <c:v>653100001</c:v>
                </c:pt>
                <c:pt idx="111">
                  <c:v>65311</c:v>
                </c:pt>
                <c:pt idx="112">
                  <c:v>653110101</c:v>
                </c:pt>
                <c:pt idx="113">
                  <c:v>653110103</c:v>
                </c:pt>
                <c:pt idx="114">
                  <c:v>653110104</c:v>
                </c:pt>
                <c:pt idx="115">
                  <c:v>653110105</c:v>
                </c:pt>
                <c:pt idx="116">
                  <c:v>653110106</c:v>
                </c:pt>
                <c:pt idx="117">
                  <c:v>653110108</c:v>
                </c:pt>
                <c:pt idx="118">
                  <c:v>653110109</c:v>
                </c:pt>
                <c:pt idx="119">
                  <c:v>653110110</c:v>
                </c:pt>
                <c:pt idx="120">
                  <c:v>653110111</c:v>
                </c:pt>
                <c:pt idx="121">
                  <c:v>653110112</c:v>
                </c:pt>
                <c:pt idx="122">
                  <c:v>653110113</c:v>
                </c:pt>
                <c:pt idx="123">
                  <c:v>653110114</c:v>
                </c:pt>
                <c:pt idx="124">
                  <c:v>653110115</c:v>
                </c:pt>
                <c:pt idx="125">
                  <c:v>653110116</c:v>
                </c:pt>
                <c:pt idx="126">
                  <c:v>653110117</c:v>
                </c:pt>
                <c:pt idx="127">
                  <c:v>6531102</c:v>
                </c:pt>
                <c:pt idx="128">
                  <c:v>653110201</c:v>
                </c:pt>
                <c:pt idx="129">
                  <c:v>653110202</c:v>
                </c:pt>
                <c:pt idx="130">
                  <c:v>6531103</c:v>
                </c:pt>
                <c:pt idx="131">
                  <c:v>6531104</c:v>
                </c:pt>
                <c:pt idx="132">
                  <c:v>3402</c:v>
                </c:pt>
                <c:pt idx="133">
                  <c:v>3402102</c:v>
                </c:pt>
                <c:pt idx="134">
                  <c:v>3402104</c:v>
                </c:pt>
                <c:pt idx="135">
                  <c:v>3402106</c:v>
                </c:pt>
                <c:pt idx="136">
                  <c:v>340210602</c:v>
                </c:pt>
                <c:pt idx="137">
                  <c:v>4014</c:v>
                </c:pt>
                <c:pt idx="138">
                  <c:v>40112</c:v>
                </c:pt>
                <c:pt idx="139">
                  <c:v>401100001</c:v>
                </c:pt>
                <c:pt idx="140">
                  <c:v>401110001</c:v>
                </c:pt>
                <c:pt idx="141">
                  <c:v>430</c:v>
                </c:pt>
                <c:pt idx="142">
                  <c:v>4311</c:v>
                </c:pt>
                <c:pt idx="143">
                  <c:v>431110003</c:v>
                </c:pt>
                <c:pt idx="144">
                  <c:v>4311103</c:v>
                </c:pt>
                <c:pt idx="145">
                  <c:v>431120101</c:v>
                </c:pt>
                <c:pt idx="146">
                  <c:v>431120102</c:v>
                </c:pt>
                <c:pt idx="147">
                  <c:v>431120103</c:v>
                </c:pt>
                <c:pt idx="148">
                  <c:v>431120106</c:v>
                </c:pt>
                <c:pt idx="149">
                  <c:v>431120108</c:v>
                </c:pt>
                <c:pt idx="150">
                  <c:v>431120001</c:v>
                </c:pt>
                <c:pt idx="151">
                  <c:v>4401</c:v>
                </c:pt>
                <c:pt idx="152">
                  <c:v>44041</c:v>
                </c:pt>
                <c:pt idx="153">
                  <c:v>d</c:v>
                </c:pt>
                <c:pt idx="154">
                  <c:v>e</c:v>
                </c:pt>
                <c:pt idx="155">
                  <c:v>f</c:v>
                </c:pt>
                <c:pt idx="156">
                  <c:v>g</c:v>
                </c:pt>
                <c:pt idx="157">
                  <c:v>h</c:v>
                </c:pt>
                <c:pt idx="158">
                  <c:v>i</c:v>
                </c:pt>
                <c:pt idx="159">
                  <c:v>j</c:v>
                </c:pt>
                <c:pt idx="160">
                  <c:v>k</c:v>
                </c:pt>
                <c:pt idx="161">
                  <c:v>l</c:v>
                </c:pt>
                <c:pt idx="162">
                  <c:v>m</c:v>
                </c:pt>
                <c:pt idx="163">
                  <c:v>n</c:v>
                </c:pt>
                <c:pt idx="164">
                  <c:v>o</c:v>
                </c:pt>
                <c:pt idx="165">
                  <c:v>p</c:v>
                </c:pt>
                <c:pt idx="166">
                  <c:v>q</c:v>
                </c:pt>
                <c:pt idx="167">
                  <c:v>632102</c:v>
                </c:pt>
                <c:pt idx="168">
                  <c:v>a</c:v>
                </c:pt>
                <c:pt idx="169">
                  <c:v>b</c:v>
                </c:pt>
                <c:pt idx="170">
                  <c:v>c</c:v>
                </c:pt>
                <c:pt idx="171">
                  <c:v>631100002</c:v>
                </c:pt>
                <c:pt idx="172">
                  <c:v>631100004</c:v>
                </c:pt>
                <c:pt idx="173">
                  <c:v>6322101</c:v>
                </c:pt>
                <c:pt idx="174">
                  <c:v>6322104</c:v>
                </c:pt>
                <c:pt idx="175">
                  <c:v>405110101</c:v>
                </c:pt>
                <c:pt idx="176">
                  <c:v>503100002</c:v>
                </c:pt>
                <c:pt idx="177">
                  <c:v>5033</c:v>
                </c:pt>
                <c:pt idx="178">
                  <c:v>4457010102</c:v>
                </c:pt>
                <c:pt idx="179">
                  <c:v>4457010103</c:v>
                </c:pt>
                <c:pt idx="180">
                  <c:v>4457010104</c:v>
                </c:pt>
                <c:pt idx="181">
                  <c:v>4457010105</c:v>
                </c:pt>
                <c:pt idx="182">
                  <c:v>4457010106</c:v>
                </c:pt>
                <c:pt idx="183">
                  <c:v>4457010108</c:v>
                </c:pt>
                <c:pt idx="184">
                  <c:v>y</c:v>
                </c:pt>
                <c:pt idx="185">
                  <c:v>4457010201</c:v>
                </c:pt>
                <c:pt idx="186">
                  <c:v>4457010204</c:v>
                </c:pt>
                <c:pt idx="187">
                  <c:v>6521</c:v>
                </c:pt>
                <c:pt idx="188">
                  <c:v>652200002</c:v>
                </c:pt>
                <c:pt idx="189">
                  <c:v>6525</c:v>
                </c:pt>
                <c:pt idx="190">
                  <c:v>652501</c:v>
                </c:pt>
                <c:pt idx="191">
                  <c:v>651100001</c:v>
                </c:pt>
                <c:pt idx="192">
                  <c:v>651100002</c:v>
                </c:pt>
                <c:pt idx="193">
                  <c:v>651100003</c:v>
                </c:pt>
                <c:pt idx="194">
                  <c:v>651100004</c:v>
                </c:pt>
                <c:pt idx="195">
                  <c:v>651200001</c:v>
                </c:pt>
                <c:pt idx="196">
                  <c:v>651300001</c:v>
                </c:pt>
                <c:pt idx="197">
                  <c:v>65130101</c:v>
                </c:pt>
                <c:pt idx="198">
                  <c:v>65130201</c:v>
                </c:pt>
                <c:pt idx="199">
                  <c:v>503200001</c:v>
                </c:pt>
                <c:pt idx="200">
                  <c:v>5033</c:v>
                </c:pt>
                <c:pt idx="201">
                  <c:v>5041</c:v>
                </c:pt>
                <c:pt idx="202">
                  <c:v>504200001</c:v>
                </c:pt>
                <c:pt idx="203">
                  <c:v>504300001</c:v>
                </c:pt>
                <c:pt idx="204">
                  <c:v>505100001</c:v>
                </c:pt>
                <c:pt idx="205">
                  <c:v>4457</c:v>
                </c:pt>
                <c:pt idx="206">
                  <c:v>5062</c:v>
                </c:pt>
                <c:pt idx="207">
                  <c:v>50611</c:v>
                </c:pt>
                <c:pt idx="208">
                  <c:v>674</c:v>
                </c:pt>
                <c:pt idx="209">
                  <c:v>6731</c:v>
                </c:pt>
                <c:pt idx="210">
                  <c:v>6732</c:v>
                </c:pt>
                <c:pt idx="211">
                  <c:v>66203</c:v>
                </c:pt>
                <c:pt idx="212">
                  <c:v>662100001</c:v>
                </c:pt>
                <c:pt idx="213">
                  <c:v>66401001</c:v>
                </c:pt>
                <c:pt idx="214">
                  <c:v>66401002</c:v>
                </c:pt>
                <c:pt idx="215">
                  <c:v>673010101</c:v>
                </c:pt>
                <c:pt idx="216">
                  <c:v>67311</c:v>
                </c:pt>
                <c:pt idx="217">
                  <c:v>6730101</c:v>
                </c:pt>
                <c:pt idx="218">
                  <c:v>6731101</c:v>
                </c:pt>
                <c:pt idx="219">
                  <c:v>67210001</c:v>
                </c:pt>
                <c:pt idx="220">
                  <c:v>67210002</c:v>
                </c:pt>
                <c:pt idx="221">
                  <c:v>658110001</c:v>
                </c:pt>
                <c:pt idx="222">
                  <c:v>658110002</c:v>
                </c:pt>
                <c:pt idx="223">
                  <c:v>671500001</c:v>
                </c:pt>
                <c:pt idx="224">
                  <c:v>673110001</c:v>
                </c:pt>
                <c:pt idx="225">
                  <c:v>673110002</c:v>
                </c:pt>
                <c:pt idx="226">
                  <c:v>673110003</c:v>
                </c:pt>
                <c:pt idx="227">
                  <c:v>673110004</c:v>
                </c:pt>
                <c:pt idx="228">
                  <c:v>673110005</c:v>
                </c:pt>
                <c:pt idx="229">
                  <c:v>673110103</c:v>
                </c:pt>
                <c:pt idx="230">
                  <c:v>673200001</c:v>
                </c:pt>
                <c:pt idx="231">
                  <c:v>673200002</c:v>
                </c:pt>
                <c:pt idx="232">
                  <c:v>673500001</c:v>
                </c:pt>
                <c:pt idx="233">
                  <c:v>673600001</c:v>
                </c:pt>
                <c:pt idx="234">
                  <c:v>673700001</c:v>
                </c:pt>
                <c:pt idx="235">
                  <c:v>674100001</c:v>
                </c:pt>
                <c:pt idx="236">
                  <c:v>56010101</c:v>
                </c:pt>
                <c:pt idx="237">
                  <c:v>56010102</c:v>
                </c:pt>
                <c:pt idx="238">
                  <c:v>56010103</c:v>
                </c:pt>
                <c:pt idx="239">
                  <c:v>340300001</c:v>
                </c:pt>
                <c:pt idx="240">
                  <c:v>6100</c:v>
                </c:pt>
                <c:pt idx="241">
                  <c:v>445403</c:v>
                </c:pt>
                <c:pt idx="242">
                  <c:v>615201</c:v>
                </c:pt>
                <c:pt idx="243">
                  <c:v>616101</c:v>
                </c:pt>
                <c:pt idx="244">
                  <c:v>61520101</c:v>
                </c:pt>
                <c:pt idx="245">
                  <c:v>61610101</c:v>
                </c:pt>
                <c:pt idx="246">
                  <c:v>63401</c:v>
                </c:pt>
                <c:pt idx="247">
                  <c:v>6340101</c:v>
                </c:pt>
                <c:pt idx="248">
                  <c:v>634010101</c:v>
                </c:pt>
                <c:pt idx="249">
                  <c:v>6340102</c:v>
                </c:pt>
                <c:pt idx="250">
                  <c:v>65306</c:v>
                </c:pt>
                <c:pt idx="251">
                  <c:v>653050001</c:v>
                </c:pt>
                <c:pt idx="252">
                  <c:v>653050002</c:v>
                </c:pt>
                <c:pt idx="253">
                  <c:v>653060001</c:v>
                </c:pt>
                <c:pt idx="254">
                  <c:v>6523</c:v>
                </c:pt>
                <c:pt idx="255">
                  <c:v>4023</c:v>
                </c:pt>
                <c:pt idx="256">
                  <c:v>40231</c:v>
                </c:pt>
                <c:pt idx="257">
                  <c:v>402330206</c:v>
                </c:pt>
                <c:pt idx="258">
                  <c:v>40231</c:v>
                </c:pt>
                <c:pt idx="259">
                  <c:v>617801</c:v>
                </c:pt>
                <c:pt idx="260">
                  <c:v>620</c:v>
                </c:pt>
                <c:pt idx="261">
                  <c:v>6203</c:v>
                </c:pt>
                <c:pt idx="262">
                  <c:v>6203004</c:v>
                </c:pt>
                <c:pt idx="263">
                  <c:v>330</c:v>
                </c:pt>
                <c:pt idx="264">
                  <c:v>330100002</c:v>
                </c:pt>
                <c:pt idx="265">
                  <c:v>330100003</c:v>
                </c:pt>
                <c:pt idx="266">
                  <c:v>33010009</c:v>
                </c:pt>
                <c:pt idx="267">
                  <c:v>330200002</c:v>
                </c:pt>
                <c:pt idx="268">
                  <c:v>330300001</c:v>
                </c:pt>
                <c:pt idx="269">
                  <c:v>330300001</c:v>
                </c:pt>
                <c:pt idx="270">
                  <c:v>330400008</c:v>
                </c:pt>
                <c:pt idx="271">
                  <c:v>330500001</c:v>
                </c:pt>
                <c:pt idx="272">
                  <c:v>33050002</c:v>
                </c:pt>
                <c:pt idx="273">
                  <c:v>330500001</c:v>
                </c:pt>
                <c:pt idx="274">
                  <c:v>330500004</c:v>
                </c:pt>
                <c:pt idx="275">
                  <c:v>330500003</c:v>
                </c:pt>
                <c:pt idx="276">
                  <c:v>330500007</c:v>
                </c:pt>
                <c:pt idx="277">
                  <c:v>330500008</c:v>
                </c:pt>
                <c:pt idx="278">
                  <c:v>330500012</c:v>
                </c:pt>
                <c:pt idx="279">
                  <c:v>330600002</c:v>
                </c:pt>
                <c:pt idx="280">
                  <c:v>330600003</c:v>
                </c:pt>
                <c:pt idx="281">
                  <c:v>340300002</c:v>
                </c:pt>
                <c:pt idx="282">
                  <c:v>3402106</c:v>
                </c:pt>
                <c:pt idx="283">
                  <c:v>330800104</c:v>
                </c:pt>
                <c:pt idx="284">
                  <c:v>33081004</c:v>
                </c:pt>
                <c:pt idx="285">
                  <c:v>33083010</c:v>
                </c:pt>
                <c:pt idx="286">
                  <c:v>330820005</c:v>
                </c:pt>
                <c:pt idx="287">
                  <c:v>330900001</c:v>
                </c:pt>
                <c:pt idx="288">
                  <c:v>330901001</c:v>
                </c:pt>
                <c:pt idx="289">
                  <c:v>330901002</c:v>
                </c:pt>
                <c:pt idx="290">
                  <c:v>330901003</c:v>
                </c:pt>
                <c:pt idx="291">
                  <c:v>3301</c:v>
                </c:pt>
                <c:pt idx="292">
                  <c:v>330100001</c:v>
                </c:pt>
                <c:pt idx="293">
                  <c:v>330100004</c:v>
                </c:pt>
                <c:pt idx="294">
                  <c:v>3302</c:v>
                </c:pt>
                <c:pt idx="295">
                  <c:v>3303</c:v>
                </c:pt>
                <c:pt idx="296">
                  <c:v>330300002</c:v>
                </c:pt>
                <c:pt idx="297">
                  <c:v>330300004</c:v>
                </c:pt>
                <c:pt idx="298">
                  <c:v>330400005</c:v>
                </c:pt>
                <c:pt idx="299">
                  <c:v>3304</c:v>
                </c:pt>
                <c:pt idx="300">
                  <c:v>330401</c:v>
                </c:pt>
                <c:pt idx="301">
                  <c:v>3305</c:v>
                </c:pt>
                <c:pt idx="302">
                  <c:v>330500006</c:v>
                </c:pt>
                <c:pt idx="303">
                  <c:v>330500010</c:v>
                </c:pt>
                <c:pt idx="304">
                  <c:v>330500011</c:v>
                </c:pt>
                <c:pt idx="305">
                  <c:v>330500013</c:v>
                </c:pt>
                <c:pt idx="306">
                  <c:v>3307</c:v>
                </c:pt>
                <c:pt idx="307">
                  <c:v>330500005</c:v>
                </c:pt>
                <c:pt idx="308">
                  <c:v>33050001</c:v>
                </c:pt>
                <c:pt idx="309">
                  <c:v>4470</c:v>
                </c:pt>
                <c:pt idx="310">
                  <c:v>330100004</c:v>
                </c:pt>
                <c:pt idx="311">
                  <c:v>40222012</c:v>
                </c:pt>
              </c:strCache>
            </c:strRef>
          </c:cat>
          <c:val>
            <c:numRef>
              <c:f>'Risk score summary (Problem)'!$S$3:$S$17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78-4088-916A-BDF696F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axId val="203554568"/>
        <c:axId val="203552608"/>
      </c:barChart>
      <c:barChart>
        <c:barDir val="col"/>
        <c:grouping val="stacked"/>
        <c:varyColors val="0"/>
        <c:ser>
          <c:idx val="0"/>
          <c:order val="0"/>
          <c:tx>
            <c:strRef>
              <c:f>'Risk score summary (Problem)'!$G$2</c:f>
              <c:strCache>
                <c:ptCount val="1"/>
                <c:pt idx="0">
                  <c:v>Risk Score</c:v>
                </c:pt>
              </c:strCache>
            </c:strRef>
          </c:tx>
          <c:spPr>
            <a:solidFill>
              <a:srgbClr val="FF0000">
                <a:alpha val="15000"/>
              </a:srgbClr>
            </a:solidFill>
          </c:spPr>
          <c:invertIfNegative val="0"/>
          <c:cat>
            <c:numRef>
              <c:f>'Risk score summary (Problem)'!$C$3:$C$17</c:f>
              <c:numCache>
                <c:formatCode>General</c:formatCode>
                <c:ptCount val="15"/>
                <c:pt idx="0">
                  <c:v>6531</c:v>
                </c:pt>
                <c:pt idx="1">
                  <c:v>653110101</c:v>
                </c:pt>
                <c:pt idx="2">
                  <c:v>653110105</c:v>
                </c:pt>
                <c:pt idx="3">
                  <c:v>653110106</c:v>
                </c:pt>
                <c:pt idx="4">
                  <c:v>653110108</c:v>
                </c:pt>
                <c:pt idx="5">
                  <c:v>653110110</c:v>
                </c:pt>
                <c:pt idx="6">
                  <c:v>653110111</c:v>
                </c:pt>
                <c:pt idx="7">
                  <c:v>653110112</c:v>
                </c:pt>
                <c:pt idx="8">
                  <c:v>653110113</c:v>
                </c:pt>
                <c:pt idx="9">
                  <c:v>653110115</c:v>
                </c:pt>
                <c:pt idx="10">
                  <c:v>653110116</c:v>
                </c:pt>
                <c:pt idx="11">
                  <c:v>653110201</c:v>
                </c:pt>
                <c:pt idx="12">
                  <c:v>653110202</c:v>
                </c:pt>
                <c:pt idx="13">
                  <c:v>6531103</c:v>
                </c:pt>
                <c:pt idx="14">
                  <c:v>6523</c:v>
                </c:pt>
              </c:numCache>
            </c:numRef>
          </c:cat>
          <c:val>
            <c:numRef>
              <c:f>'Risk score summary (Problem)'!$G$3:$G$17</c:f>
              <c:numCache>
                <c:formatCode>General</c:formatCode>
                <c:ptCount val="15"/>
                <c:pt idx="0">
                  <c:v>1642.0214806290755</c:v>
                </c:pt>
                <c:pt idx="1">
                  <c:v>1819.4524357499042</c:v>
                </c:pt>
                <c:pt idx="2">
                  <c:v>1819.4524357499042</c:v>
                </c:pt>
                <c:pt idx="3">
                  <c:v>1819.4524357499042</c:v>
                </c:pt>
                <c:pt idx="4">
                  <c:v>1819.4524357499042</c:v>
                </c:pt>
                <c:pt idx="5">
                  <c:v>1819.4524357499042</c:v>
                </c:pt>
                <c:pt idx="6">
                  <c:v>1819.4524357499042</c:v>
                </c:pt>
                <c:pt idx="7">
                  <c:v>1819.4524357499042</c:v>
                </c:pt>
                <c:pt idx="8">
                  <c:v>1819.4524357499042</c:v>
                </c:pt>
                <c:pt idx="9">
                  <c:v>1819.4524357499042</c:v>
                </c:pt>
                <c:pt idx="10">
                  <c:v>1819.4524357499042</c:v>
                </c:pt>
                <c:pt idx="11">
                  <c:v>1819.4524357499042</c:v>
                </c:pt>
                <c:pt idx="12">
                  <c:v>1819.4524357499042</c:v>
                </c:pt>
                <c:pt idx="13">
                  <c:v>1819.4524357499042</c:v>
                </c:pt>
                <c:pt idx="14">
                  <c:v>1841.208753787879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78-4088-916A-BDF696F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203552216"/>
        <c:axId val="203553392"/>
      </c:barChart>
      <c:lineChart>
        <c:grouping val="stacked"/>
        <c:varyColors val="0"/>
        <c:ser>
          <c:idx val="1"/>
          <c:order val="6"/>
          <c:tx>
            <c:strRef>
              <c:f>'Risk score summary (Problem)'!$F$2</c:f>
              <c:strCache>
                <c:ptCount val="1"/>
                <c:pt idx="0">
                  <c:v>acceptable criteria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'[1]Risk score summary'!$B$3:$B$302</c:f>
              <c:strCache>
                <c:ptCount val="300"/>
                <c:pt idx="0">
                  <c:v>4021</c:v>
                </c:pt>
                <c:pt idx="1">
                  <c:v>4023</c:v>
                </c:pt>
                <c:pt idx="2">
                  <c:v>4032</c:v>
                </c:pt>
                <c:pt idx="3">
                  <c:v>4311</c:v>
                </c:pt>
                <c:pt idx="4">
                  <c:v>431110003</c:v>
                </c:pt>
                <c:pt idx="5">
                  <c:v>4311103</c:v>
                </c:pt>
                <c:pt idx="6">
                  <c:v>431120101</c:v>
                </c:pt>
                <c:pt idx="7">
                  <c:v>431120102</c:v>
                </c:pt>
                <c:pt idx="8">
                  <c:v>431120103</c:v>
                </c:pt>
                <c:pt idx="9">
                  <c:v>431120106</c:v>
                </c:pt>
                <c:pt idx="10">
                  <c:v>431120108</c:v>
                </c:pt>
                <c:pt idx="11">
                  <c:v>431120001</c:v>
                </c:pt>
                <c:pt idx="12">
                  <c:v>4401</c:v>
                </c:pt>
                <c:pt idx="13">
                  <c:v>5033</c:v>
                </c:pt>
                <c:pt idx="14">
                  <c:v>40231</c:v>
                </c:pt>
                <c:pt idx="15">
                  <c:v>44041</c:v>
                </c:pt>
                <c:pt idx="16">
                  <c:v>402330206</c:v>
                </c:pt>
                <c:pt idx="17">
                  <c:v>632102</c:v>
                </c:pt>
                <c:pt idx="18">
                  <c:v>a</c:v>
                </c:pt>
                <c:pt idx="19">
                  <c:v>b</c:v>
                </c:pt>
                <c:pt idx="20">
                  <c:v>c</c:v>
                </c:pt>
                <c:pt idx="21">
                  <c:v>d</c:v>
                </c:pt>
                <c:pt idx="22">
                  <c:v>e</c:v>
                </c:pt>
                <c:pt idx="23">
                  <c:v>f</c:v>
                </c:pt>
                <c:pt idx="24">
                  <c:v>g</c:v>
                </c:pt>
                <c:pt idx="25">
                  <c:v>h</c:v>
                </c:pt>
                <c:pt idx="26">
                  <c:v>40231</c:v>
                </c:pt>
                <c:pt idx="27">
                  <c:v>i</c:v>
                </c:pt>
                <c:pt idx="28">
                  <c:v>j</c:v>
                </c:pt>
                <c:pt idx="29">
                  <c:v>k</c:v>
                </c:pt>
                <c:pt idx="30">
                  <c:v>l</c:v>
                </c:pt>
                <c:pt idx="31">
                  <c:v>m</c:v>
                </c:pt>
                <c:pt idx="32">
                  <c:v>n</c:v>
                </c:pt>
                <c:pt idx="33">
                  <c:v>o</c:v>
                </c:pt>
                <c:pt idx="34">
                  <c:v>p</c:v>
                </c:pt>
                <c:pt idx="35">
                  <c:v>q</c:v>
                </c:pt>
                <c:pt idx="36">
                  <c:v>631100002</c:v>
                </c:pt>
                <c:pt idx="37">
                  <c:v>631100004</c:v>
                </c:pt>
                <c:pt idx="38">
                  <c:v>6322101</c:v>
                </c:pt>
                <c:pt idx="39">
                  <c:v>6322104</c:v>
                </c:pt>
                <c:pt idx="40">
                  <c:v>40222012</c:v>
                </c:pt>
                <c:pt idx="41">
                  <c:v>402110001</c:v>
                </c:pt>
                <c:pt idx="42">
                  <c:v>402210001</c:v>
                </c:pt>
                <c:pt idx="43">
                  <c:v>402210003</c:v>
                </c:pt>
                <c:pt idx="44">
                  <c:v>4030301</c:v>
                </c:pt>
                <c:pt idx="45">
                  <c:v>405110101</c:v>
                </c:pt>
                <c:pt idx="46">
                  <c:v>4052</c:v>
                </c:pt>
                <c:pt idx="47">
                  <c:v>44021001</c:v>
                </c:pt>
                <c:pt idx="48">
                  <c:v>440210002</c:v>
                </c:pt>
                <c:pt idx="49">
                  <c:v>440210003</c:v>
                </c:pt>
                <c:pt idx="50">
                  <c:v>440210004</c:v>
                </c:pt>
                <c:pt idx="51">
                  <c:v>440220001</c:v>
                </c:pt>
                <c:pt idx="52">
                  <c:v>503100001</c:v>
                </c:pt>
                <c:pt idx="53">
                  <c:v>503100002</c:v>
                </c:pt>
                <c:pt idx="54">
                  <c:v>503200001</c:v>
                </c:pt>
                <c:pt idx="55">
                  <c:v>5033</c:v>
                </c:pt>
                <c:pt idx="56">
                  <c:v>5041</c:v>
                </c:pt>
                <c:pt idx="57">
                  <c:v>504200001</c:v>
                </c:pt>
                <c:pt idx="58">
                  <c:v>504300001</c:v>
                </c:pt>
                <c:pt idx="59">
                  <c:v>505100001</c:v>
                </c:pt>
                <c:pt idx="60">
                  <c:v>56051101</c:v>
                </c:pt>
                <c:pt idx="61">
                  <c:v>674</c:v>
                </c:pt>
                <c:pt idx="62">
                  <c:v>6611</c:v>
                </c:pt>
                <c:pt idx="63">
                  <c:v>661301</c:v>
                </c:pt>
                <c:pt idx="64">
                  <c:v>6614</c:v>
                </c:pt>
                <c:pt idx="65">
                  <c:v>6731</c:v>
                </c:pt>
                <c:pt idx="66">
                  <c:v>6732</c:v>
                </c:pt>
                <c:pt idx="67">
                  <c:v>6734</c:v>
                </c:pt>
                <c:pt idx="68">
                  <c:v>63601</c:v>
                </c:pt>
                <c:pt idx="69">
                  <c:v>63602</c:v>
                </c:pt>
                <c:pt idx="70">
                  <c:v>65820</c:v>
                </c:pt>
                <c:pt idx="71">
                  <c:v>66111</c:v>
                </c:pt>
                <c:pt idx="72">
                  <c:v>6611102</c:v>
                </c:pt>
                <c:pt idx="73">
                  <c:v>661110201</c:v>
                </c:pt>
                <c:pt idx="74">
                  <c:v>661110202</c:v>
                </c:pt>
                <c:pt idx="75">
                  <c:v>661110203</c:v>
                </c:pt>
                <c:pt idx="76">
                  <c:v>66112</c:v>
                </c:pt>
                <c:pt idx="77">
                  <c:v>66203</c:v>
                </c:pt>
                <c:pt idx="78">
                  <c:v>662100001</c:v>
                </c:pt>
                <c:pt idx="79">
                  <c:v>66401001</c:v>
                </c:pt>
                <c:pt idx="80">
                  <c:v>66401002</c:v>
                </c:pt>
                <c:pt idx="81">
                  <c:v>6711</c:v>
                </c:pt>
                <c:pt idx="82">
                  <c:v>Z</c:v>
                </c:pt>
                <c:pt idx="83">
                  <c:v>67111002</c:v>
                </c:pt>
                <c:pt idx="84">
                  <c:v>67111003</c:v>
                </c:pt>
                <c:pt idx="85">
                  <c:v>67111004</c:v>
                </c:pt>
                <c:pt idx="86">
                  <c:v>6712</c:v>
                </c:pt>
                <c:pt idx="87">
                  <c:v>67111</c:v>
                </c:pt>
                <c:pt idx="88">
                  <c:v>67121</c:v>
                </c:pt>
                <c:pt idx="89">
                  <c:v>67121</c:v>
                </c:pt>
                <c:pt idx="90">
                  <c:v>67121</c:v>
                </c:pt>
                <c:pt idx="91">
                  <c:v>6712101</c:v>
                </c:pt>
                <c:pt idx="92">
                  <c:v>671210103</c:v>
                </c:pt>
                <c:pt idx="93">
                  <c:v>671210104</c:v>
                </c:pt>
                <c:pt idx="94">
                  <c:v>6712102</c:v>
                </c:pt>
                <c:pt idx="95">
                  <c:v>671210201</c:v>
                </c:pt>
                <c:pt idx="96">
                  <c:v>671210202</c:v>
                </c:pt>
                <c:pt idx="97">
                  <c:v>6712103</c:v>
                </c:pt>
                <c:pt idx="98">
                  <c:v>671210301</c:v>
                </c:pt>
                <c:pt idx="99">
                  <c:v>671210401</c:v>
                </c:pt>
                <c:pt idx="100">
                  <c:v>6712104</c:v>
                </c:pt>
                <c:pt idx="101">
                  <c:v>6712105</c:v>
                </c:pt>
                <c:pt idx="102">
                  <c:v>67122</c:v>
                </c:pt>
                <c:pt idx="103">
                  <c:v>673010101</c:v>
                </c:pt>
                <c:pt idx="104">
                  <c:v>67303</c:v>
                </c:pt>
                <c:pt idx="105">
                  <c:v>67311</c:v>
                </c:pt>
                <c:pt idx="106">
                  <c:v>69211</c:v>
                </c:pt>
                <c:pt idx="107">
                  <c:v>671111</c:v>
                </c:pt>
                <c:pt idx="108">
                  <c:v>6360106</c:v>
                </c:pt>
                <c:pt idx="109">
                  <c:v>6582101</c:v>
                </c:pt>
                <c:pt idx="110">
                  <c:v>661110002</c:v>
                </c:pt>
                <c:pt idx="111">
                  <c:v>661110004</c:v>
                </c:pt>
                <c:pt idx="112">
                  <c:v>661110004</c:v>
                </c:pt>
                <c:pt idx="113">
                  <c:v>661120001</c:v>
                </c:pt>
                <c:pt idx="114">
                  <c:v>661120002</c:v>
                </c:pt>
                <c:pt idx="115">
                  <c:v>661120003</c:v>
                </c:pt>
                <c:pt idx="116">
                  <c:v>661120004</c:v>
                </c:pt>
                <c:pt idx="117">
                  <c:v>661120005</c:v>
                </c:pt>
                <c:pt idx="118">
                  <c:v>661120006</c:v>
                </c:pt>
                <c:pt idx="119">
                  <c:v>6611201</c:v>
                </c:pt>
                <c:pt idx="120">
                  <c:v>661120101</c:v>
                </c:pt>
                <c:pt idx="121">
                  <c:v>661120102</c:v>
                </c:pt>
                <c:pt idx="122">
                  <c:v>661120103</c:v>
                </c:pt>
                <c:pt idx="123">
                  <c:v>661120104</c:v>
                </c:pt>
                <c:pt idx="124">
                  <c:v>661120105</c:v>
                </c:pt>
                <c:pt idx="125">
                  <c:v>661120106</c:v>
                </c:pt>
                <c:pt idx="126">
                  <c:v>661120107</c:v>
                </c:pt>
                <c:pt idx="127">
                  <c:v>661120108</c:v>
                </c:pt>
                <c:pt idx="128">
                  <c:v>661120109</c:v>
                </c:pt>
                <c:pt idx="129">
                  <c:v>6611202</c:v>
                </c:pt>
                <c:pt idx="130">
                  <c:v>661120201</c:v>
                </c:pt>
                <c:pt idx="131">
                  <c:v>661120110</c:v>
                </c:pt>
                <c:pt idx="132">
                  <c:v>661120202</c:v>
                </c:pt>
                <c:pt idx="133">
                  <c:v>661120401</c:v>
                </c:pt>
                <c:pt idx="134">
                  <c:v>6611205</c:v>
                </c:pt>
                <c:pt idx="135">
                  <c:v>661120501</c:v>
                </c:pt>
                <c:pt idx="136">
                  <c:v>661120502</c:v>
                </c:pt>
                <c:pt idx="137">
                  <c:v>6611206</c:v>
                </c:pt>
                <c:pt idx="138">
                  <c:v>661200001</c:v>
                </c:pt>
                <c:pt idx="139">
                  <c:v>661200001</c:v>
                </c:pt>
                <c:pt idx="140">
                  <c:v>6613</c:v>
                </c:pt>
                <c:pt idx="141">
                  <c:v>6730101</c:v>
                </c:pt>
                <c:pt idx="142">
                  <c:v>6731101</c:v>
                </c:pt>
                <c:pt idx="143">
                  <c:v>6921101</c:v>
                </c:pt>
                <c:pt idx="144">
                  <c:v>67210001</c:v>
                </c:pt>
                <c:pt idx="145">
                  <c:v>67210002</c:v>
                </c:pt>
                <c:pt idx="146">
                  <c:v>658110001</c:v>
                </c:pt>
                <c:pt idx="147">
                  <c:v>658110002</c:v>
                </c:pt>
                <c:pt idx="148">
                  <c:v>661110201</c:v>
                </c:pt>
                <c:pt idx="149">
                  <c:v>671200001</c:v>
                </c:pt>
                <c:pt idx="150">
                  <c:v>671210001</c:v>
                </c:pt>
                <c:pt idx="151">
                  <c:v>671210002</c:v>
                </c:pt>
                <c:pt idx="152">
                  <c:v>671210101</c:v>
                </c:pt>
                <c:pt idx="153">
                  <c:v>671210102</c:v>
                </c:pt>
                <c:pt idx="154">
                  <c:v>671500001</c:v>
                </c:pt>
                <c:pt idx="155">
                  <c:v>673110001</c:v>
                </c:pt>
                <c:pt idx="156">
                  <c:v>673110002</c:v>
                </c:pt>
                <c:pt idx="157">
                  <c:v>673110003</c:v>
                </c:pt>
                <c:pt idx="158">
                  <c:v>673110004</c:v>
                </c:pt>
                <c:pt idx="159">
                  <c:v>673110005</c:v>
                </c:pt>
                <c:pt idx="160">
                  <c:v>673110103</c:v>
                </c:pt>
                <c:pt idx="161">
                  <c:v>673200001</c:v>
                </c:pt>
                <c:pt idx="162">
                  <c:v>673200002</c:v>
                </c:pt>
                <c:pt idx="163">
                  <c:v>673500001</c:v>
                </c:pt>
                <c:pt idx="164">
                  <c:v>673600001</c:v>
                </c:pt>
                <c:pt idx="165">
                  <c:v>673700001</c:v>
                </c:pt>
                <c:pt idx="166">
                  <c:v>674100001</c:v>
                </c:pt>
                <c:pt idx="167">
                  <c:v>692110101</c:v>
                </c:pt>
                <c:pt idx="168">
                  <c:v>692110103</c:v>
                </c:pt>
                <c:pt idx="169">
                  <c:v>330</c:v>
                </c:pt>
                <c:pt idx="170">
                  <c:v>330100002</c:v>
                </c:pt>
                <c:pt idx="171">
                  <c:v>330100003</c:v>
                </c:pt>
                <c:pt idx="172">
                  <c:v>33010009</c:v>
                </c:pt>
                <c:pt idx="173">
                  <c:v>330200002</c:v>
                </c:pt>
                <c:pt idx="174">
                  <c:v>330300001</c:v>
                </c:pt>
                <c:pt idx="175">
                  <c:v>330300001</c:v>
                </c:pt>
                <c:pt idx="176">
                  <c:v>330400008</c:v>
                </c:pt>
                <c:pt idx="177">
                  <c:v>330500001</c:v>
                </c:pt>
                <c:pt idx="178">
                  <c:v>33050002</c:v>
                </c:pt>
                <c:pt idx="179">
                  <c:v>330500001</c:v>
                </c:pt>
                <c:pt idx="180">
                  <c:v>330500004</c:v>
                </c:pt>
                <c:pt idx="181">
                  <c:v>330500003</c:v>
                </c:pt>
                <c:pt idx="182">
                  <c:v>330500007</c:v>
                </c:pt>
                <c:pt idx="183">
                  <c:v>330500008</c:v>
                </c:pt>
                <c:pt idx="184">
                  <c:v>330500012</c:v>
                </c:pt>
                <c:pt idx="185">
                  <c:v>330600002</c:v>
                </c:pt>
                <c:pt idx="186">
                  <c:v>330600003</c:v>
                </c:pt>
                <c:pt idx="187">
                  <c:v>430</c:v>
                </c:pt>
                <c:pt idx="188">
                  <c:v>3402</c:v>
                </c:pt>
                <c:pt idx="189">
                  <c:v>340300002</c:v>
                </c:pt>
                <c:pt idx="190">
                  <c:v>4014</c:v>
                </c:pt>
                <c:pt idx="191">
                  <c:v>40112</c:v>
                </c:pt>
                <c:pt idx="192">
                  <c:v>40321</c:v>
                </c:pt>
                <c:pt idx="193">
                  <c:v>560201</c:v>
                </c:pt>
                <c:pt idx="194">
                  <c:v>561201</c:v>
                </c:pt>
                <c:pt idx="195">
                  <c:v>6402106</c:v>
                </c:pt>
                <c:pt idx="196">
                  <c:v>3402101</c:v>
                </c:pt>
                <c:pt idx="197">
                  <c:v>3402102</c:v>
                </c:pt>
                <c:pt idx="198">
                  <c:v>3402103</c:v>
                </c:pt>
                <c:pt idx="199">
                  <c:v>3402104</c:v>
                </c:pt>
                <c:pt idx="200">
                  <c:v>3402105</c:v>
                </c:pt>
                <c:pt idx="201">
                  <c:v>3402106</c:v>
                </c:pt>
                <c:pt idx="202">
                  <c:v>4032201</c:v>
                </c:pt>
                <c:pt idx="203">
                  <c:v>330800104</c:v>
                </c:pt>
                <c:pt idx="204">
                  <c:v>33081004</c:v>
                </c:pt>
                <c:pt idx="205">
                  <c:v>33083010</c:v>
                </c:pt>
                <c:pt idx="206">
                  <c:v>56010101</c:v>
                </c:pt>
                <c:pt idx="207">
                  <c:v>56010102</c:v>
                </c:pt>
                <c:pt idx="208">
                  <c:v>56010103</c:v>
                </c:pt>
                <c:pt idx="209">
                  <c:v>330820005</c:v>
                </c:pt>
                <c:pt idx="210">
                  <c:v>330900001</c:v>
                </c:pt>
                <c:pt idx="211">
                  <c:v>330901001</c:v>
                </c:pt>
                <c:pt idx="212">
                  <c:v>330901002</c:v>
                </c:pt>
                <c:pt idx="213">
                  <c:v>330901003</c:v>
                </c:pt>
                <c:pt idx="214">
                  <c:v>340210602</c:v>
                </c:pt>
                <c:pt idx="215">
                  <c:v>340300001</c:v>
                </c:pt>
                <c:pt idx="216">
                  <c:v>401100001</c:v>
                </c:pt>
                <c:pt idx="217">
                  <c:v>401110001</c:v>
                </c:pt>
                <c:pt idx="218">
                  <c:v>41041</c:v>
                </c:pt>
                <c:pt idx="219">
                  <c:v>410101</c:v>
                </c:pt>
                <c:pt idx="220">
                  <c:v>41010101</c:v>
                </c:pt>
                <c:pt idx="221">
                  <c:v>410102</c:v>
                </c:pt>
                <c:pt idx="222">
                  <c:v>41010201</c:v>
                </c:pt>
                <c:pt idx="223">
                  <c:v>41010202</c:v>
                </c:pt>
                <c:pt idx="224">
                  <c:v>41010203</c:v>
                </c:pt>
                <c:pt idx="225">
                  <c:v>41010204</c:v>
                </c:pt>
                <c:pt idx="226">
                  <c:v>410300001</c:v>
                </c:pt>
                <c:pt idx="227">
                  <c:v>401201002</c:v>
                </c:pt>
                <c:pt idx="228">
                  <c:v>41010102</c:v>
                </c:pt>
                <c:pt idx="229">
                  <c:v>41010103</c:v>
                </c:pt>
                <c:pt idx="230">
                  <c:v>4457</c:v>
                </c:pt>
                <c:pt idx="231">
                  <c:v>5062</c:v>
                </c:pt>
                <c:pt idx="232">
                  <c:v>6100</c:v>
                </c:pt>
                <c:pt idx="233">
                  <c:v>50611</c:v>
                </c:pt>
                <c:pt idx="234">
                  <c:v>445402</c:v>
                </c:pt>
                <c:pt idx="235">
                  <c:v>445403</c:v>
                </c:pt>
                <c:pt idx="236">
                  <c:v>615201</c:v>
                </c:pt>
                <c:pt idx="237">
                  <c:v>616101</c:v>
                </c:pt>
                <c:pt idx="238">
                  <c:v>617801</c:v>
                </c:pt>
                <c:pt idx="239">
                  <c:v>61520101</c:v>
                </c:pt>
                <c:pt idx="240">
                  <c:v>61610101</c:v>
                </c:pt>
                <c:pt idx="241">
                  <c:v>4457010102</c:v>
                </c:pt>
                <c:pt idx="242">
                  <c:v>4457010103</c:v>
                </c:pt>
                <c:pt idx="243">
                  <c:v>4457010104</c:v>
                </c:pt>
                <c:pt idx="244">
                  <c:v>4457010105</c:v>
                </c:pt>
                <c:pt idx="245">
                  <c:v>4457010106</c:v>
                </c:pt>
                <c:pt idx="246">
                  <c:v>4457010108</c:v>
                </c:pt>
                <c:pt idx="247">
                  <c:v>y</c:v>
                </c:pt>
                <c:pt idx="248">
                  <c:v>4457010201</c:v>
                </c:pt>
                <c:pt idx="249">
                  <c:v>4457010204</c:v>
                </c:pt>
                <c:pt idx="250">
                  <c:v>620</c:v>
                </c:pt>
                <c:pt idx="251">
                  <c:v>6521</c:v>
                </c:pt>
                <c:pt idx="252">
                  <c:v>652200002</c:v>
                </c:pt>
                <c:pt idx="253">
                  <c:v>6523</c:v>
                </c:pt>
                <c:pt idx="254">
                  <c:v>6525</c:v>
                </c:pt>
                <c:pt idx="255">
                  <c:v>652501</c:v>
                </c:pt>
                <c:pt idx="256">
                  <c:v>4470</c:v>
                </c:pt>
                <c:pt idx="257">
                  <c:v>6203</c:v>
                </c:pt>
                <c:pt idx="258">
                  <c:v>6208</c:v>
                </c:pt>
                <c:pt idx="259">
                  <c:v>6531</c:v>
                </c:pt>
                <c:pt idx="260">
                  <c:v>653100001</c:v>
                </c:pt>
                <c:pt idx="261">
                  <c:v>65311</c:v>
                </c:pt>
                <c:pt idx="262">
                  <c:v>653110101</c:v>
                </c:pt>
                <c:pt idx="263">
                  <c:v>653110103</c:v>
                </c:pt>
                <c:pt idx="264">
                  <c:v>653110104</c:v>
                </c:pt>
                <c:pt idx="265">
                  <c:v>653110105</c:v>
                </c:pt>
                <c:pt idx="266">
                  <c:v>653110106</c:v>
                </c:pt>
                <c:pt idx="267">
                  <c:v>653110108</c:v>
                </c:pt>
                <c:pt idx="268">
                  <c:v>653110109</c:v>
                </c:pt>
                <c:pt idx="269">
                  <c:v>653110110</c:v>
                </c:pt>
                <c:pt idx="270">
                  <c:v>653110111</c:v>
                </c:pt>
                <c:pt idx="271">
                  <c:v>653110112</c:v>
                </c:pt>
                <c:pt idx="272">
                  <c:v>553110113</c:v>
                </c:pt>
                <c:pt idx="273">
                  <c:v>653110114</c:v>
                </c:pt>
                <c:pt idx="274">
                  <c:v>653110115</c:v>
                </c:pt>
                <c:pt idx="275">
                  <c:v>653110116</c:v>
                </c:pt>
                <c:pt idx="276">
                  <c:v>653110117</c:v>
                </c:pt>
                <c:pt idx="277">
                  <c:v>6531102</c:v>
                </c:pt>
                <c:pt idx="278">
                  <c:v>653110201</c:v>
                </c:pt>
                <c:pt idx="279">
                  <c:v>653110202</c:v>
                </c:pt>
                <c:pt idx="280">
                  <c:v>6531103</c:v>
                </c:pt>
                <c:pt idx="281">
                  <c:v>6531104</c:v>
                </c:pt>
                <c:pt idx="282">
                  <c:v>63401</c:v>
                </c:pt>
                <c:pt idx="283">
                  <c:v>6340101</c:v>
                </c:pt>
                <c:pt idx="284">
                  <c:v>634010101</c:v>
                </c:pt>
                <c:pt idx="285">
                  <c:v>6340102</c:v>
                </c:pt>
                <c:pt idx="286">
                  <c:v>65306</c:v>
                </c:pt>
                <c:pt idx="287">
                  <c:v>653050001</c:v>
                </c:pt>
                <c:pt idx="288">
                  <c:v>653050002</c:v>
                </c:pt>
                <c:pt idx="289">
                  <c:v>653060001</c:v>
                </c:pt>
                <c:pt idx="290">
                  <c:v>410903</c:v>
                </c:pt>
                <c:pt idx="291">
                  <c:v>6203004</c:v>
                </c:pt>
                <c:pt idx="292">
                  <c:v>651100001</c:v>
                </c:pt>
                <c:pt idx="293">
                  <c:v>651100002</c:v>
                </c:pt>
                <c:pt idx="294">
                  <c:v>651100003</c:v>
                </c:pt>
                <c:pt idx="295">
                  <c:v>651100004</c:v>
                </c:pt>
                <c:pt idx="296">
                  <c:v>651200001</c:v>
                </c:pt>
                <c:pt idx="297">
                  <c:v>651300001</c:v>
                </c:pt>
                <c:pt idx="298">
                  <c:v>65130101</c:v>
                </c:pt>
                <c:pt idx="299">
                  <c:v>65130201</c:v>
                </c:pt>
              </c:strCache>
            </c:strRef>
          </c:cat>
          <c:val>
            <c:numRef>
              <c:f>'Risk score summary (Problem)'!$F$3:$F$17</c:f>
              <c:numCache>
                <c:formatCode>General</c:formatCode>
                <c:ptCount val="15"/>
                <c:pt idx="0">
                  <c:v>1490.514684388889</c:v>
                </c:pt>
                <c:pt idx="1">
                  <c:v>1490.514684388889</c:v>
                </c:pt>
                <c:pt idx="2">
                  <c:v>1490.514684388889</c:v>
                </c:pt>
                <c:pt idx="3">
                  <c:v>1490.514684388889</c:v>
                </c:pt>
                <c:pt idx="4">
                  <c:v>1490.514684388889</c:v>
                </c:pt>
                <c:pt idx="5">
                  <c:v>1490.514684388889</c:v>
                </c:pt>
                <c:pt idx="6">
                  <c:v>1490.514684388889</c:v>
                </c:pt>
                <c:pt idx="7">
                  <c:v>1490.514684388889</c:v>
                </c:pt>
                <c:pt idx="8">
                  <c:v>1490.514684388889</c:v>
                </c:pt>
                <c:pt idx="9">
                  <c:v>1490.514684388889</c:v>
                </c:pt>
                <c:pt idx="10">
                  <c:v>1490.514684388889</c:v>
                </c:pt>
                <c:pt idx="11">
                  <c:v>1490.514684388889</c:v>
                </c:pt>
                <c:pt idx="12">
                  <c:v>1490.514684388889</c:v>
                </c:pt>
                <c:pt idx="13">
                  <c:v>1490.514684388889</c:v>
                </c:pt>
                <c:pt idx="14">
                  <c:v>1490.514684388889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78-4088-916A-BDF696F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52216"/>
        <c:axId val="203553392"/>
      </c:lineChart>
      <c:catAx>
        <c:axId val="203554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52608"/>
        <c:crosses val="autoZero"/>
        <c:auto val="1"/>
        <c:lblAlgn val="ctr"/>
        <c:lblOffset val="100"/>
        <c:noMultiLvlLbl val="0"/>
      </c:catAx>
      <c:valAx>
        <c:axId val="203552608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54568"/>
        <c:crosses val="autoZero"/>
        <c:crossBetween val="midCat"/>
      </c:valAx>
      <c:valAx>
        <c:axId val="203553392"/>
        <c:scaling>
          <c:orientation val="minMax"/>
          <c:max val="3000"/>
        </c:scaling>
        <c:delete val="0"/>
        <c:axPos val="r"/>
        <c:numFmt formatCode="General" sourceLinked="1"/>
        <c:majorTickMark val="out"/>
        <c:minorTickMark val="none"/>
        <c:tickLblPos val="nextTo"/>
        <c:crossAx val="203552216"/>
        <c:crosses val="max"/>
        <c:crossBetween val="between"/>
      </c:valAx>
      <c:catAx>
        <c:axId val="203552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53392"/>
        <c:crosses val="autoZero"/>
        <c:auto val="1"/>
        <c:lblAlgn val="ctr"/>
        <c:lblOffset val="100"/>
        <c:noMultiLvlLbl val="0"/>
      </c:catAx>
    </c:plotArea>
    <c:legend>
      <c:legendPos val="t"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Risk Score(Number of distribution pipeline)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Sheet1!$B$2:$B$3</c:f>
              <c:strCache>
                <c:ptCount val="2"/>
                <c:pt idx="0">
                  <c:v>Risk within acceptable Criteria</c:v>
                </c:pt>
                <c:pt idx="1">
                  <c:v>Risk over acceptable Criteria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299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4B25-9FE6-BD0DBC2C3B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Sheet1!$B$21:$B$23</c:f>
              <c:strCache>
                <c:ptCount val="3"/>
                <c:pt idx="0">
                  <c:v>int</c:v>
                </c:pt>
                <c:pt idx="1">
                  <c:v>ext</c:v>
                </c:pt>
                <c:pt idx="2">
                  <c:v>tpi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11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F-4226-BCDE-A98405417136}"/>
            </c:ext>
          </c:extLst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Sheet1!$B$21:$B$23</c:f>
              <c:strCache>
                <c:ptCount val="3"/>
                <c:pt idx="0">
                  <c:v>int</c:v>
                </c:pt>
                <c:pt idx="1">
                  <c:v>ext</c:v>
                </c:pt>
                <c:pt idx="2">
                  <c:v>tpi</c:v>
                </c:pt>
              </c:strCache>
            </c:strRef>
          </c:cat>
          <c:val>
            <c:numRef>
              <c:f>Sheet1!$D$21:$D$23</c:f>
              <c:numCache>
                <c:formatCode>General</c:formatCode>
                <c:ptCount val="3"/>
                <c:pt idx="0">
                  <c:v>110</c:v>
                </c:pt>
                <c:pt idx="1">
                  <c:v>90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F-4226-BCDE-A984054171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026" cy="60640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0.73128</cdr:x>
      <cdr:y>0.33937</cdr:y>
    </cdr:from>
    <cdr:to>
      <cdr:x>0.90229</cdr:x>
      <cdr:y>0.36353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9385" y="2058865"/>
          <a:ext cx="1589942" cy="14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0.72981</cdr:x>
      <cdr:y>0.51297</cdr:y>
    </cdr:from>
    <cdr:to>
      <cdr:x>0.92682</cdr:x>
      <cdr:y>0.55282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75300" y="3101011"/>
          <a:ext cx="1828982" cy="240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Acceptable</a:t>
          </a:r>
          <a:r>
            <a:rPr lang="en-US" sz="1100" baseline="0"/>
            <a:t> criteria</a:t>
          </a:r>
          <a:endParaRPr lang="th-TH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957" cy="606334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0.73128</cdr:x>
      <cdr:y>0.33937</cdr:y>
    </cdr:from>
    <cdr:to>
      <cdr:x>0.90229</cdr:x>
      <cdr:y>0.36353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9385" y="2058865"/>
          <a:ext cx="1589942" cy="1465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th-TH" sz="1100"/>
        </a:p>
      </cdr:txBody>
    </cdr:sp>
  </cdr:relSizeAnchor>
  <cdr:relSizeAnchor xmlns:cdr="http://schemas.openxmlformats.org/drawingml/2006/chartDrawing">
    <cdr:from>
      <cdr:x>0.72981</cdr:x>
      <cdr:y>0.51297</cdr:y>
    </cdr:from>
    <cdr:to>
      <cdr:x>0.92682</cdr:x>
      <cdr:y>0.55282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75300" y="3101011"/>
          <a:ext cx="1828982" cy="240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Acceptable</a:t>
          </a:r>
          <a:r>
            <a:rPr lang="en-US" sz="1100" baseline="0"/>
            <a:t> criteria</a:t>
          </a:r>
          <a:endParaRPr lang="th-TH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180975</xdr:rowOff>
    </xdr:from>
    <xdr:to>
      <xdr:col>8</xdr:col>
      <xdr:colOff>590550</xdr:colOff>
      <xdr:row>19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16</xdr:row>
      <xdr:rowOff>9525</xdr:rowOff>
    </xdr:from>
    <xdr:to>
      <xdr:col>16</xdr:col>
      <xdr:colOff>514350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1.Pipeline_Integrity\00.PL-Integrity_Planning\Y2016\6.%20Annual%20report\Risk%20assessment\Distribution%20PL\2016-Risk%20Distribution%20Pipeline_%20rev%201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3\NASDATA5\01.Pipeline_Integrity\00.PL-Integrity_Planning\Y2016\9.TMMC\2nd-TMMC_May%202016\Distribution%20risk%20assessment\Risk%20Distribution%202558%20TMMC_4_revJum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01.Pipeline_Integrity\00.PL-Integrity_Planning\Y2016\9.TMMC\2nd-TMMC_May%202016\Transmission%20risk%20assessment\2016-Risk%20assessment%20of%20Transmission%20pipeline_rev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work flow"/>
      <sheetName val="Risk score graph summary"/>
      <sheetName val="Sheet1"/>
      <sheetName val="Risk score summary"/>
      <sheetName val="Progress"/>
      <sheetName val="Int. Mo."/>
      <sheetName val="Int. Pa."/>
      <sheetName val="Ext. Pa"/>
      <sheetName val="Ext.Mo"/>
      <sheetName val="TPI. Pa."/>
      <sheetName val="TPI. Mo."/>
      <sheetName val="consequence"/>
      <sheetName val="conse.pa."/>
      <sheetName val="LGS Pa."/>
      <sheetName val="LGS_Mo."/>
      <sheetName val="Sheet2"/>
    </sheetNames>
    <sheetDataSet>
      <sheetData sheetId="0"/>
      <sheetData sheetId="1" refreshError="1"/>
      <sheetData sheetId="2"/>
      <sheetData sheetId="3">
        <row r="3">
          <cell r="B3">
            <v>4021</v>
          </cell>
        </row>
        <row r="4">
          <cell r="B4">
            <v>4023</v>
          </cell>
        </row>
        <row r="5">
          <cell r="B5">
            <v>4032</v>
          </cell>
        </row>
        <row r="6">
          <cell r="B6">
            <v>4311</v>
          </cell>
        </row>
        <row r="7">
          <cell r="B7">
            <v>431110003</v>
          </cell>
        </row>
        <row r="8">
          <cell r="B8">
            <v>4311103</v>
          </cell>
        </row>
        <row r="9">
          <cell r="B9">
            <v>431120101</v>
          </cell>
        </row>
        <row r="10">
          <cell r="B10">
            <v>431120102</v>
          </cell>
        </row>
        <row r="11">
          <cell r="B11">
            <v>431120103</v>
          </cell>
        </row>
        <row r="12">
          <cell r="B12">
            <v>431120106</v>
          </cell>
        </row>
        <row r="13">
          <cell r="B13">
            <v>431120108</v>
          </cell>
        </row>
        <row r="14">
          <cell r="B14">
            <v>431120001</v>
          </cell>
        </row>
        <row r="15">
          <cell r="B15">
            <v>4401</v>
          </cell>
        </row>
        <row r="16">
          <cell r="B16">
            <v>5033</v>
          </cell>
        </row>
        <row r="17">
          <cell r="B17">
            <v>40231</v>
          </cell>
        </row>
        <row r="18">
          <cell r="B18">
            <v>44041</v>
          </cell>
        </row>
        <row r="19">
          <cell r="B19">
            <v>402330206</v>
          </cell>
        </row>
        <row r="20">
          <cell r="B20">
            <v>632102</v>
          </cell>
        </row>
        <row r="21">
          <cell r="B21" t="str">
            <v>a</v>
          </cell>
        </row>
        <row r="22">
          <cell r="B22" t="str">
            <v>b</v>
          </cell>
        </row>
        <row r="23">
          <cell r="B23" t="str">
            <v>c</v>
          </cell>
        </row>
        <row r="24">
          <cell r="B24" t="str">
            <v>d</v>
          </cell>
        </row>
        <row r="25">
          <cell r="B25" t="str">
            <v>e</v>
          </cell>
        </row>
        <row r="26">
          <cell r="B26" t="str">
            <v>f</v>
          </cell>
        </row>
        <row r="27">
          <cell r="B27" t="str">
            <v>g</v>
          </cell>
        </row>
        <row r="28">
          <cell r="B28" t="str">
            <v>h</v>
          </cell>
        </row>
        <row r="29">
          <cell r="B29">
            <v>40231</v>
          </cell>
        </row>
        <row r="30">
          <cell r="B30" t="str">
            <v>i</v>
          </cell>
        </row>
        <row r="31">
          <cell r="B31" t="str">
            <v>j</v>
          </cell>
        </row>
        <row r="32">
          <cell r="B32" t="str">
            <v>k</v>
          </cell>
        </row>
        <row r="33">
          <cell r="B33" t="str">
            <v>l</v>
          </cell>
        </row>
        <row r="34">
          <cell r="B34" t="str">
            <v>m</v>
          </cell>
        </row>
        <row r="35">
          <cell r="B35" t="str">
            <v>n</v>
          </cell>
        </row>
        <row r="36">
          <cell r="B36" t="str">
            <v>o</v>
          </cell>
        </row>
        <row r="37">
          <cell r="B37" t="str">
            <v>p</v>
          </cell>
        </row>
        <row r="38">
          <cell r="B38" t="str">
            <v>q</v>
          </cell>
        </row>
        <row r="39">
          <cell r="B39">
            <v>631100002</v>
          </cell>
        </row>
        <row r="40">
          <cell r="B40">
            <v>631100004</v>
          </cell>
        </row>
        <row r="41">
          <cell r="B41">
            <v>6322101</v>
          </cell>
        </row>
        <row r="42">
          <cell r="B42">
            <v>6322104</v>
          </cell>
        </row>
        <row r="43">
          <cell r="B43">
            <v>40222012</v>
          </cell>
        </row>
        <row r="44">
          <cell r="B44">
            <v>402110001</v>
          </cell>
        </row>
        <row r="45">
          <cell r="B45">
            <v>402210001</v>
          </cell>
        </row>
        <row r="46">
          <cell r="B46">
            <v>402210003</v>
          </cell>
        </row>
        <row r="47">
          <cell r="B47">
            <v>4030301</v>
          </cell>
        </row>
        <row r="48">
          <cell r="B48">
            <v>405110101</v>
          </cell>
        </row>
        <row r="49">
          <cell r="B49">
            <v>4052</v>
          </cell>
        </row>
        <row r="50">
          <cell r="B50">
            <v>44021001</v>
          </cell>
        </row>
        <row r="51">
          <cell r="B51">
            <v>440210002</v>
          </cell>
        </row>
        <row r="52">
          <cell r="B52">
            <v>440210003</v>
          </cell>
        </row>
        <row r="53">
          <cell r="B53">
            <v>440210004</v>
          </cell>
        </row>
        <row r="54">
          <cell r="B54">
            <v>440220001</v>
          </cell>
        </row>
        <row r="55">
          <cell r="B55">
            <v>503100001</v>
          </cell>
        </row>
        <row r="56">
          <cell r="B56">
            <v>503100002</v>
          </cell>
        </row>
        <row r="57">
          <cell r="B57">
            <v>503200001</v>
          </cell>
        </row>
        <row r="58">
          <cell r="B58">
            <v>5033</v>
          </cell>
        </row>
        <row r="59">
          <cell r="B59">
            <v>5041</v>
          </cell>
        </row>
        <row r="60">
          <cell r="B60">
            <v>504200001</v>
          </cell>
        </row>
        <row r="61">
          <cell r="B61">
            <v>504300001</v>
          </cell>
        </row>
        <row r="62">
          <cell r="B62">
            <v>505100001</v>
          </cell>
        </row>
        <row r="63">
          <cell r="B63">
            <v>56051101</v>
          </cell>
        </row>
        <row r="64">
          <cell r="B64">
            <v>674</v>
          </cell>
        </row>
        <row r="65">
          <cell r="B65">
            <v>6611</v>
          </cell>
        </row>
        <row r="66">
          <cell r="B66">
            <v>661301</v>
          </cell>
        </row>
        <row r="67">
          <cell r="B67">
            <v>6614</v>
          </cell>
        </row>
        <row r="68">
          <cell r="B68">
            <v>6731</v>
          </cell>
        </row>
        <row r="69">
          <cell r="B69">
            <v>6732</v>
          </cell>
        </row>
        <row r="70">
          <cell r="B70">
            <v>6734</v>
          </cell>
        </row>
        <row r="71">
          <cell r="B71">
            <v>63601</v>
          </cell>
        </row>
        <row r="72">
          <cell r="B72">
            <v>63602</v>
          </cell>
        </row>
        <row r="73">
          <cell r="B73">
            <v>65820</v>
          </cell>
        </row>
        <row r="74">
          <cell r="B74">
            <v>66111</v>
          </cell>
        </row>
        <row r="75">
          <cell r="B75">
            <v>6611102</v>
          </cell>
        </row>
        <row r="76">
          <cell r="B76">
            <v>661110201</v>
          </cell>
        </row>
        <row r="77">
          <cell r="B77">
            <v>661110202</v>
          </cell>
        </row>
        <row r="78">
          <cell r="B78">
            <v>661110203</v>
          </cell>
        </row>
        <row r="79">
          <cell r="B79">
            <v>66112</v>
          </cell>
        </row>
        <row r="80">
          <cell r="B80">
            <v>66203</v>
          </cell>
        </row>
        <row r="81">
          <cell r="B81">
            <v>662100001</v>
          </cell>
        </row>
        <row r="82">
          <cell r="B82">
            <v>66401001</v>
          </cell>
        </row>
        <row r="83">
          <cell r="B83">
            <v>66401002</v>
          </cell>
        </row>
        <row r="84">
          <cell r="B84">
            <v>6711</v>
          </cell>
        </row>
        <row r="85">
          <cell r="B85" t="str">
            <v>Z</v>
          </cell>
        </row>
        <row r="86">
          <cell r="B86">
            <v>67111002</v>
          </cell>
        </row>
        <row r="87">
          <cell r="B87">
            <v>67111003</v>
          </cell>
        </row>
        <row r="88">
          <cell r="B88">
            <v>67111004</v>
          </cell>
        </row>
        <row r="89">
          <cell r="B89">
            <v>6712</v>
          </cell>
        </row>
        <row r="90">
          <cell r="B90">
            <v>67111</v>
          </cell>
        </row>
        <row r="91">
          <cell r="B91">
            <v>67121</v>
          </cell>
        </row>
        <row r="92">
          <cell r="B92">
            <v>67121</v>
          </cell>
        </row>
        <row r="93">
          <cell r="B93">
            <v>67121</v>
          </cell>
        </row>
        <row r="94">
          <cell r="B94">
            <v>6712101</v>
          </cell>
        </row>
        <row r="95">
          <cell r="B95">
            <v>671210103</v>
          </cell>
        </row>
        <row r="96">
          <cell r="B96">
            <v>671210104</v>
          </cell>
        </row>
        <row r="97">
          <cell r="B97">
            <v>6712102</v>
          </cell>
        </row>
        <row r="98">
          <cell r="B98">
            <v>671210201</v>
          </cell>
        </row>
        <row r="99">
          <cell r="B99">
            <v>671210202</v>
          </cell>
        </row>
        <row r="100">
          <cell r="B100">
            <v>6712103</v>
          </cell>
        </row>
        <row r="101">
          <cell r="B101">
            <v>671210301</v>
          </cell>
        </row>
        <row r="102">
          <cell r="B102">
            <v>671210401</v>
          </cell>
        </row>
        <row r="103">
          <cell r="B103">
            <v>6712104</v>
          </cell>
        </row>
        <row r="104">
          <cell r="B104">
            <v>6712105</v>
          </cell>
        </row>
        <row r="105">
          <cell r="B105">
            <v>67122</v>
          </cell>
        </row>
        <row r="106">
          <cell r="B106">
            <v>673010101</v>
          </cell>
        </row>
        <row r="107">
          <cell r="B107">
            <v>67303</v>
          </cell>
        </row>
        <row r="108">
          <cell r="B108">
            <v>67311</v>
          </cell>
        </row>
        <row r="109">
          <cell r="B109">
            <v>69211</v>
          </cell>
        </row>
        <row r="110">
          <cell r="B110">
            <v>671111</v>
          </cell>
        </row>
        <row r="111">
          <cell r="B111">
            <v>6360106</v>
          </cell>
        </row>
        <row r="112">
          <cell r="B112">
            <v>6582101</v>
          </cell>
        </row>
        <row r="113">
          <cell r="B113" t="str">
            <v>661110002</v>
          </cell>
        </row>
        <row r="114">
          <cell r="B114" t="str">
            <v>661110004</v>
          </cell>
        </row>
        <row r="115">
          <cell r="B115" t="str">
            <v>661110004</v>
          </cell>
        </row>
        <row r="116">
          <cell r="B116" t="str">
            <v>661120001</v>
          </cell>
        </row>
        <row r="117">
          <cell r="B117" t="str">
            <v>661120002</v>
          </cell>
        </row>
        <row r="118">
          <cell r="B118" t="str">
            <v>661120003</v>
          </cell>
        </row>
        <row r="119">
          <cell r="B119" t="str">
            <v>661120004</v>
          </cell>
        </row>
        <row r="120">
          <cell r="B120" t="str">
            <v>661120005</v>
          </cell>
        </row>
        <row r="121">
          <cell r="B121" t="str">
            <v>661120006</v>
          </cell>
        </row>
        <row r="122">
          <cell r="B122" t="str">
            <v>6611201</v>
          </cell>
        </row>
        <row r="123">
          <cell r="B123" t="str">
            <v>661120101</v>
          </cell>
        </row>
        <row r="124">
          <cell r="B124" t="str">
            <v>661120102</v>
          </cell>
        </row>
        <row r="125">
          <cell r="B125" t="str">
            <v>661120103</v>
          </cell>
        </row>
        <row r="126">
          <cell r="B126" t="str">
            <v>661120104</v>
          </cell>
        </row>
        <row r="127">
          <cell r="B127" t="str">
            <v>661120105</v>
          </cell>
        </row>
        <row r="128">
          <cell r="B128" t="str">
            <v>661120106</v>
          </cell>
        </row>
        <row r="129">
          <cell r="B129" t="str">
            <v>661120107</v>
          </cell>
        </row>
        <row r="130">
          <cell r="B130" t="str">
            <v>661120108</v>
          </cell>
        </row>
        <row r="131">
          <cell r="B131" t="str">
            <v>661120109</v>
          </cell>
        </row>
        <row r="132">
          <cell r="B132" t="str">
            <v>6611202</v>
          </cell>
        </row>
        <row r="133">
          <cell r="B133" t="str">
            <v>661120201</v>
          </cell>
        </row>
        <row r="134">
          <cell r="B134" t="str">
            <v>661120110</v>
          </cell>
        </row>
        <row r="135">
          <cell r="B135" t="str">
            <v>661120202</v>
          </cell>
        </row>
        <row r="136">
          <cell r="B136" t="str">
            <v>661120401</v>
          </cell>
        </row>
        <row r="137">
          <cell r="B137" t="str">
            <v>6611205</v>
          </cell>
        </row>
        <row r="138">
          <cell r="B138" t="str">
            <v>661120501</v>
          </cell>
        </row>
        <row r="139">
          <cell r="B139" t="str">
            <v>661120502</v>
          </cell>
        </row>
        <row r="140">
          <cell r="B140" t="str">
            <v>6611206</v>
          </cell>
        </row>
        <row r="141">
          <cell r="B141" t="str">
            <v>661200001</v>
          </cell>
        </row>
        <row r="142">
          <cell r="B142" t="str">
            <v>661200001</v>
          </cell>
        </row>
        <row r="143">
          <cell r="B143" t="str">
            <v>6613</v>
          </cell>
        </row>
        <row r="144">
          <cell r="B144" t="str">
            <v>6730101</v>
          </cell>
        </row>
        <row r="145">
          <cell r="B145">
            <v>6731101</v>
          </cell>
        </row>
        <row r="146">
          <cell r="B146">
            <v>6921101</v>
          </cell>
        </row>
        <row r="147">
          <cell r="B147">
            <v>67210001</v>
          </cell>
        </row>
        <row r="148">
          <cell r="B148">
            <v>67210002</v>
          </cell>
        </row>
        <row r="149">
          <cell r="B149">
            <v>658110001</v>
          </cell>
        </row>
        <row r="150">
          <cell r="B150">
            <v>658110002</v>
          </cell>
        </row>
        <row r="151">
          <cell r="B151">
            <v>661110201</v>
          </cell>
        </row>
        <row r="152">
          <cell r="B152">
            <v>671200001</v>
          </cell>
        </row>
        <row r="153">
          <cell r="B153">
            <v>671210001</v>
          </cell>
        </row>
        <row r="154">
          <cell r="B154">
            <v>671210002</v>
          </cell>
        </row>
        <row r="155">
          <cell r="B155">
            <v>671210101</v>
          </cell>
        </row>
        <row r="156">
          <cell r="B156">
            <v>671210102</v>
          </cell>
        </row>
        <row r="157">
          <cell r="B157">
            <v>671500001</v>
          </cell>
        </row>
        <row r="158">
          <cell r="B158">
            <v>673110001</v>
          </cell>
        </row>
        <row r="159">
          <cell r="B159">
            <v>673110002</v>
          </cell>
        </row>
        <row r="160">
          <cell r="B160">
            <v>673110003</v>
          </cell>
        </row>
        <row r="161">
          <cell r="B161">
            <v>673110004</v>
          </cell>
        </row>
        <row r="162">
          <cell r="B162">
            <v>673110005</v>
          </cell>
        </row>
        <row r="163">
          <cell r="B163">
            <v>673110103</v>
          </cell>
        </row>
        <row r="164">
          <cell r="B164">
            <v>673200001</v>
          </cell>
        </row>
        <row r="165">
          <cell r="B165">
            <v>673200002</v>
          </cell>
        </row>
        <row r="166">
          <cell r="B166">
            <v>673500001</v>
          </cell>
        </row>
        <row r="167">
          <cell r="B167">
            <v>673600001</v>
          </cell>
        </row>
        <row r="168">
          <cell r="B168">
            <v>673700001</v>
          </cell>
        </row>
        <row r="169">
          <cell r="B169">
            <v>674100001</v>
          </cell>
        </row>
        <row r="170">
          <cell r="B170">
            <v>692110101</v>
          </cell>
        </row>
        <row r="171">
          <cell r="B171">
            <v>692110103</v>
          </cell>
        </row>
        <row r="172">
          <cell r="B172">
            <v>330</v>
          </cell>
        </row>
        <row r="173">
          <cell r="B173">
            <v>330100002</v>
          </cell>
        </row>
        <row r="174">
          <cell r="B174">
            <v>330100003</v>
          </cell>
        </row>
        <row r="175">
          <cell r="B175">
            <v>33010009</v>
          </cell>
        </row>
        <row r="176">
          <cell r="B176">
            <v>330200002</v>
          </cell>
        </row>
        <row r="177">
          <cell r="B177">
            <v>330300001</v>
          </cell>
        </row>
        <row r="178">
          <cell r="B178">
            <v>330300001</v>
          </cell>
        </row>
        <row r="179">
          <cell r="B179">
            <v>330400008</v>
          </cell>
        </row>
        <row r="180">
          <cell r="B180">
            <v>330500001</v>
          </cell>
        </row>
        <row r="181">
          <cell r="B181">
            <v>33050002</v>
          </cell>
        </row>
        <row r="182">
          <cell r="B182">
            <v>330500001</v>
          </cell>
        </row>
        <row r="183">
          <cell r="B183">
            <v>330500004</v>
          </cell>
        </row>
        <row r="184">
          <cell r="B184">
            <v>330500003</v>
          </cell>
        </row>
        <row r="185">
          <cell r="B185">
            <v>330500007</v>
          </cell>
        </row>
        <row r="186">
          <cell r="B186">
            <v>330500008</v>
          </cell>
        </row>
        <row r="187">
          <cell r="B187">
            <v>330500012</v>
          </cell>
        </row>
        <row r="188">
          <cell r="B188">
            <v>330600002</v>
          </cell>
        </row>
        <row r="189">
          <cell r="B189">
            <v>330600003</v>
          </cell>
        </row>
        <row r="190">
          <cell r="B190">
            <v>430</v>
          </cell>
        </row>
        <row r="191">
          <cell r="B191">
            <v>3402</v>
          </cell>
        </row>
        <row r="192">
          <cell r="B192">
            <v>340300002</v>
          </cell>
        </row>
        <row r="193">
          <cell r="B193">
            <v>4014</v>
          </cell>
        </row>
        <row r="194">
          <cell r="B194">
            <v>40112</v>
          </cell>
        </row>
        <row r="195">
          <cell r="B195">
            <v>40321</v>
          </cell>
        </row>
        <row r="196">
          <cell r="B196">
            <v>560201</v>
          </cell>
        </row>
        <row r="197">
          <cell r="B197">
            <v>561201</v>
          </cell>
        </row>
        <row r="198">
          <cell r="B198">
            <v>6402106</v>
          </cell>
        </row>
        <row r="199">
          <cell r="B199">
            <v>3402101</v>
          </cell>
        </row>
        <row r="200">
          <cell r="B200">
            <v>3402102</v>
          </cell>
        </row>
        <row r="201">
          <cell r="B201">
            <v>3402103</v>
          </cell>
        </row>
        <row r="202">
          <cell r="B202">
            <v>3402104</v>
          </cell>
        </row>
        <row r="203">
          <cell r="B203">
            <v>3402105</v>
          </cell>
        </row>
        <row r="204">
          <cell r="B204">
            <v>3402106</v>
          </cell>
        </row>
        <row r="205">
          <cell r="B205">
            <v>4032201</v>
          </cell>
        </row>
        <row r="206">
          <cell r="B206">
            <v>330800104</v>
          </cell>
        </row>
        <row r="207">
          <cell r="B207">
            <v>33081004</v>
          </cell>
        </row>
        <row r="208">
          <cell r="B208">
            <v>33083010</v>
          </cell>
        </row>
        <row r="209">
          <cell r="B209">
            <v>56010101</v>
          </cell>
        </row>
        <row r="210">
          <cell r="B210">
            <v>56010102</v>
          </cell>
        </row>
        <row r="211">
          <cell r="B211">
            <v>56010103</v>
          </cell>
        </row>
        <row r="212">
          <cell r="B212">
            <v>330820005</v>
          </cell>
        </row>
        <row r="213">
          <cell r="B213">
            <v>330900001</v>
          </cell>
        </row>
        <row r="214">
          <cell r="B214">
            <v>330901001</v>
          </cell>
        </row>
        <row r="215">
          <cell r="B215">
            <v>330901002</v>
          </cell>
        </row>
        <row r="216">
          <cell r="B216">
            <v>330901003</v>
          </cell>
        </row>
        <row r="217">
          <cell r="B217">
            <v>340210602</v>
          </cell>
        </row>
        <row r="218">
          <cell r="B218">
            <v>340300001</v>
          </cell>
        </row>
        <row r="219">
          <cell r="B219">
            <v>401100001</v>
          </cell>
        </row>
        <row r="220">
          <cell r="B220">
            <v>401110001</v>
          </cell>
        </row>
        <row r="221">
          <cell r="B221">
            <v>41041</v>
          </cell>
        </row>
        <row r="222">
          <cell r="B222">
            <v>410101</v>
          </cell>
        </row>
        <row r="223">
          <cell r="B223">
            <v>41010101</v>
          </cell>
        </row>
        <row r="224">
          <cell r="B224">
            <v>410102</v>
          </cell>
        </row>
        <row r="225">
          <cell r="B225">
            <v>41010201</v>
          </cell>
        </row>
        <row r="226">
          <cell r="B226">
            <v>41010202</v>
          </cell>
        </row>
        <row r="227">
          <cell r="B227">
            <v>41010203</v>
          </cell>
        </row>
        <row r="228">
          <cell r="B228">
            <v>41010204</v>
          </cell>
        </row>
        <row r="229">
          <cell r="B229">
            <v>410300001</v>
          </cell>
        </row>
        <row r="230">
          <cell r="B230">
            <v>401201002</v>
          </cell>
        </row>
        <row r="231">
          <cell r="B231">
            <v>41010102</v>
          </cell>
        </row>
        <row r="232">
          <cell r="B232">
            <v>41010103</v>
          </cell>
        </row>
        <row r="233">
          <cell r="B233">
            <v>4457</v>
          </cell>
        </row>
        <row r="234">
          <cell r="B234">
            <v>5062</v>
          </cell>
        </row>
        <row r="235">
          <cell r="B235">
            <v>6100</v>
          </cell>
        </row>
        <row r="236">
          <cell r="B236">
            <v>50611</v>
          </cell>
        </row>
        <row r="237">
          <cell r="B237">
            <v>445402</v>
          </cell>
        </row>
        <row r="238">
          <cell r="B238">
            <v>445403</v>
          </cell>
        </row>
        <row r="239">
          <cell r="B239">
            <v>615201</v>
          </cell>
        </row>
        <row r="240">
          <cell r="B240">
            <v>616101</v>
          </cell>
        </row>
        <row r="241">
          <cell r="B241">
            <v>617801</v>
          </cell>
        </row>
        <row r="242">
          <cell r="B242">
            <v>61520101</v>
          </cell>
        </row>
        <row r="243">
          <cell r="B243">
            <v>61610101</v>
          </cell>
        </row>
        <row r="244">
          <cell r="B244">
            <v>4457010102</v>
          </cell>
        </row>
        <row r="245">
          <cell r="B245">
            <v>4457010103</v>
          </cell>
        </row>
        <row r="246">
          <cell r="B246">
            <v>4457010104</v>
          </cell>
        </row>
        <row r="247">
          <cell r="B247">
            <v>4457010105</v>
          </cell>
        </row>
        <row r="248">
          <cell r="B248">
            <v>4457010106</v>
          </cell>
        </row>
        <row r="249">
          <cell r="B249">
            <v>4457010108</v>
          </cell>
        </row>
        <row r="250">
          <cell r="B250" t="str">
            <v>y</v>
          </cell>
        </row>
        <row r="251">
          <cell r="B251">
            <v>4457010201</v>
          </cell>
        </row>
        <row r="252">
          <cell r="B252">
            <v>4457010204</v>
          </cell>
        </row>
        <row r="253">
          <cell r="B253">
            <v>620</v>
          </cell>
        </row>
        <row r="254">
          <cell r="B254">
            <v>6521</v>
          </cell>
        </row>
        <row r="255">
          <cell r="B255">
            <v>652200002</v>
          </cell>
        </row>
        <row r="256">
          <cell r="B256">
            <v>6523</v>
          </cell>
        </row>
        <row r="257">
          <cell r="B257">
            <v>6525</v>
          </cell>
        </row>
        <row r="258">
          <cell r="B258">
            <v>652501</v>
          </cell>
        </row>
        <row r="259">
          <cell r="B259">
            <v>4470</v>
          </cell>
        </row>
        <row r="260">
          <cell r="B260">
            <v>6203</v>
          </cell>
        </row>
        <row r="261">
          <cell r="B261">
            <v>6208</v>
          </cell>
        </row>
        <row r="262">
          <cell r="B262">
            <v>6531</v>
          </cell>
        </row>
        <row r="263">
          <cell r="B263">
            <v>653100001</v>
          </cell>
        </row>
        <row r="264">
          <cell r="B264">
            <v>65311</v>
          </cell>
        </row>
        <row r="265">
          <cell r="B265">
            <v>653110101</v>
          </cell>
        </row>
        <row r="266">
          <cell r="B266">
            <v>653110103</v>
          </cell>
        </row>
        <row r="267">
          <cell r="B267">
            <v>653110104</v>
          </cell>
        </row>
        <row r="268">
          <cell r="B268">
            <v>653110105</v>
          </cell>
        </row>
        <row r="269">
          <cell r="B269">
            <v>653110106</v>
          </cell>
        </row>
        <row r="270">
          <cell r="B270">
            <v>653110108</v>
          </cell>
        </row>
        <row r="271">
          <cell r="B271">
            <v>653110109</v>
          </cell>
        </row>
        <row r="272">
          <cell r="B272">
            <v>653110110</v>
          </cell>
        </row>
        <row r="273">
          <cell r="B273">
            <v>653110111</v>
          </cell>
        </row>
        <row r="274">
          <cell r="B274">
            <v>653110112</v>
          </cell>
        </row>
        <row r="275">
          <cell r="B275">
            <v>553110113</v>
          </cell>
        </row>
        <row r="276">
          <cell r="B276">
            <v>653110114</v>
          </cell>
        </row>
        <row r="277">
          <cell r="B277">
            <v>653110115</v>
          </cell>
        </row>
        <row r="278">
          <cell r="B278">
            <v>653110116</v>
          </cell>
        </row>
        <row r="279">
          <cell r="B279">
            <v>653110117</v>
          </cell>
        </row>
        <row r="280">
          <cell r="B280">
            <v>6531102</v>
          </cell>
        </row>
        <row r="281">
          <cell r="B281">
            <v>653110201</v>
          </cell>
        </row>
        <row r="282">
          <cell r="B282">
            <v>653110202</v>
          </cell>
        </row>
        <row r="283">
          <cell r="B283">
            <v>6531103</v>
          </cell>
        </row>
        <row r="284">
          <cell r="B284">
            <v>6531104</v>
          </cell>
        </row>
        <row r="285">
          <cell r="B285">
            <v>63401</v>
          </cell>
        </row>
        <row r="286">
          <cell r="B286">
            <v>6340101</v>
          </cell>
        </row>
        <row r="287">
          <cell r="B287">
            <v>634010101</v>
          </cell>
        </row>
        <row r="288">
          <cell r="B288">
            <v>6340102</v>
          </cell>
        </row>
        <row r="289">
          <cell r="B289">
            <v>65306</v>
          </cell>
        </row>
        <row r="290">
          <cell r="B290">
            <v>653050001</v>
          </cell>
        </row>
        <row r="291">
          <cell r="B291">
            <v>653050002</v>
          </cell>
        </row>
        <row r="292">
          <cell r="B292">
            <v>653060001</v>
          </cell>
        </row>
        <row r="293">
          <cell r="B293">
            <v>410903</v>
          </cell>
        </row>
        <row r="294">
          <cell r="B294">
            <v>6203004</v>
          </cell>
        </row>
        <row r="295">
          <cell r="B295">
            <v>651100001</v>
          </cell>
        </row>
        <row r="296">
          <cell r="B296">
            <v>651100002</v>
          </cell>
        </row>
        <row r="297">
          <cell r="B297">
            <v>651100003</v>
          </cell>
        </row>
        <row r="298">
          <cell r="B298">
            <v>651100004</v>
          </cell>
        </row>
        <row r="299">
          <cell r="B299">
            <v>651200001</v>
          </cell>
        </row>
        <row r="300">
          <cell r="B300">
            <v>651300001</v>
          </cell>
        </row>
        <row r="301">
          <cell r="B301">
            <v>65130101</v>
          </cell>
        </row>
        <row r="302">
          <cell r="B302">
            <v>65130201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work flow"/>
      <sheetName val="Risk score graph summary"/>
      <sheetName val="Sheet1"/>
      <sheetName val="Risk score summary"/>
      <sheetName val="Progress"/>
      <sheetName val="Int. Mo."/>
      <sheetName val="Int. Pa."/>
      <sheetName val="Ext. Pa"/>
      <sheetName val="Ext.Mo"/>
      <sheetName val="TPI. Pa."/>
      <sheetName val="TPI. Mo."/>
      <sheetName val="consequence"/>
      <sheetName val="conse.pa.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 t="str">
            <v>Depth of Cover</v>
          </cell>
          <cell r="E3">
            <v>2.2727272727272729</v>
          </cell>
        </row>
        <row r="9">
          <cell r="E9">
            <v>2.2727272727272729</v>
          </cell>
        </row>
        <row r="15">
          <cell r="E15">
            <v>0.45454545454545453</v>
          </cell>
        </row>
        <row r="22">
          <cell r="E22">
            <v>0.45454545454545453</v>
          </cell>
        </row>
        <row r="27">
          <cell r="E27">
            <v>1.3636363636363635</v>
          </cell>
        </row>
        <row r="40">
          <cell r="E40">
            <v>0.45454545454545453</v>
          </cell>
        </row>
        <row r="44">
          <cell r="E44">
            <v>1.3636363636363635</v>
          </cell>
        </row>
        <row r="48">
          <cell r="E48">
            <v>1.3636363636363635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Work flow"/>
      <sheetName val="10th risk score graph"/>
      <sheetName val="Risk score graph summary"/>
      <sheetName val="Risk score summary"/>
      <sheetName val="Consequence"/>
      <sheetName val="Progress"/>
      <sheetName val=" PL_Masterlist"/>
      <sheetName val="Int Mo."/>
      <sheetName val="Int Pa."/>
      <sheetName val="Ext Pa."/>
      <sheetName val="Ext Mo."/>
      <sheetName val="TPI Pa."/>
      <sheetName val="TPI Mo."/>
      <sheetName val="LGS Pa."/>
      <sheetName val="LGS_Mo."/>
      <sheetName val="Conse. Pa"/>
      <sheetName val="Class location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B3" t="str">
            <v>Flooding susceptibility</v>
          </cell>
          <cell r="C3" t="str">
            <v>--&gt; A</v>
          </cell>
        </row>
        <row r="4">
          <cell r="B4" t="str">
            <v>Never</v>
          </cell>
          <cell r="C4">
            <v>1</v>
          </cell>
        </row>
        <row r="5">
          <cell r="B5" t="str">
            <v>possible</v>
          </cell>
          <cell r="C5">
            <v>5</v>
          </cell>
        </row>
        <row r="6">
          <cell r="B6" t="str">
            <v>yes</v>
          </cell>
          <cell r="C6">
            <v>10</v>
          </cell>
        </row>
        <row r="7">
          <cell r="B7" t="str">
            <v>Soil stability</v>
          </cell>
          <cell r="C7" t="str">
            <v>--&gt; A</v>
          </cell>
        </row>
        <row r="8">
          <cell r="B8" t="str">
            <v>Stable</v>
          </cell>
          <cell r="C8">
            <v>2</v>
          </cell>
        </row>
        <row r="9">
          <cell r="B9" t="str">
            <v>Land movement possible</v>
          </cell>
          <cell r="C9">
            <v>5</v>
          </cell>
        </row>
        <row r="10">
          <cell r="B10" t="str">
            <v>Measure strain increase</v>
          </cell>
          <cell r="C10">
            <v>8</v>
          </cell>
        </row>
        <row r="11">
          <cell r="B11" t="str">
            <v>Land movement record</v>
          </cell>
          <cell r="C11">
            <v>10</v>
          </cell>
        </row>
        <row r="12">
          <cell r="B12" t="str">
            <v>Exposed pipeline section</v>
          </cell>
          <cell r="C12" t="str">
            <v>--&gt; A</v>
          </cell>
        </row>
        <row r="13">
          <cell r="B13" t="str">
            <v>All buried</v>
          </cell>
          <cell r="C13">
            <v>0</v>
          </cell>
        </row>
        <row r="14">
          <cell r="B14" t="str">
            <v>Some Areas Exposed</v>
          </cell>
          <cell r="C14">
            <v>4</v>
          </cell>
        </row>
        <row r="15">
          <cell r="B15" t="str">
            <v>Many Areas Exposed</v>
          </cell>
          <cell r="C15">
            <v>6</v>
          </cell>
        </row>
        <row r="16">
          <cell r="B16" t="str">
            <v>All Areas Exposed</v>
          </cell>
          <cell r="C16">
            <v>10</v>
          </cell>
        </row>
      </sheetData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5" name="Table5" displayName="Table5" ref="A2:V316" totalsRowCount="1" headerRowDxfId="251" dataDxfId="249" headerRowBorderDxfId="250" tableBorderDxfId="248">
  <autoFilter ref="A2:V315"/>
  <sortState ref="B3:V323">
    <sortCondition ref="B2:B323"/>
  </sortState>
  <tableColumns count="22">
    <tableColumn id="22" name="Column1" dataDxfId="247" totalsRowDxfId="246"/>
    <tableColumn id="1" name="Region" dataDxfId="245" totalsRowDxfId="244"/>
    <tableColumn id="2" name="RC" dataDxfId="243" totalsRowDxfId="242"/>
    <tableColumn id="3" name="Pipeline" dataDxfId="241" totalsRowDxfId="240"/>
    <tableColumn id="18" name="worst case" dataDxfId="239" totalsRowDxfId="238">
      <calculatedColumnFormula>G274</calculatedColumnFormula>
    </tableColumn>
    <tableColumn id="17" name="acceptable criteria" dataDxfId="237" totalsRowDxfId="236">
      <calculatedColumnFormula>(N3*S3)</calculatedColumnFormula>
    </tableColumn>
    <tableColumn id="4" name="Risk Score" totalsRowFunction="custom" dataDxfId="235" totalsRowDxfId="234">
      <calculatedColumnFormula>Table5[[#This Row],[Probability]]*Table5[[#This Row],[Consequence]]</calculatedColumnFormula>
      <totalsRowFormula>COUNTIF(G62:G264,"&gt;1676.74")</totalsRowFormula>
    </tableColumn>
    <tableColumn id="5" name="Ranking" dataDxfId="233" totalsRowDxfId="232">
      <calculatedColumnFormula>RANK(Table5[[#This Row],[Risk Score]],$G$3:$G$312)</calculatedColumnFormula>
    </tableColumn>
    <tableColumn id="6" name="INTERNAL CORROSION" totalsRowFunction="custom" dataDxfId="231" totalsRowDxfId="230">
      <calculatedColumnFormula>VLOOKUP(C3,Table1[[#All],[RC]:[Total Internal Corrosion Score]],27,FALSE)</calculatedColumnFormula>
      <totalsRowFormula>COUNTIF(I62:I264,"&gt;36.11")</totalsRowFormula>
    </tableColumn>
    <tableColumn id="7" name="Ranking2" dataDxfId="229" totalsRowDxfId="228">
      <calculatedColumnFormula>RANK(Table5[[#This Row],[INTERNAL CORROSION]],$I$3:$I$200)</calculatedColumnFormula>
    </tableColumn>
    <tableColumn id="8" name="EXTERNAL CORROSION" totalsRowFunction="custom" dataDxfId="227" totalsRowDxfId="226">
      <calculatedColumnFormula>VLOOKUP(C3,Ext.Mo!$C$2:$AK$326,35,FALSE)</calculatedColumnFormula>
      <totalsRowFormula>COUNTIF(K62:K270,"&gt;27.08")</totalsRowFormula>
    </tableColumn>
    <tableColumn id="9" name="Ranking3" dataDxfId="225" totalsRowDxfId="224">
      <calculatedColumnFormula>RANK(Table5[[#This Row],[EXTERNAL CORROSION]],$K$3:$K$200)</calculatedColumnFormula>
    </tableColumn>
    <tableColumn id="10" name="THIRD PARTY INTERFERENCE" totalsRowFunction="custom" dataDxfId="223" totalsRowDxfId="222">
      <calculatedColumnFormula>VLOOKUP(Table5[[#This Row],[RC]],Table3[[RC]:[Total TPI Score10]],23,0)</calculatedColumnFormula>
      <totalsRowFormula>COUNTIF(M62:M270,"&gt;45")</totalsRowFormula>
    </tableColumn>
    <tableColumn id="11" name="Ranking4" dataDxfId="221" totalsRowDxfId="220">
      <calculatedColumnFormula>RANK(Table5[[#This Row],[THIRD PARTY INTERFERENCE]],$M$3:$M$200)</calculatedColumnFormula>
    </tableColumn>
    <tableColumn id="20" name="Loss  of ground support" dataDxfId="219" totalsRowDxfId="218">
      <calculatedColumnFormula>VLOOKUP(Table5[[#This Row],[RC]],LGS_Mo.!$C$5:$P$322,14,0)</calculatedColumnFormula>
    </tableColumn>
    <tableColumn id="21" name="Ranking43" dataDxfId="217" totalsRowDxfId="216">
      <calculatedColumnFormula>RANK(Table5[[#This Row],[Loss  of ground support]],$O$3:$O$200)</calculatedColumnFormula>
    </tableColumn>
    <tableColumn id="12" name="Probability" dataDxfId="215" totalsRowDxfId="214">
      <calculatedColumnFormula>(I3+K3+M3+Table5[[#This Row],[Loss  of ground support]])/4</calculatedColumnFormula>
    </tableColumn>
    <tableColumn id="13" name="C1 : Societal" dataDxfId="213" totalsRowDxfId="212">
      <calculatedColumnFormula>VLOOKUP(C3,consequence!$B$2:$K$302,10,FALSE)</calculatedColumnFormula>
    </tableColumn>
    <tableColumn id="14" name="C2 : Cost" dataDxfId="211" totalsRowDxfId="210">
      <calculatedColumnFormula>VLOOKUP(C3,consequence!B2:$K$302,9,FALSE)</calculatedColumnFormula>
    </tableColumn>
    <tableColumn id="15" name="Consequence" dataDxfId="209" totalsRowDxfId="208">
      <calculatedColumnFormula>((R3*5)+(S3*5))</calculatedColumnFormula>
    </tableColumn>
    <tableColumn id="16" name="Ranking5" dataDxfId="207" totalsRowDxfId="206">
      <calculatedColumnFormula>RANK(Table5[[#This Row],[Consequence]],$T$3:$T$133)</calculatedColumnFormula>
    </tableColumn>
    <tableColumn id="19" name="Ranking6" dataDxfId="205" totalsRowDxfId="20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6" name="Table57" displayName="Table57" ref="A2:V18" totalsRowCount="1" headerRowDxfId="203" dataDxfId="201" headerRowBorderDxfId="202" tableBorderDxfId="200">
  <autoFilter ref="A2:V17"/>
  <sortState ref="A3:U323">
    <sortCondition ref="A2:A323"/>
  </sortState>
  <tableColumns count="22">
    <tableColumn id="22" name="Column1" dataDxfId="199" totalsRowDxfId="198"/>
    <tableColumn id="1" name="Region" dataDxfId="197" totalsRowDxfId="196"/>
    <tableColumn id="2" name="RC" dataDxfId="195" totalsRowDxfId="194"/>
    <tableColumn id="3" name="Pipeline" dataDxfId="193" totalsRowDxfId="192"/>
    <tableColumn id="18" name="worst case" dataDxfId="191" totalsRowDxfId="190">
      <calculatedColumnFormula>G85</calculatedColumnFormula>
    </tableColumn>
    <tableColumn id="17" name="acceptable criteria" dataDxfId="189" totalsRowDxfId="188">
      <calculatedColumnFormula>(N3*S3)</calculatedColumnFormula>
    </tableColumn>
    <tableColumn id="4" name="Risk Score" totalsRowFunction="custom" dataDxfId="187" totalsRowDxfId="186">
      <calculatedColumnFormula>Table57[[#This Row],[Probability]]*Table57[[#This Row],[Consequence]]</calculatedColumnFormula>
      <totalsRowFormula>COUNTIF(G3:G17,"&gt;1676.74")</totalsRowFormula>
    </tableColumn>
    <tableColumn id="5" name="Ranking" dataDxfId="185" totalsRowDxfId="184">
      <calculatedColumnFormula>RANK(Table57[[#This Row],[Risk Score]],$G$3:$G$123)</calculatedColumnFormula>
    </tableColumn>
    <tableColumn id="6" name="INTERNAL CORROSION" totalsRowFunction="custom" dataDxfId="183" totalsRowDxfId="182">
      <calculatedColumnFormula>VLOOKUP(C3,Table1[[#All],[RC]:[Total Internal Corrosion Score]],27,FALSE)</calculatedColumnFormula>
      <totalsRowFormula>COUNTIF(I3:I17,"&gt;36.11")</totalsRowFormula>
    </tableColumn>
    <tableColumn id="7" name="Ranking2" dataDxfId="181" totalsRowDxfId="180">
      <calculatedColumnFormula>RANK(Table57[[#This Row],[INTERNAL CORROSION]],$I$3:$I$17)</calculatedColumnFormula>
    </tableColumn>
    <tableColumn id="8" name="EXTERNAL CORROSION" totalsRowFunction="custom" dataDxfId="179" totalsRowDxfId="178">
      <calculatedColumnFormula>VLOOKUP(C3,Ext.Mo!$C$2:$AK$326,35,FALSE)</calculatedColumnFormula>
      <totalsRowFormula>COUNTIF(K3:K17,"&gt;27.08")</totalsRowFormula>
    </tableColumn>
    <tableColumn id="9" name="Ranking3" dataDxfId="177" totalsRowDxfId="176">
      <calculatedColumnFormula>RANK(Table57[[#This Row],[EXTERNAL CORROSION]],$K$3:$K$17)</calculatedColumnFormula>
    </tableColumn>
    <tableColumn id="10" name="THIRD PARTY INTERFERENCE" totalsRowFunction="custom" dataDxfId="175" totalsRowDxfId="174">
      <calculatedColumnFormula>VLOOKUP(Table57[[#This Row],[RC]],Table3[[RC]:[Total TPI Score10]],23,0)</calculatedColumnFormula>
      <totalsRowFormula>COUNTIF(M3:M17,"&gt;45")</totalsRowFormula>
    </tableColumn>
    <tableColumn id="11" name="Ranking4" dataDxfId="173" totalsRowDxfId="172">
      <calculatedColumnFormula>RANK(Table57[[#This Row],[THIRD PARTY INTERFERENCE]],$M$3:$M$17)</calculatedColumnFormula>
    </tableColumn>
    <tableColumn id="20" name="Loss  of ground support" dataDxfId="171" totalsRowDxfId="170">
      <calculatedColumnFormula>VLOOKUP(Table57[[#This Row],[RC]],LGS_Mo.!$C$5:$P$322,14,0)</calculatedColumnFormula>
    </tableColumn>
    <tableColumn id="21" name="Ranking43" dataDxfId="169" totalsRowDxfId="168">
      <calculatedColumnFormula>RANK(Table57[[#This Row],[Loss  of ground support]],$O$3:$O$17)</calculatedColumnFormula>
    </tableColumn>
    <tableColumn id="12" name="Probability" dataDxfId="167" totalsRowDxfId="166">
      <calculatedColumnFormula>(I3+K3+M3+Table57[[#This Row],[Loss  of ground support]])/4</calculatedColumnFormula>
    </tableColumn>
    <tableColumn id="13" name="C1 : Societal" dataDxfId="165" totalsRowDxfId="164">
      <calculatedColumnFormula>VLOOKUP(C3,consequence!$B$2:$K$302,10,FALSE)</calculatedColumnFormula>
    </tableColumn>
    <tableColumn id="14" name="C2 : Cost" dataDxfId="163" totalsRowDxfId="162">
      <calculatedColumnFormula>VLOOKUP(C3,consequence!B2:$K$302,9,FALSE)</calculatedColumnFormula>
    </tableColumn>
    <tableColumn id="15" name="Consequence" dataDxfId="161" totalsRowDxfId="160">
      <calculatedColumnFormula>((R3*5)+(S3*5))</calculatedColumnFormula>
    </tableColumn>
    <tableColumn id="16" name="Ranking5" dataDxfId="159" totalsRowDxfId="158">
      <calculatedColumnFormula>RANK(Table57[[#This Row],[Consequence]],$T$3:$T$17)</calculatedColumnFormula>
    </tableColumn>
    <tableColumn id="19" name="Ranking6" dataDxfId="157" totalsRowDxfId="15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:AB327" totalsRowShown="0" headerRowDxfId="149" headerRowBorderDxfId="148" tableBorderDxfId="147">
  <autoFilter ref="A2:AB327"/>
  <tableColumns count="28">
    <tableColumn id="1" name="Region" dataDxfId="146"/>
    <tableColumn id="2" name="RC" dataDxfId="145"/>
    <tableColumn id="3" name="Pipeline" dataDxfId="144"/>
    <tableColumn id="4" name="Startup Year" dataDxfId="143"/>
    <tableColumn id="5" name="Dew Point Upset" dataDxfId="142"/>
    <tableColumn id="6" name="Internal Coating" dataDxfId="141"/>
    <tableColumn id="7" name="Failure due to IC" dataDxfId="140"/>
    <tableColumn id="8" name="Inhibitor Efficiency" dataDxfId="139"/>
    <tableColumn id="9" name="Monitor" dataDxfId="138"/>
    <tableColumn id="10" name="CO2 content" dataDxfId="137"/>
    <tableColumn id="11" name="H2S content" dataDxfId="136"/>
    <tableColumn id="12" name="Presence of liquid" dataDxfId="135"/>
    <tableColumn id="13" name="Internal Integrity Assessment" dataDxfId="134"/>
    <tableColumn id="14" name="Internal Corrosion rate" dataDxfId="133"/>
    <tableColumn id="15" name="Pipeline Age" dataDxfId="132"/>
    <tableColumn id="16" name="Column1" dataDxfId="131"/>
    <tableColumn id="17" name="Dew Point Upset2" dataDxfId="130"/>
    <tableColumn id="18" name="Internal Coating3" dataDxfId="129"/>
    <tableColumn id="19" name="Failure due to IC4" dataDxfId="128"/>
    <tableColumn id="20" name="Inhibitor Efficiency5" dataDxfId="127"/>
    <tableColumn id="21" name="Monitor6" dataDxfId="126"/>
    <tableColumn id="22" name="CO2 content7" dataDxfId="125"/>
    <tableColumn id="23" name="H2S content8" dataDxfId="124"/>
    <tableColumn id="24" name="Presence of liquid9" dataDxfId="123"/>
    <tableColumn id="25" name="Internal Integrity Assessment10" dataDxfId="122"/>
    <tableColumn id="26" name="Internal Corrosion rate11" dataDxfId="121"/>
    <tableColumn id="27" name="Pipeline Age12" dataDxfId="120"/>
    <tableColumn id="28" name="Total Internal Corrosion Score" dataDxfId="1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:AJ327" totalsRowCount="1" headerRowDxfId="118" dataDxfId="116" headerRowBorderDxfId="117" tableBorderDxfId="115" totalsRowBorderDxfId="114">
  <autoFilter ref="A2:AJ326"/>
  <tableColumns count="36">
    <tableColumn id="1" name="Region" dataDxfId="113" totalsRowDxfId="112"/>
    <tableColumn id="2" name="Column1" dataDxfId="111" totalsRowDxfId="110"/>
    <tableColumn id="3" name="RC" dataDxfId="109" totalsRowDxfId="108"/>
    <tableColumn id="4" name="Pipeline" dataDxfId="107" totalsRowDxfId="106"/>
    <tableColumn id="5" name="Pipe diameter" dataDxfId="105" totalsRowDxfId="104"/>
    <tableColumn id="6" name="Startup Year" dataDxfId="103" totalsRowDxfId="102"/>
    <tableColumn id="7" name="Age" dataDxfId="101" totalsRowDxfId="100">
      <calculatedColumnFormula>2013-Table2[[#This Row],[Startup Year]]</calculatedColumnFormula>
    </tableColumn>
    <tableColumn id="8" name="Coating Type" dataDxfId="99" totalsRowDxfId="98"/>
    <tableColumn id="9" name="CP Level within NACE Criteria" dataDxfId="97" totalsRowDxfId="96"/>
    <tableColumn id="10" name="Failure due to EC" dataDxfId="95" totalsRowDxfId="94"/>
    <tableColumn id="11" name="No. of Stray current point or Current flow to other buried metal" dataDxfId="93" totalsRowDxfId="92"/>
    <tableColumn id="12" name="AC intereference" dataDxfId="91" totalsRowDxfId="90"/>
    <tableColumn id="13" name="Coating Condition" dataDxfId="89" totalsRowDxfId="88"/>
    <tableColumn id="14" name="Coating Application" dataDxfId="87" totalsRowDxfId="86"/>
    <tableColumn id="15" name="Coating defect survey" dataDxfId="85" totalsRowDxfId="84"/>
    <tableColumn id="16" name="Soil corrosivity" dataDxfId="83" totalsRowDxfId="82"/>
    <tableColumn id="17" name="External Corrosion rate" dataDxfId="81" totalsRowDxfId="80"/>
    <tableColumn id="18" name="Pipeline Age" dataDxfId="79" totalsRowDxfId="78"/>
    <tableColumn id="19" name="Total External Corrosion Score" totalsRowFunction="custom" dataDxfId="77" totalsRowDxfId="76">
      <calculatedColumnFormula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calculatedColumnFormula>
      <totalsRowFormula>COUNTIF(S3:S324,"&gt;32.15")</totalsRowFormula>
    </tableColumn>
    <tableColumn id="32" name="Column5" totalsRowDxfId="75"/>
    <tableColumn id="20" name="Column2" dataDxfId="74" totalsRowDxfId="73"/>
    <tableColumn id="21" name="Coating Type3" dataDxfId="72" totalsRowDxfId="71">
      <calculatedColumnFormula>VLOOKUP(H3,'Ext. Pa'!$B$3:$C$77,2,FALSE)</calculatedColumnFormula>
    </tableColumn>
    <tableColumn id="22" name="CP Level within NACE Criteria4" dataDxfId="70" totalsRowDxfId="69">
      <calculatedColumnFormula>VLOOKUP(I3,'Ext. Pa'!$B$3:$C$77,2,FALSE)</calculatedColumnFormula>
    </tableColumn>
    <tableColumn id="23" name="Failure due to EC5" dataDxfId="68" totalsRowDxfId="67">
      <calculatedColumnFormula>VLOOKUP(J3,'Ext. Pa'!$B$3:$C$77,2,FALSE)</calculatedColumnFormula>
    </tableColumn>
    <tableColumn id="24" name="No. of Stray current point or Current flow to other buried metal6" dataDxfId="66" totalsRowDxfId="65">
      <calculatedColumnFormula>VLOOKUP(K3,'Ext. Pa'!$B$3:$C$77,2,FALSE)</calculatedColumnFormula>
    </tableColumn>
    <tableColumn id="25" name="AC intereference7" dataDxfId="64" totalsRowDxfId="63">
      <calculatedColumnFormula>VLOOKUP(L3,'Ext. Pa'!$B$3:$C$77,2,FALSE)</calculatedColumnFormula>
    </tableColumn>
    <tableColumn id="26" name="Coating Condition8" dataDxfId="62" totalsRowDxfId="61">
      <calculatedColumnFormula>VLOOKUP(M3,'Ext. Pa'!$B$3:$C$77,2,FALSE)</calculatedColumnFormula>
    </tableColumn>
    <tableColumn id="27" name="Coating Application9" dataDxfId="60" totalsRowDxfId="59">
      <calculatedColumnFormula>VLOOKUP(N3,'Ext. Pa'!$B$3:$C$77,2,FALSE)</calculatedColumnFormula>
    </tableColumn>
    <tableColumn id="28" name="Coating defect survey10" dataDxfId="58" totalsRowDxfId="57">
      <calculatedColumnFormula>VLOOKUP(O3,'Ext. Pa'!$B$3:$C$77,2,FALSE)</calculatedColumnFormula>
    </tableColumn>
    <tableColumn id="29" name="Soil corrosivity11" dataDxfId="56" totalsRowDxfId="55">
      <calculatedColumnFormula>VLOOKUP(P3,'Ext. Pa'!$B$3:$C$77,2,FALSE)</calculatedColumnFormula>
    </tableColumn>
    <tableColumn id="30" name="External Corrosion rate12" dataDxfId="54" totalsRowDxfId="53">
      <calculatedColumnFormula>VLOOKUP(Q3,'Ext. Pa'!$B$3:$C$77,2,FALSE)</calculatedColumnFormula>
    </tableColumn>
    <tableColumn id="31" name="Pipeline Age13" dataDxfId="52" totalsRowDxfId="51">
      <calculatedColumnFormula>IF(G3&lt;40,(G3)/4,40)</calculatedColumnFormula>
    </tableColumn>
    <tableColumn id="33" name="Coating defect survey2" dataDxfId="50" totalsRowDxfId="49">
      <calculatedColumnFormula>Table2[[#This Row],[Coating defect survey10]]</calculatedColumnFormula>
    </tableColumn>
    <tableColumn id="34" name="CP level" dataDxfId="48" totalsRowDxfId="47">
      <calculatedColumnFormula>Table2[[#This Row],[CP Level within NACE Criteria4]]</calculatedColumnFormula>
    </tableColumn>
    <tableColumn id="35" name="Column3" dataDxfId="46" totalsRowDxfId="45">
      <calculatedColumnFormula>IF(Table2[[#This Row],[CP level]]&gt;9.9,1,0)</calculatedColumnFormula>
    </tableColumn>
    <tableColumn id="36" name="Column4" dataDxfId="44" totalsRowDxfId="43">
      <calculatedColumnFormula>Table2[[#This Row],[Column3]]*Table2[[#This Row],[Coating defect survey2]]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3" displayName="Table3" ref="A2:X322" totalsRowShown="0" headerRowDxfId="42" headerRowBorderDxfId="41" tableBorderDxfId="40" totalsRowBorderDxfId="39">
  <autoFilter ref="A2:X322">
    <filterColumn colId="0">
      <filters>
        <filter val="9"/>
      </filters>
    </filterColumn>
  </autoFilter>
  <tableColumns count="24">
    <tableColumn id="1" name="Region" dataDxfId="38"/>
    <tableColumn id="2" name="RC" dataDxfId="37"/>
    <tableColumn id="3" name="Pipeline" dataDxfId="36"/>
    <tableColumn id="4" name="Pipe diameter" dataDxfId="35"/>
    <tableColumn id="5" name="Length" dataDxfId="34"/>
    <tableColumn id="6" name="Startup Year" dataDxfId="33"/>
    <tableColumn id="7" name="Depth of cover" dataDxfId="32"/>
    <tableColumn id="8" name="Additional protection" dataDxfId="31"/>
    <tableColumn id="9" name="Failure due to TPI" dataDxfId="30"/>
    <tableColumn id="10" name="Activity Level" dataDxfId="29"/>
    <tableColumn id="11" name="Patrol frequency" dataDxfId="28"/>
    <tableColumn id="12" name="Proxutil" dataDxfId="27"/>
    <tableColumn id="13" name="ROW" dataDxfId="26"/>
    <tableColumn id="14" name="ROW condition" dataDxfId="25"/>
    <tableColumn id="15" name="Total TPI Score" dataDxfId="24"/>
    <tableColumn id="16" name="Depth of cover2" dataDxfId="23">
      <calculatedColumnFormula>VLOOKUP(Table3[[#This Row],[Depth of cover]],'TPI. Pa.'!$B$3:$C$52,2,0)</calculatedColumnFormula>
    </tableColumn>
    <tableColumn id="17" name="Additional protection2" dataDxfId="22">
      <calculatedColumnFormula>VLOOKUP(Table3[[#This Row],[Additional protection]],'TPI. Pa.'!$B$3:$C$52,2,0)</calculatedColumnFormula>
    </tableColumn>
    <tableColumn id="18" name="Failure due to TPI2" dataDxfId="21">
      <calculatedColumnFormula>VLOOKUP(Table3[[#This Row],[Failure due to TPI]],'TPI. Pa.'!$B$3:$C$52,2,0)</calculatedColumnFormula>
    </tableColumn>
    <tableColumn id="19" name="Activity Level5" dataDxfId="20">
      <calculatedColumnFormula>VLOOKUP(Table3[[#This Row],[Activity Level]],'TPI. Pa.'!$B$3:$C$52,2,0)</calculatedColumnFormula>
    </tableColumn>
    <tableColumn id="20" name="Patrol frequency6" dataDxfId="19">
      <calculatedColumnFormula>VLOOKUP(Table3[[#This Row],[Patrol frequency]],'TPI. Pa.'!$B$3:$C$52,2,0)</calculatedColumnFormula>
    </tableColumn>
    <tableColumn id="21" name="Proxutil7" dataDxfId="18">
      <calculatedColumnFormula>VLOOKUP(Table3[[#This Row],[Proxutil]],'TPI. Pa.'!$B$3:$C$52,2,0)</calculatedColumnFormula>
    </tableColumn>
    <tableColumn id="22" name="ROW8" dataDxfId="17">
      <calculatedColumnFormula>VLOOKUP(Table3[[#This Row],[ROW]],'TPI. Pa.'!$B$3:$C$52,2,0)</calculatedColumnFormula>
    </tableColumn>
    <tableColumn id="23" name="ROW condition9" dataDxfId="16">
      <calculatedColumnFormula>VLOOKUP(Table3[[#This Row],[ROW condition]],'TPI. Pa.'!$B$3:$C$52,2,0)</calculatedColumnFormula>
    </tableColumn>
    <tableColumn id="24" name="Total TPI Score10" dataDxfId="15">
      <calculatedColumnFormula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2:H302" totalsRowShown="0" headerRowDxfId="14" dataDxfId="13" tableBorderDxfId="12">
  <autoFilter ref="A2:H302">
    <filterColumn colId="1">
      <filters blank="1"/>
    </filterColumn>
  </autoFilter>
  <tableColumns count="8">
    <tableColumn id="1" name="Region" dataDxfId="11"/>
    <tableColumn id="2" name="RC" dataDxfId="10"/>
    <tableColumn id="3" name="Pipeline" dataDxfId="9"/>
    <tableColumn id="4" name="Pipe diameter" dataDxfId="8"/>
    <tableColumn id="5" name="Length" dataDxfId="7"/>
    <tableColumn id="6" name="Startup Year" dataDxfId="6"/>
    <tableColumn id="7" name="Population density" dataDxfId="5"/>
    <tableColumn id="8" name="Gas Flow MMSCFD _x000a_(Loss of revenue)" dataDxfId="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id="3" name="Table44" displayName="Table44" ref="C2:P324" totalsRowShown="0" headerRowDxfId="3">
  <autoFilter ref="C2:P324"/>
  <tableColumns count="14">
    <tableColumn id="1" name="RC"/>
    <tableColumn id="2" name="Start"/>
    <tableColumn id="4" name="Region" dataDxfId="2"/>
    <tableColumn id="5" name="Dia"/>
    <tableColumn id="6" name="Length"/>
    <tableColumn id="7" name="Startup Year" dataDxfId="1"/>
    <tableColumn id="8" name="Flooding"/>
    <tableColumn id="9" name="Soil stability"/>
    <tableColumn id="10" name="Exposed pipeline section"/>
    <tableColumn id="12" name="Column1"/>
    <tableColumn id="13" name="Soil erosion">
      <calculatedColumnFormula>VLOOKUP(I3,'[3]LGS Pa.'!$B$3:$C$16,2,FALSE)</calculatedColumnFormula>
    </tableColumn>
    <tableColumn id="14" name="Soil stability2">
      <calculatedColumnFormula>VLOOKUP(J3,'[3]LGS Pa.'!$B$3:$C$16,2,FALSE)</calculatedColumnFormula>
    </tableColumn>
    <tableColumn id="15" name="Exposed pipeline section3">
      <calculatedColumnFormula>VLOOKUP(K3,'[3]LGS Pa.'!$B$3:$C$16,2,FALSE)</calculatedColumnFormula>
    </tableColumn>
    <tableColumn id="16" name="Total  LGS Score" dataDxfId="0">
      <calculatedColumnFormula>($I$3*Table44[[#This Row],[Soil erosion]]+$J$3*Table44[[#This Row],[Soil stability2]]+$K$3*Table44[[#This Row],[Exposed pipeline section3]])/3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Executive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320"/>
  <sheetViews>
    <sheetView tabSelected="1" topLeftCell="B1" zoomScale="85" zoomScaleNormal="85" workbookViewId="0">
      <selection activeCell="B1" sqref="A1:XFD1"/>
    </sheetView>
  </sheetViews>
  <sheetFormatPr defaultRowHeight="14.25"/>
  <cols>
    <col min="1" max="1" width="9.125" hidden="1" customWidth="1"/>
    <col min="2" max="2" width="11.625" bestFit="1" customWidth="1"/>
    <col min="3" max="3" width="10" style="16" bestFit="1" customWidth="1"/>
    <col min="4" max="4" width="22.125" style="16" hidden="1" customWidth="1"/>
    <col min="5" max="5" width="11.875" style="14" hidden="1" customWidth="1"/>
    <col min="6" max="6" width="12.625" hidden="1" customWidth="1"/>
    <col min="7" max="7" width="13.875" customWidth="1"/>
    <col min="8" max="8" width="18.125" hidden="1" customWidth="1"/>
    <col min="9" max="9" width="11.625" customWidth="1"/>
    <col min="10" max="10" width="18.125" hidden="1" customWidth="1"/>
    <col min="11" max="11" width="11.625" customWidth="1"/>
    <col min="12" max="12" width="17.625" hidden="1" customWidth="1"/>
    <col min="13" max="13" width="11.625" customWidth="1"/>
    <col min="14" max="14" width="11.625" style="14" hidden="1" customWidth="1"/>
    <col min="15" max="15" width="11.625" style="14" customWidth="1"/>
    <col min="16" max="16" width="13.125" hidden="1" customWidth="1"/>
    <col min="17" max="17" width="14.375" hidden="1" customWidth="1"/>
    <col min="18" max="18" width="11" hidden="1" customWidth="1"/>
    <col min="19" max="19" width="15" hidden="1" customWidth="1"/>
    <col min="20" max="20" width="11.625" hidden="1" customWidth="1"/>
    <col min="21" max="22" width="8.625" hidden="1" customWidth="1"/>
    <col min="23" max="23" width="9" customWidth="1"/>
    <col min="24" max="24" width="9" hidden="1" customWidth="1"/>
    <col min="25" max="28" width="0" hidden="1" customWidth="1"/>
  </cols>
  <sheetData>
    <row r="2" spans="1:25" ht="138.6" customHeight="1">
      <c r="A2" s="255" t="s">
        <v>479</v>
      </c>
      <c r="B2" s="46" t="s">
        <v>195</v>
      </c>
      <c r="C2" s="54" t="s">
        <v>196</v>
      </c>
      <c r="D2" s="46" t="s">
        <v>87</v>
      </c>
      <c r="E2" s="68" t="s">
        <v>548</v>
      </c>
      <c r="F2" s="68" t="s">
        <v>538</v>
      </c>
      <c r="G2" s="32" t="s">
        <v>512</v>
      </c>
      <c r="H2" s="32" t="s">
        <v>513</v>
      </c>
      <c r="I2" s="55" t="s">
        <v>514</v>
      </c>
      <c r="J2" s="32" t="s">
        <v>529</v>
      </c>
      <c r="K2" s="55" t="s">
        <v>515</v>
      </c>
      <c r="L2" s="32" t="s">
        <v>530</v>
      </c>
      <c r="M2" s="56" t="s">
        <v>516</v>
      </c>
      <c r="N2" s="32" t="s">
        <v>531</v>
      </c>
      <c r="O2" s="32" t="s">
        <v>523</v>
      </c>
      <c r="P2" s="32" t="s">
        <v>970</v>
      </c>
      <c r="Q2" s="32" t="s">
        <v>517</v>
      </c>
      <c r="R2" s="32" t="s">
        <v>518</v>
      </c>
      <c r="S2" s="32" t="s">
        <v>519</v>
      </c>
      <c r="T2" s="32" t="s">
        <v>520</v>
      </c>
      <c r="U2" s="32" t="s">
        <v>532</v>
      </c>
      <c r="V2" s="32" t="s">
        <v>856</v>
      </c>
      <c r="X2" t="s">
        <v>944</v>
      </c>
      <c r="Y2" t="s">
        <v>980</v>
      </c>
    </row>
    <row r="3" spans="1:25" ht="25.5">
      <c r="A3" s="84">
        <v>1</v>
      </c>
      <c r="B3" s="84">
        <v>9</v>
      </c>
      <c r="C3" s="81">
        <v>4470</v>
      </c>
      <c r="D3" s="82" t="s">
        <v>341</v>
      </c>
      <c r="E3" s="105">
        <f>F468</f>
        <v>0</v>
      </c>
      <c r="F3" s="16">
        <v>1490.514684388889</v>
      </c>
      <c r="G3" s="70">
        <f>Table5[[#This Row],[Probability]]*Table5[[#This Row],[Consequence]]</f>
        <v>1466.2087537878788</v>
      </c>
      <c r="H3" s="16">
        <f>RANK(Table5[[#This Row],[Risk Score]],$G$62:$G$312)</f>
        <v>23</v>
      </c>
      <c r="I3" s="16">
        <f>VLOOKUP(C3,Table1[[#All],[RC]:[Total Internal Corrosion Score]],27,FALSE)</f>
        <v>34.166666666666664</v>
      </c>
      <c r="J3" s="16">
        <f>RANK(Table5[[#This Row],[INTERNAL CORROSION]],$I$62:$I$312)</f>
        <v>8</v>
      </c>
      <c r="K3" s="16">
        <f>VLOOKUP(C3,Ext.Mo!$C$2:$AK$326,35,FALSE)</f>
        <v>19.493670000000002</v>
      </c>
      <c r="L3" s="16">
        <f>RANK(Table5[[#This Row],[EXTERNAL CORROSION]],$K$62:$K$312)</f>
        <v>3</v>
      </c>
      <c r="M3" s="16">
        <f>VLOOKUP(Table5[[#This Row],[RC]],Table3[[RC]:[Total TPI Score10]],23,0)</f>
        <v>43.63636363636364</v>
      </c>
      <c r="N3" s="9">
        <f>RANK(Table5[[#This Row],[THIRD PARTY INTERFERENCE]],$M$62:$M$312)</f>
        <v>2</v>
      </c>
      <c r="O3" s="9">
        <f>VLOOKUP(Table5[[#This Row],[RC]],LGS_Mo.!$C$5:$P$322,14,0)</f>
        <v>20</v>
      </c>
      <c r="P3" s="9">
        <f>RANK(Table5[[#This Row],[Loss  of ground support]],$O$62:$O$312)</f>
        <v>15</v>
      </c>
      <c r="Q3" s="9">
        <f>(I3+K3+M3+Table5[[#This Row],[Loss  of ground support]])/4</f>
        <v>29.324175075757577</v>
      </c>
      <c r="R3" s="9">
        <f>VLOOKUP(C3,consequence!$B$2:$K$302,10,FALSE)</f>
        <v>3</v>
      </c>
      <c r="S3" s="9">
        <f>VLOOKUP(C3,consequence!B258:$K$302,9,FALSE)</f>
        <v>7</v>
      </c>
      <c r="T3" s="115">
        <f t="shared" ref="T3:T34" si="0">((R3*5)+(S3*5))</f>
        <v>50</v>
      </c>
      <c r="U3" s="116">
        <f>RANK(Table5[[#This Row],[Consequence]],$T$62:$T$264)</f>
        <v>1</v>
      </c>
      <c r="V3" s="9"/>
      <c r="X3" s="14">
        <f>J587</f>
        <v>0</v>
      </c>
      <c r="Y3" s="14">
        <v>19.493670886075947</v>
      </c>
    </row>
    <row r="4" spans="1:25">
      <c r="A4" s="256" t="s">
        <v>981</v>
      </c>
      <c r="B4" s="80">
        <v>2</v>
      </c>
      <c r="C4" s="81">
        <v>6611</v>
      </c>
      <c r="D4" s="82"/>
      <c r="E4" s="57" t="e">
        <f>E211</f>
        <v>#REF!</v>
      </c>
      <c r="F4" s="16">
        <v>1490.514684388889</v>
      </c>
      <c r="G4" s="16">
        <f>Table5[[#This Row],[Probability]]*Table5[[#This Row],[Consequence]]</f>
        <v>1466.2087537878788</v>
      </c>
      <c r="H4" s="16">
        <f>RANK(Table5[[#This Row],[Risk Score]],$G$62:$G$312)</f>
        <v>23</v>
      </c>
      <c r="I4" s="16">
        <f>VLOOKUP(C4,Table1[[#All],[RC]:[Total Internal Corrosion Score]],27,FALSE)</f>
        <v>34.166666666666664</v>
      </c>
      <c r="J4" s="16">
        <f>RANK(Table5[[#This Row],[INTERNAL CORROSION]],$I$62:$I$312)</f>
        <v>8</v>
      </c>
      <c r="K4" s="16">
        <f>VLOOKUP(C4,Ext.Mo!$C$2:$AK$326,35,FALSE)</f>
        <v>19.493670000000002</v>
      </c>
      <c r="L4" s="16">
        <f>RANK(Table5[[#This Row],[EXTERNAL CORROSION]],$K$62:$K$312)</f>
        <v>3</v>
      </c>
      <c r="M4" s="16">
        <f>VLOOKUP(Table5[[#This Row],[RC]],Table3[[RC]:[Total TPI Score10]],23,0)</f>
        <v>43.63636363636364</v>
      </c>
      <c r="N4" s="16">
        <f>RANK(Table5[[#This Row],[THIRD PARTY INTERFERENCE]],$M$62:$M$312)</f>
        <v>2</v>
      </c>
      <c r="O4" s="16">
        <f>VLOOKUP(Table5[[#This Row],[RC]],LGS_Mo.!$C$5:$P$322,14,0)</f>
        <v>20</v>
      </c>
      <c r="P4" s="16">
        <f>RANK(Table5[[#This Row],[Loss  of ground support]],$O$62:$O$312)</f>
        <v>15</v>
      </c>
      <c r="Q4" s="16">
        <f>(I4+K4+M4+Table5[[#This Row],[Loss  of ground support]])/4</f>
        <v>29.324175075757577</v>
      </c>
      <c r="R4" s="16">
        <v>7</v>
      </c>
      <c r="S4" s="16">
        <v>3</v>
      </c>
      <c r="T4" s="16">
        <f t="shared" si="0"/>
        <v>50</v>
      </c>
      <c r="U4" s="16">
        <f>RANK(Table5[[#This Row],[Consequence]],$T$62:$T$264)</f>
        <v>1</v>
      </c>
      <c r="V4" s="16"/>
      <c r="X4" s="14">
        <f>J375</f>
        <v>0</v>
      </c>
      <c r="Y4" s="14">
        <v>19.493670886075947</v>
      </c>
    </row>
    <row r="5" spans="1:25">
      <c r="A5" s="256" t="s">
        <v>981</v>
      </c>
      <c r="B5" s="80">
        <v>2</v>
      </c>
      <c r="C5" s="81">
        <v>661301</v>
      </c>
      <c r="D5" s="82" t="s">
        <v>617</v>
      </c>
      <c r="E5" s="57" t="e">
        <f>E4</f>
        <v>#REF!</v>
      </c>
      <c r="F5" s="16">
        <v>1490.514684388889</v>
      </c>
      <c r="G5" s="16">
        <f>Table5[[#This Row],[Probability]]*Table5[[#This Row],[Consequence]]</f>
        <v>1466.2087537878788</v>
      </c>
      <c r="H5" s="16">
        <f>RANK(Table5[[#This Row],[Risk Score]],$G$62:$G$312)</f>
        <v>23</v>
      </c>
      <c r="I5" s="16">
        <f>VLOOKUP(C5,Table1[[#All],[RC]:[Total Internal Corrosion Score]],27,FALSE)</f>
        <v>34.166666666666664</v>
      </c>
      <c r="J5" s="16">
        <f>RANK(Table5[[#This Row],[INTERNAL CORROSION]],$I$62:$I$312)</f>
        <v>8</v>
      </c>
      <c r="K5" s="16">
        <f>VLOOKUP(C5,Ext.Mo!$C$2:$AK$326,35,FALSE)</f>
        <v>19.493670000000002</v>
      </c>
      <c r="L5" s="16">
        <f>RANK(Table5[[#This Row],[EXTERNAL CORROSION]],$K$62:$K$312)</f>
        <v>3</v>
      </c>
      <c r="M5" s="16">
        <f>VLOOKUP(Table5[[#This Row],[RC]],Table3[[RC]:[Total TPI Score10]],23,0)</f>
        <v>43.63636363636364</v>
      </c>
      <c r="N5" s="16">
        <f>RANK(Table5[[#This Row],[THIRD PARTY INTERFERENCE]],$M$62:$M$312)</f>
        <v>2</v>
      </c>
      <c r="O5" s="16">
        <f>VLOOKUP(Table5[[#This Row],[RC]],LGS_Mo.!$C$5:$P$322,14,0)</f>
        <v>20</v>
      </c>
      <c r="P5" s="16">
        <f>RANK(Table5[[#This Row],[Loss  of ground support]],$O$62:$O$312)</f>
        <v>15</v>
      </c>
      <c r="Q5" s="16">
        <f>(I5+K5+M5+Table5[[#This Row],[Loss  of ground support]])/4</f>
        <v>29.324175075757577</v>
      </c>
      <c r="R5" s="16">
        <v>7</v>
      </c>
      <c r="S5" s="16">
        <v>3</v>
      </c>
      <c r="T5" s="16">
        <f t="shared" si="0"/>
        <v>50</v>
      </c>
      <c r="U5" s="16">
        <f>RANK(Table5[[#This Row],[Consequence]],$T$62:$T$264)</f>
        <v>1</v>
      </c>
      <c r="V5" s="16"/>
      <c r="X5" s="14">
        <f>J376</f>
        <v>0</v>
      </c>
      <c r="Y5" s="14">
        <v>19.493670886075947</v>
      </c>
    </row>
    <row r="6" spans="1:25">
      <c r="A6" s="256" t="s">
        <v>981</v>
      </c>
      <c r="B6" s="84">
        <v>2</v>
      </c>
      <c r="C6" s="81">
        <v>66111</v>
      </c>
      <c r="D6" s="82" t="s">
        <v>256</v>
      </c>
      <c r="E6" s="57" t="e">
        <f>E65</f>
        <v>#REF!</v>
      </c>
      <c r="F6" s="16">
        <v>1490.514684388889</v>
      </c>
      <c r="G6" s="16">
        <f>Table5[[#This Row],[Probability]]*Table5[[#This Row],[Consequence]]</f>
        <v>1466.2087537878788</v>
      </c>
      <c r="H6" s="16">
        <f>RANK(Table5[[#This Row],[Risk Score]],$G$62:$G$312)</f>
        <v>23</v>
      </c>
      <c r="I6" s="16">
        <f>VLOOKUP(C6,Table1[[#All],[RC]:[Total Internal Corrosion Score]],27,FALSE)</f>
        <v>34.166666666666664</v>
      </c>
      <c r="J6" s="16">
        <f>RANK(Table5[[#This Row],[INTERNAL CORROSION]],$I$62:$I$312)</f>
        <v>8</v>
      </c>
      <c r="K6" s="16">
        <f>VLOOKUP(C6,Ext.Mo!$C$2:$AK$326,35,FALSE)</f>
        <v>19.493670000000002</v>
      </c>
      <c r="L6" s="16">
        <f>RANK(Table5[[#This Row],[EXTERNAL CORROSION]],$K$62:$K$312)</f>
        <v>3</v>
      </c>
      <c r="M6" s="16">
        <f>VLOOKUP(Table5[[#This Row],[RC]],Table3[[RC]:[Total TPI Score10]],23,0)</f>
        <v>43.63636363636364</v>
      </c>
      <c r="N6" s="16">
        <f>RANK(Table5[[#This Row],[THIRD PARTY INTERFERENCE]],$M$62:$M$312)</f>
        <v>2</v>
      </c>
      <c r="O6" s="16">
        <f>VLOOKUP(Table5[[#This Row],[RC]],LGS_Mo.!$C$5:$P$322,14,0)</f>
        <v>20</v>
      </c>
      <c r="P6" s="16">
        <f>RANK(Table5[[#This Row],[Loss  of ground support]],$O$62:$O$312)</f>
        <v>15</v>
      </c>
      <c r="Q6" s="16">
        <f>(I6+K6+M6+Table5[[#This Row],[Loss  of ground support]])/4</f>
        <v>29.324175075757577</v>
      </c>
      <c r="R6" s="16">
        <v>7</v>
      </c>
      <c r="S6" s="16">
        <v>3</v>
      </c>
      <c r="T6" s="16">
        <f t="shared" si="0"/>
        <v>50</v>
      </c>
      <c r="U6" s="16">
        <f>RANK(Table5[[#This Row],[Consequence]],$T$62:$T$264)</f>
        <v>1</v>
      </c>
      <c r="V6" s="16"/>
      <c r="X6" s="14">
        <f t="shared" ref="X6:X11" si="1">J384</f>
        <v>0</v>
      </c>
      <c r="Y6" s="14">
        <v>19.493670886075947</v>
      </c>
    </row>
    <row r="7" spans="1:25">
      <c r="A7" s="256" t="s">
        <v>981</v>
      </c>
      <c r="B7" s="80">
        <v>2</v>
      </c>
      <c r="C7" s="81">
        <v>6611102</v>
      </c>
      <c r="D7" s="82"/>
      <c r="E7" s="57" t="e">
        <f>E6</f>
        <v>#REF!</v>
      </c>
      <c r="F7" s="16">
        <v>1490.514684388889</v>
      </c>
      <c r="G7" s="16">
        <f>Table5[[#This Row],[Probability]]*Table5[[#This Row],[Consequence]]</f>
        <v>1466.2087537878788</v>
      </c>
      <c r="H7" s="16">
        <f>RANK(Table5[[#This Row],[Risk Score]],$G$62:$G$312)</f>
        <v>23</v>
      </c>
      <c r="I7" s="16">
        <f>VLOOKUP(C7,Table1[[#All],[RC]:[Total Internal Corrosion Score]],27,FALSE)</f>
        <v>34.166666666666664</v>
      </c>
      <c r="J7" s="16">
        <f>RANK(Table5[[#This Row],[INTERNAL CORROSION]],$I$62:$I$312)</f>
        <v>8</v>
      </c>
      <c r="K7" s="16">
        <f>VLOOKUP(C7,Ext.Mo!$C$2:$AK$326,35,FALSE)</f>
        <v>19.493670000000002</v>
      </c>
      <c r="L7" s="16">
        <f>RANK(Table5[[#This Row],[EXTERNAL CORROSION]],$K$62:$K$312)</f>
        <v>3</v>
      </c>
      <c r="M7" s="16">
        <f>VLOOKUP(Table5[[#This Row],[RC]],Table3[[RC]:[Total TPI Score10]],23,0)</f>
        <v>43.63636363636364</v>
      </c>
      <c r="N7" s="16">
        <f>RANK(Table5[[#This Row],[THIRD PARTY INTERFERENCE]],$M$62:$M$312)</f>
        <v>2</v>
      </c>
      <c r="O7" s="16">
        <f>VLOOKUP(Table5[[#This Row],[RC]],LGS_Mo.!$C$5:$P$322,14,0)</f>
        <v>20</v>
      </c>
      <c r="P7" s="16">
        <f>RANK(Table5[[#This Row],[Loss  of ground support]],$O$62:$O$312)</f>
        <v>15</v>
      </c>
      <c r="Q7" s="16">
        <f>(I7+K7+M7+Table5[[#This Row],[Loss  of ground support]])/4</f>
        <v>29.324175075757577</v>
      </c>
      <c r="R7" s="16">
        <v>7</v>
      </c>
      <c r="S7" s="16">
        <v>3</v>
      </c>
      <c r="T7" s="16">
        <f t="shared" si="0"/>
        <v>50</v>
      </c>
      <c r="U7" s="16">
        <f>RANK(Table5[[#This Row],[Consequence]],$T$62:$T$264)</f>
        <v>1</v>
      </c>
      <c r="V7" s="16"/>
      <c r="X7" s="14">
        <f t="shared" si="1"/>
        <v>0</v>
      </c>
      <c r="Y7" s="14">
        <v>19.493670886075947</v>
      </c>
    </row>
    <row r="8" spans="1:25">
      <c r="A8" s="256" t="s">
        <v>981</v>
      </c>
      <c r="B8" s="87">
        <v>2</v>
      </c>
      <c r="C8" s="88">
        <v>661110201</v>
      </c>
      <c r="D8" s="89" t="s">
        <v>711</v>
      </c>
      <c r="E8" s="57" t="e">
        <f>E7</f>
        <v>#REF!</v>
      </c>
      <c r="F8" s="16">
        <v>1490.514684388889</v>
      </c>
      <c r="G8" s="16">
        <f>Table5[[#This Row],[Probability]]*Table5[[#This Row],[Consequence]]</f>
        <v>1466.2087537878788</v>
      </c>
      <c r="H8" s="16">
        <f>RANK(Table5[[#This Row],[Risk Score]],$G$62:$G$312)</f>
        <v>23</v>
      </c>
      <c r="I8" s="16">
        <f>VLOOKUP(C8,Table1[[#All],[RC]:[Total Internal Corrosion Score]],27,FALSE)</f>
        <v>34.166666666666664</v>
      </c>
      <c r="J8" s="16">
        <f>RANK(Table5[[#This Row],[INTERNAL CORROSION]],$I$62:$I$312)</f>
        <v>8</v>
      </c>
      <c r="K8" s="16">
        <f>VLOOKUP(C8,Ext.Mo!$C$2:$AK$326,35,FALSE)</f>
        <v>19.493670000000002</v>
      </c>
      <c r="L8" s="16">
        <f>RANK(Table5[[#This Row],[EXTERNAL CORROSION]],$K$62:$K$312)</f>
        <v>3</v>
      </c>
      <c r="M8" s="16">
        <f>VLOOKUP(Table5[[#This Row],[RC]],Table3[[RC]:[Total TPI Score10]],23,0)</f>
        <v>43.63636363636364</v>
      </c>
      <c r="N8" s="16">
        <f>RANK(Table5[[#This Row],[THIRD PARTY INTERFERENCE]],$M$62:$M$312)</f>
        <v>2</v>
      </c>
      <c r="O8" s="16">
        <f>VLOOKUP(Table5[[#This Row],[RC]],LGS_Mo.!$C$5:$P$322,14,0)</f>
        <v>20</v>
      </c>
      <c r="P8" s="16">
        <f>RANK(Table5[[#This Row],[Loss  of ground support]],$O$62:$O$312)</f>
        <v>15</v>
      </c>
      <c r="Q8" s="16">
        <f>(I8+K8+M8+Table5[[#This Row],[Loss  of ground support]])/4</f>
        <v>29.324175075757577</v>
      </c>
      <c r="R8" s="16">
        <v>7</v>
      </c>
      <c r="S8" s="16">
        <v>3</v>
      </c>
      <c r="T8" s="16">
        <f t="shared" si="0"/>
        <v>50</v>
      </c>
      <c r="U8" s="16">
        <f>RANK(Table5[[#This Row],[Consequence]],$T$62:$T$264)</f>
        <v>1</v>
      </c>
      <c r="V8" s="16"/>
      <c r="X8" s="14">
        <f t="shared" si="1"/>
        <v>0</v>
      </c>
      <c r="Y8" s="14">
        <v>19.493670886075947</v>
      </c>
    </row>
    <row r="9" spans="1:25">
      <c r="A9" s="256" t="s">
        <v>981</v>
      </c>
      <c r="B9" s="80">
        <v>2</v>
      </c>
      <c r="C9" s="81">
        <v>661110202</v>
      </c>
      <c r="D9" s="82"/>
      <c r="E9" s="57" t="e">
        <f>E8</f>
        <v>#REF!</v>
      </c>
      <c r="F9" s="16">
        <v>1490.514684388889</v>
      </c>
      <c r="G9" s="16">
        <f>Table5[[#This Row],[Probability]]*Table5[[#This Row],[Consequence]]</f>
        <v>1466.2087537878788</v>
      </c>
      <c r="H9" s="16">
        <f>RANK(Table5[[#This Row],[Risk Score]],$G$62:$G$312)</f>
        <v>23</v>
      </c>
      <c r="I9" s="16">
        <f>VLOOKUP(C9,Table1[[#All],[RC]:[Total Internal Corrosion Score]],27,FALSE)</f>
        <v>34.166666666666664</v>
      </c>
      <c r="J9" s="16">
        <f>RANK(Table5[[#This Row],[INTERNAL CORROSION]],$I$62:$I$312)</f>
        <v>8</v>
      </c>
      <c r="K9" s="16">
        <f>VLOOKUP(C9,Ext.Mo!$C$2:$AK$326,35,FALSE)</f>
        <v>19.493670000000002</v>
      </c>
      <c r="L9" s="16">
        <f>RANK(Table5[[#This Row],[EXTERNAL CORROSION]],$K$62:$K$312)</f>
        <v>3</v>
      </c>
      <c r="M9" s="16">
        <f>VLOOKUP(Table5[[#This Row],[RC]],Table3[[RC]:[Total TPI Score10]],23,0)</f>
        <v>43.63636363636364</v>
      </c>
      <c r="N9" s="16">
        <f>RANK(Table5[[#This Row],[THIRD PARTY INTERFERENCE]],$M$62:$M$312)</f>
        <v>2</v>
      </c>
      <c r="O9" s="16">
        <f>VLOOKUP(Table5[[#This Row],[RC]],LGS_Mo.!$C$5:$P$322,14,0)</f>
        <v>20</v>
      </c>
      <c r="P9" s="16">
        <f>RANK(Table5[[#This Row],[Loss  of ground support]],$O$62:$O$312)</f>
        <v>15</v>
      </c>
      <c r="Q9" s="16">
        <f>(I9+K9+M9+Table5[[#This Row],[Loss  of ground support]])/4</f>
        <v>29.324175075757577</v>
      </c>
      <c r="R9" s="16">
        <v>7</v>
      </c>
      <c r="S9" s="16">
        <v>3</v>
      </c>
      <c r="T9" s="16">
        <f t="shared" si="0"/>
        <v>50</v>
      </c>
      <c r="U9" s="16">
        <f>RANK(Table5[[#This Row],[Consequence]],$T$62:$T$264)</f>
        <v>1</v>
      </c>
      <c r="V9" s="16"/>
      <c r="X9" s="14">
        <f t="shared" si="1"/>
        <v>0</v>
      </c>
      <c r="Y9" s="14">
        <v>19.493670886075947</v>
      </c>
    </row>
    <row r="10" spans="1:25">
      <c r="A10" s="256" t="s">
        <v>981</v>
      </c>
      <c r="B10" s="80">
        <v>2</v>
      </c>
      <c r="C10" s="81">
        <v>661110203</v>
      </c>
      <c r="D10" s="82"/>
      <c r="E10" s="57" t="e">
        <f>E9</f>
        <v>#REF!</v>
      </c>
      <c r="F10" s="16">
        <v>1490.514684388889</v>
      </c>
      <c r="G10" s="16">
        <f>Table5[[#This Row],[Probability]]*Table5[[#This Row],[Consequence]]</f>
        <v>1466.2087537878788</v>
      </c>
      <c r="H10" s="16">
        <f>RANK(Table5[[#This Row],[Risk Score]],$G$62:$G$312)</f>
        <v>23</v>
      </c>
      <c r="I10" s="16">
        <f>VLOOKUP(C10,Table1[[#All],[RC]:[Total Internal Corrosion Score]],27,FALSE)</f>
        <v>34.166666666666664</v>
      </c>
      <c r="J10" s="16">
        <f>RANK(Table5[[#This Row],[INTERNAL CORROSION]],$I$62:$I$312)</f>
        <v>8</v>
      </c>
      <c r="K10" s="16">
        <f>VLOOKUP(C10,Ext.Mo!$C$2:$AK$326,35,FALSE)</f>
        <v>19.493670000000002</v>
      </c>
      <c r="L10" s="16">
        <f>RANK(Table5[[#This Row],[EXTERNAL CORROSION]],$K$62:$K$312)</f>
        <v>3</v>
      </c>
      <c r="M10" s="16">
        <f>VLOOKUP(Table5[[#This Row],[RC]],Table3[[RC]:[Total TPI Score10]],23,0)</f>
        <v>43.63636363636364</v>
      </c>
      <c r="N10" s="16">
        <f>RANK(Table5[[#This Row],[THIRD PARTY INTERFERENCE]],$M$62:$M$312)</f>
        <v>2</v>
      </c>
      <c r="O10" s="16">
        <f>VLOOKUP(Table5[[#This Row],[RC]],LGS_Mo.!$C$5:$P$322,14,0)</f>
        <v>20</v>
      </c>
      <c r="P10" s="16">
        <f>RANK(Table5[[#This Row],[Loss  of ground support]],$O$62:$O$312)</f>
        <v>15</v>
      </c>
      <c r="Q10" s="16">
        <f>(I10+K10+M10+Table5[[#This Row],[Loss  of ground support]])/4</f>
        <v>29.324175075757577</v>
      </c>
      <c r="R10" s="16">
        <v>7</v>
      </c>
      <c r="S10" s="16">
        <v>3</v>
      </c>
      <c r="T10" s="16">
        <f t="shared" si="0"/>
        <v>50</v>
      </c>
      <c r="U10" s="16">
        <f>RANK(Table5[[#This Row],[Consequence]],$T$62:$T$264)</f>
        <v>1</v>
      </c>
      <c r="V10" s="16"/>
      <c r="X10" s="14">
        <f t="shared" si="1"/>
        <v>0</v>
      </c>
      <c r="Y10" s="14">
        <v>19.493670886075947</v>
      </c>
    </row>
    <row r="11" spans="1:25">
      <c r="A11" s="256" t="s">
        <v>981</v>
      </c>
      <c r="B11" s="84">
        <v>2</v>
      </c>
      <c r="C11" s="81">
        <v>66112</v>
      </c>
      <c r="D11" s="82" t="s">
        <v>257</v>
      </c>
      <c r="E11" s="57" t="e">
        <f>E10</f>
        <v>#REF!</v>
      </c>
      <c r="F11" s="16">
        <v>1490.514684388889</v>
      </c>
      <c r="G11" s="16">
        <f>Table5[[#This Row],[Probability]]*Table5[[#This Row],[Consequence]]</f>
        <v>1466.2087537878788</v>
      </c>
      <c r="H11" s="16">
        <f>RANK(Table5[[#This Row],[Risk Score]],$G$62:$G$312)</f>
        <v>23</v>
      </c>
      <c r="I11" s="16">
        <f>VLOOKUP(C11,Table1[[#All],[RC]:[Total Internal Corrosion Score]],27,FALSE)</f>
        <v>34.166666666666664</v>
      </c>
      <c r="J11" s="16">
        <f>RANK(Table5[[#This Row],[INTERNAL CORROSION]],$I$62:$I$312)</f>
        <v>8</v>
      </c>
      <c r="K11" s="16">
        <f>VLOOKUP(C11,Ext.Mo!$C$2:$AK$326,35,FALSE)</f>
        <v>19.493670000000002</v>
      </c>
      <c r="L11" s="16">
        <f>RANK(Table5[[#This Row],[EXTERNAL CORROSION]],$K$62:$K$312)</f>
        <v>3</v>
      </c>
      <c r="M11" s="16">
        <f>VLOOKUP(Table5[[#This Row],[RC]],Table3[[RC]:[Total TPI Score10]],23,0)</f>
        <v>43.63636363636364</v>
      </c>
      <c r="N11" s="16">
        <f>RANK(Table5[[#This Row],[THIRD PARTY INTERFERENCE]],$M$62:$M$312)</f>
        <v>2</v>
      </c>
      <c r="O11" s="16">
        <f>VLOOKUP(Table5[[#This Row],[RC]],LGS_Mo.!$C$5:$P$322,14,0)</f>
        <v>20</v>
      </c>
      <c r="P11" s="16">
        <f>RANK(Table5[[#This Row],[Loss  of ground support]],$O$62:$O$312)</f>
        <v>15</v>
      </c>
      <c r="Q11" s="16">
        <f>(I11+K11+M11+Table5[[#This Row],[Loss  of ground support]])/4</f>
        <v>29.324175075757577</v>
      </c>
      <c r="R11" s="16">
        <v>7</v>
      </c>
      <c r="S11" s="16">
        <v>3</v>
      </c>
      <c r="T11" s="16">
        <f t="shared" si="0"/>
        <v>50</v>
      </c>
      <c r="U11" s="16">
        <f>RANK(Table5[[#This Row],[Consequence]],$T$62:$T$264)</f>
        <v>1</v>
      </c>
      <c r="V11" s="16"/>
      <c r="X11" s="14">
        <f t="shared" si="1"/>
        <v>0</v>
      </c>
      <c r="Y11" s="14">
        <v>19.493670886075947</v>
      </c>
    </row>
    <row r="12" spans="1:25">
      <c r="A12" s="256" t="s">
        <v>981</v>
      </c>
      <c r="B12" s="80">
        <v>2</v>
      </c>
      <c r="C12" s="81" t="s">
        <v>858</v>
      </c>
      <c r="D12" s="82" t="s">
        <v>622</v>
      </c>
      <c r="E12" s="57" t="e">
        <f>E67</f>
        <v>#REF!</v>
      </c>
      <c r="F12" s="16">
        <v>1490.514684388889</v>
      </c>
      <c r="G12" s="16">
        <f>Table5[[#This Row],[Probability]]*Table5[[#This Row],[Consequence]]</f>
        <v>1466.2087537878788</v>
      </c>
      <c r="H12" s="16">
        <f>RANK(Table5[[#This Row],[Risk Score]],$G$62:$G$312)</f>
        <v>23</v>
      </c>
      <c r="I12" s="16">
        <f>VLOOKUP(C12,Table1[[#All],[RC]:[Total Internal Corrosion Score]],27,FALSE)</f>
        <v>34.166666666666664</v>
      </c>
      <c r="J12" s="16">
        <f>RANK(Table5[[#This Row],[INTERNAL CORROSION]],$I$62:$I$312)</f>
        <v>8</v>
      </c>
      <c r="K12" s="16">
        <f>VLOOKUP(C12,Ext.Mo!$C$2:$AK$326,35,FALSE)</f>
        <v>19.493670000000002</v>
      </c>
      <c r="L12" s="16">
        <f>RANK(Table5[[#This Row],[EXTERNAL CORROSION]],$K$62:$K$312)</f>
        <v>3</v>
      </c>
      <c r="M12" s="16">
        <f>VLOOKUP(Table5[[#This Row],[RC]],Table3[[RC]:[Total TPI Score10]],23,0)</f>
        <v>43.63636363636364</v>
      </c>
      <c r="N12" s="16">
        <f>RANK(Table5[[#This Row],[THIRD PARTY INTERFERENCE]],$M$62:$M$312)</f>
        <v>2</v>
      </c>
      <c r="O12" s="16">
        <f>VLOOKUP(Table5[[#This Row],[RC]],LGS_Mo.!$C$5:$P$322,14,0)</f>
        <v>20</v>
      </c>
      <c r="P12" s="16">
        <f>RANK(Table5[[#This Row],[Loss  of ground support]],$O$62:$O$312)</f>
        <v>15</v>
      </c>
      <c r="Q12" s="16">
        <f>(I12+K12+M12+Table5[[#This Row],[Loss  of ground support]])/4</f>
        <v>29.324175075757577</v>
      </c>
      <c r="R12" s="16">
        <f>VLOOKUP(C12,consequence!$B$2:$K$302,10,FALSE)</f>
        <v>3</v>
      </c>
      <c r="S12" s="16">
        <f>VLOOKUP(C12,consequence!B112:$K$302,9,FALSE)</f>
        <v>7</v>
      </c>
      <c r="T12" s="16">
        <f t="shared" si="0"/>
        <v>50</v>
      </c>
      <c r="U12" s="16">
        <f>RANK(Table5[[#This Row],[Consequence]],$T$62:$T$264)</f>
        <v>1</v>
      </c>
      <c r="V12" s="16"/>
      <c r="X12" s="14">
        <f t="shared" ref="X12:X42" si="2">J423</f>
        <v>0</v>
      </c>
      <c r="Y12" s="14">
        <v>19.493670886075947</v>
      </c>
    </row>
    <row r="13" spans="1:25">
      <c r="A13" s="256" t="s">
        <v>981</v>
      </c>
      <c r="B13" s="80">
        <v>2</v>
      </c>
      <c r="C13" s="81" t="s">
        <v>859</v>
      </c>
      <c r="D13" s="82" t="s">
        <v>624</v>
      </c>
      <c r="E13" s="57" t="e">
        <f t="shared" ref="E13:E42" si="3">E12</f>
        <v>#REF!</v>
      </c>
      <c r="F13" s="16">
        <v>1490.514684388889</v>
      </c>
      <c r="G13" s="16">
        <f>Table5[[#This Row],[Probability]]*Table5[[#This Row],[Consequence]]</f>
        <v>1466.2087537878788</v>
      </c>
      <c r="H13" s="16">
        <f>RANK(Table5[[#This Row],[Risk Score]],$G$62:$G$312)</f>
        <v>23</v>
      </c>
      <c r="I13" s="16">
        <f>VLOOKUP(C13,Table1[[#All],[RC]:[Total Internal Corrosion Score]],27,FALSE)</f>
        <v>34.166666666666664</v>
      </c>
      <c r="J13" s="16">
        <f>RANK(Table5[[#This Row],[INTERNAL CORROSION]],$I$62:$I$312)</f>
        <v>8</v>
      </c>
      <c r="K13" s="16">
        <f>VLOOKUP(C13,Ext.Mo!$C$2:$AK$326,35,FALSE)</f>
        <v>19.493670000000002</v>
      </c>
      <c r="L13" s="16">
        <f>RANK(Table5[[#This Row],[EXTERNAL CORROSION]],$K$62:$K$312)</f>
        <v>3</v>
      </c>
      <c r="M13" s="16">
        <f>VLOOKUP(Table5[[#This Row],[RC]],Table3[[RC]:[Total TPI Score10]],23,0)</f>
        <v>43.63636363636364</v>
      </c>
      <c r="N13" s="16">
        <f>RANK(Table5[[#This Row],[THIRD PARTY INTERFERENCE]],$M$62:$M$312)</f>
        <v>2</v>
      </c>
      <c r="O13" s="16">
        <f>VLOOKUP(Table5[[#This Row],[RC]],LGS_Mo.!$C$5:$P$322,14,0)</f>
        <v>20</v>
      </c>
      <c r="P13" s="16">
        <f>RANK(Table5[[#This Row],[Loss  of ground support]],$O$62:$O$312)</f>
        <v>15</v>
      </c>
      <c r="Q13" s="16">
        <f>(I13+K13+M13+Table5[[#This Row],[Loss  of ground support]])/4</f>
        <v>29.324175075757577</v>
      </c>
      <c r="R13" s="16">
        <f>VLOOKUP(C13,consequence!$B$2:$K$302,10,FALSE)</f>
        <v>3</v>
      </c>
      <c r="S13" s="16">
        <f>VLOOKUP(C13,consequence!B113:$K$302,9,FALSE)</f>
        <v>7</v>
      </c>
      <c r="T13" s="16">
        <f t="shared" si="0"/>
        <v>50</v>
      </c>
      <c r="U13" s="16">
        <f>RANK(Table5[[#This Row],[Consequence]],$T$62:$T$264)</f>
        <v>1</v>
      </c>
      <c r="V13" s="16"/>
      <c r="X13" s="14">
        <f t="shared" si="2"/>
        <v>0</v>
      </c>
      <c r="Y13" s="14">
        <v>19.493670886075947</v>
      </c>
    </row>
    <row r="14" spans="1:25">
      <c r="A14" s="256" t="s">
        <v>981</v>
      </c>
      <c r="B14" s="80">
        <v>2</v>
      </c>
      <c r="C14" s="81" t="s">
        <v>859</v>
      </c>
      <c r="D14" s="82"/>
      <c r="E14" s="57" t="e">
        <f t="shared" si="3"/>
        <v>#REF!</v>
      </c>
      <c r="F14" s="16">
        <v>1490.514684388889</v>
      </c>
      <c r="G14" s="16">
        <f>Table5[[#This Row],[Probability]]*Table5[[#This Row],[Consequence]]</f>
        <v>1466.2087537878788</v>
      </c>
      <c r="H14" s="16">
        <f>RANK(Table5[[#This Row],[Risk Score]],$G$62:$G$312)</f>
        <v>23</v>
      </c>
      <c r="I14" s="16">
        <f>VLOOKUP(C14,Table1[[#All],[RC]:[Total Internal Corrosion Score]],27,FALSE)</f>
        <v>34.166666666666664</v>
      </c>
      <c r="J14" s="16">
        <f>RANK(Table5[[#This Row],[INTERNAL CORROSION]],$I$62:$I$312)</f>
        <v>8</v>
      </c>
      <c r="K14" s="16">
        <f>VLOOKUP(C14,Ext.Mo!$C$2:$AK$326,35,FALSE)</f>
        <v>19.493670000000002</v>
      </c>
      <c r="L14" s="16">
        <f>RANK(Table5[[#This Row],[EXTERNAL CORROSION]],$K$62:$K$312)</f>
        <v>3</v>
      </c>
      <c r="M14" s="16">
        <f>VLOOKUP(Table5[[#This Row],[RC]],Table3[[RC]:[Total TPI Score10]],23,0)</f>
        <v>43.63636363636364</v>
      </c>
      <c r="N14" s="16">
        <f>RANK(Table5[[#This Row],[THIRD PARTY INTERFERENCE]],$M$62:$M$312)</f>
        <v>2</v>
      </c>
      <c r="O14" s="16">
        <f>VLOOKUP(Table5[[#This Row],[RC]],LGS_Mo.!$C$5:$P$322,14,0)</f>
        <v>20</v>
      </c>
      <c r="P14" s="16">
        <f>RANK(Table5[[#This Row],[Loss  of ground support]],$O$62:$O$312)</f>
        <v>15</v>
      </c>
      <c r="Q14" s="16">
        <f>(I14+K14+M14+Table5[[#This Row],[Loss  of ground support]])/4</f>
        <v>29.324175075757577</v>
      </c>
      <c r="R14" s="16">
        <f>VLOOKUP(C14,consequence!$B$2:$K$302,10,FALSE)</f>
        <v>3</v>
      </c>
      <c r="S14" s="16">
        <f>VLOOKUP(C14,consequence!B114:$K$302,9,FALSE)</f>
        <v>7</v>
      </c>
      <c r="T14" s="16">
        <f t="shared" si="0"/>
        <v>50</v>
      </c>
      <c r="U14" s="16">
        <f>RANK(Table5[[#This Row],[Consequence]],$T$62:$T$264)</f>
        <v>1</v>
      </c>
      <c r="V14" s="16"/>
      <c r="X14" s="14">
        <f t="shared" si="2"/>
        <v>0</v>
      </c>
      <c r="Y14" s="14">
        <v>19.493670886075947</v>
      </c>
    </row>
    <row r="15" spans="1:25">
      <c r="A15" s="256" t="s">
        <v>981</v>
      </c>
      <c r="B15" s="80">
        <v>2</v>
      </c>
      <c r="C15" s="81" t="s">
        <v>860</v>
      </c>
      <c r="D15" s="82" t="s">
        <v>628</v>
      </c>
      <c r="E15" s="57" t="e">
        <f t="shared" si="3"/>
        <v>#REF!</v>
      </c>
      <c r="F15" s="16">
        <v>1490.514684388889</v>
      </c>
      <c r="G15" s="16">
        <f>Table5[[#This Row],[Probability]]*Table5[[#This Row],[Consequence]]</f>
        <v>1466.2087537878788</v>
      </c>
      <c r="H15" s="16">
        <f>RANK(Table5[[#This Row],[Risk Score]],$G$62:$G$312)</f>
        <v>23</v>
      </c>
      <c r="I15" s="16">
        <f>VLOOKUP(C15,Table1[[#All],[RC]:[Total Internal Corrosion Score]],27,FALSE)</f>
        <v>34.166666666666664</v>
      </c>
      <c r="J15" s="16">
        <f>RANK(Table5[[#This Row],[INTERNAL CORROSION]],$I$62:$I$312)</f>
        <v>8</v>
      </c>
      <c r="K15" s="16">
        <f>VLOOKUP(C15,Ext.Mo!$C$2:$AK$326,35,FALSE)</f>
        <v>19.493670000000002</v>
      </c>
      <c r="L15" s="16">
        <f>RANK(Table5[[#This Row],[EXTERNAL CORROSION]],$K$62:$K$312)</f>
        <v>3</v>
      </c>
      <c r="M15" s="16">
        <f>VLOOKUP(Table5[[#This Row],[RC]],Table3[[RC]:[Total TPI Score10]],23,0)</f>
        <v>43.63636363636364</v>
      </c>
      <c r="N15" s="16">
        <f>RANK(Table5[[#This Row],[THIRD PARTY INTERFERENCE]],$M$62:$M$312)</f>
        <v>2</v>
      </c>
      <c r="O15" s="16">
        <f>VLOOKUP(Table5[[#This Row],[RC]],LGS_Mo.!$C$5:$P$322,14,0)</f>
        <v>20</v>
      </c>
      <c r="P15" s="16">
        <f>RANK(Table5[[#This Row],[Loss  of ground support]],$O$62:$O$312)</f>
        <v>15</v>
      </c>
      <c r="Q15" s="16">
        <f>(I15+K15+M15+Table5[[#This Row],[Loss  of ground support]])/4</f>
        <v>29.324175075757577</v>
      </c>
      <c r="R15" s="16">
        <f>VLOOKUP(C15,consequence!$B$2:$K$302,10,FALSE)</f>
        <v>3</v>
      </c>
      <c r="S15" s="16">
        <f>VLOOKUP(C15,consequence!B115:$K$302,9,FALSE)</f>
        <v>7</v>
      </c>
      <c r="T15" s="16">
        <f t="shared" si="0"/>
        <v>50</v>
      </c>
      <c r="U15" s="16">
        <f>RANK(Table5[[#This Row],[Consequence]],$T$62:$T$264)</f>
        <v>1</v>
      </c>
      <c r="V15" s="16"/>
      <c r="X15" s="14">
        <f t="shared" si="2"/>
        <v>0</v>
      </c>
      <c r="Y15" s="14">
        <v>19.493670886075947</v>
      </c>
    </row>
    <row r="16" spans="1:25">
      <c r="A16" s="256" t="s">
        <v>981</v>
      </c>
      <c r="B16" s="80">
        <v>2</v>
      </c>
      <c r="C16" s="81" t="s">
        <v>861</v>
      </c>
      <c r="D16" s="82" t="s">
        <v>630</v>
      </c>
      <c r="E16" s="57" t="e">
        <f t="shared" si="3"/>
        <v>#REF!</v>
      </c>
      <c r="F16" s="16">
        <v>1490.514684388889</v>
      </c>
      <c r="G16" s="16">
        <f>Table5[[#This Row],[Probability]]*Table5[[#This Row],[Consequence]]</f>
        <v>1466.2087537878788</v>
      </c>
      <c r="H16" s="16">
        <f>RANK(Table5[[#This Row],[Risk Score]],$G$62:$G$312)</f>
        <v>23</v>
      </c>
      <c r="I16" s="16">
        <f>VLOOKUP(C16,Table1[[#All],[RC]:[Total Internal Corrosion Score]],27,FALSE)</f>
        <v>34.166666666666664</v>
      </c>
      <c r="J16" s="16">
        <f>RANK(Table5[[#This Row],[INTERNAL CORROSION]],$I$62:$I$312)</f>
        <v>8</v>
      </c>
      <c r="K16" s="16">
        <f>VLOOKUP(C16,Ext.Mo!$C$2:$AK$326,35,FALSE)</f>
        <v>19.493670000000002</v>
      </c>
      <c r="L16" s="16">
        <f>RANK(Table5[[#This Row],[EXTERNAL CORROSION]],$K$62:$K$312)</f>
        <v>3</v>
      </c>
      <c r="M16" s="16">
        <f>VLOOKUP(Table5[[#This Row],[RC]],Table3[[RC]:[Total TPI Score10]],23,0)</f>
        <v>43.63636363636364</v>
      </c>
      <c r="N16" s="16">
        <f>RANK(Table5[[#This Row],[THIRD PARTY INTERFERENCE]],$M$62:$M$312)</f>
        <v>2</v>
      </c>
      <c r="O16" s="16">
        <f>VLOOKUP(Table5[[#This Row],[RC]],LGS_Mo.!$C$5:$P$322,14,0)</f>
        <v>20</v>
      </c>
      <c r="P16" s="16">
        <f>RANK(Table5[[#This Row],[Loss  of ground support]],$O$62:$O$312)</f>
        <v>15</v>
      </c>
      <c r="Q16" s="16">
        <f>(I16+K16+M16+Table5[[#This Row],[Loss  of ground support]])/4</f>
        <v>29.324175075757577</v>
      </c>
      <c r="R16" s="16">
        <f>VLOOKUP(C16,consequence!$B$2:$K$302,10,FALSE)</f>
        <v>3</v>
      </c>
      <c r="S16" s="16">
        <f>VLOOKUP(C16,consequence!B116:$K$302,9,FALSE)</f>
        <v>7</v>
      </c>
      <c r="T16" s="16">
        <f t="shared" si="0"/>
        <v>50</v>
      </c>
      <c r="U16" s="16">
        <f>RANK(Table5[[#This Row],[Consequence]],$T$62:$T$264)</f>
        <v>1</v>
      </c>
      <c r="V16" s="16"/>
      <c r="X16" s="14">
        <f t="shared" si="2"/>
        <v>0</v>
      </c>
      <c r="Y16" s="14">
        <v>19.493670886075947</v>
      </c>
    </row>
    <row r="17" spans="1:25">
      <c r="A17" s="256" t="s">
        <v>981</v>
      </c>
      <c r="B17" s="80">
        <v>2</v>
      </c>
      <c r="C17" s="81" t="s">
        <v>862</v>
      </c>
      <c r="D17" s="82" t="s">
        <v>632</v>
      </c>
      <c r="E17" s="57" t="e">
        <f t="shared" si="3"/>
        <v>#REF!</v>
      </c>
      <c r="F17" s="16">
        <v>1490.514684388889</v>
      </c>
      <c r="G17" s="16">
        <f>Table5[[#This Row],[Probability]]*Table5[[#This Row],[Consequence]]</f>
        <v>1466.2087537878788</v>
      </c>
      <c r="H17" s="16">
        <f>RANK(Table5[[#This Row],[Risk Score]],$G$62:$G$312)</f>
        <v>23</v>
      </c>
      <c r="I17" s="16">
        <f>VLOOKUP(C17,Table1[[#All],[RC]:[Total Internal Corrosion Score]],27,FALSE)</f>
        <v>34.166666666666664</v>
      </c>
      <c r="J17" s="16">
        <f>RANK(Table5[[#This Row],[INTERNAL CORROSION]],$I$62:$I$312)</f>
        <v>8</v>
      </c>
      <c r="K17" s="16">
        <f>VLOOKUP(C17,Ext.Mo!$C$2:$AK$326,35,FALSE)</f>
        <v>19.493670000000002</v>
      </c>
      <c r="L17" s="16">
        <f>RANK(Table5[[#This Row],[EXTERNAL CORROSION]],$K$62:$K$312)</f>
        <v>3</v>
      </c>
      <c r="M17" s="16">
        <f>VLOOKUP(Table5[[#This Row],[RC]],Table3[[RC]:[Total TPI Score10]],23,0)</f>
        <v>43.63636363636364</v>
      </c>
      <c r="N17" s="16">
        <f>RANK(Table5[[#This Row],[THIRD PARTY INTERFERENCE]],$M$62:$M$312)</f>
        <v>2</v>
      </c>
      <c r="O17" s="16">
        <f>VLOOKUP(Table5[[#This Row],[RC]],LGS_Mo.!$C$5:$P$322,14,0)</f>
        <v>20</v>
      </c>
      <c r="P17" s="16">
        <f>RANK(Table5[[#This Row],[Loss  of ground support]],$O$62:$O$312)</f>
        <v>15</v>
      </c>
      <c r="Q17" s="16">
        <f>(I17+K17+M17+Table5[[#This Row],[Loss  of ground support]])/4</f>
        <v>29.324175075757577</v>
      </c>
      <c r="R17" s="16">
        <f>VLOOKUP(C17,consequence!$B$2:$K$302,10,FALSE)</f>
        <v>3</v>
      </c>
      <c r="S17" s="16">
        <f>VLOOKUP(C17,consequence!B117:$K$302,9,FALSE)</f>
        <v>7</v>
      </c>
      <c r="T17" s="16">
        <f t="shared" si="0"/>
        <v>50</v>
      </c>
      <c r="U17" s="16">
        <f>RANK(Table5[[#This Row],[Consequence]],$T$62:$T$264)</f>
        <v>1</v>
      </c>
      <c r="V17" s="16"/>
      <c r="X17" s="14">
        <f t="shared" si="2"/>
        <v>0</v>
      </c>
      <c r="Y17" s="14">
        <v>19.493670886075947</v>
      </c>
    </row>
    <row r="18" spans="1:25">
      <c r="A18" s="256" t="s">
        <v>981</v>
      </c>
      <c r="B18" s="80">
        <v>2</v>
      </c>
      <c r="C18" s="81" t="s">
        <v>863</v>
      </c>
      <c r="D18" s="82" t="s">
        <v>634</v>
      </c>
      <c r="E18" s="57" t="e">
        <f t="shared" si="3"/>
        <v>#REF!</v>
      </c>
      <c r="F18" s="16">
        <v>1490.514684388889</v>
      </c>
      <c r="G18" s="16">
        <f>Table5[[#This Row],[Probability]]*Table5[[#This Row],[Consequence]]</f>
        <v>1466.2087537878788</v>
      </c>
      <c r="H18" s="16">
        <f>RANK(Table5[[#This Row],[Risk Score]],$G$62:$G$312)</f>
        <v>23</v>
      </c>
      <c r="I18" s="16">
        <f>VLOOKUP(C18,Table1[[#All],[RC]:[Total Internal Corrosion Score]],27,FALSE)</f>
        <v>34.166666666666664</v>
      </c>
      <c r="J18" s="16">
        <f>RANK(Table5[[#This Row],[INTERNAL CORROSION]],$I$62:$I$312)</f>
        <v>8</v>
      </c>
      <c r="K18" s="16">
        <f>VLOOKUP(C18,Ext.Mo!$C$2:$AK$326,35,FALSE)</f>
        <v>19.493670000000002</v>
      </c>
      <c r="L18" s="16">
        <f>RANK(Table5[[#This Row],[EXTERNAL CORROSION]],$K$62:$K$312)</f>
        <v>3</v>
      </c>
      <c r="M18" s="16">
        <f>VLOOKUP(Table5[[#This Row],[RC]],Table3[[RC]:[Total TPI Score10]],23,0)</f>
        <v>43.63636363636364</v>
      </c>
      <c r="N18" s="16">
        <f>RANK(Table5[[#This Row],[THIRD PARTY INTERFERENCE]],$M$62:$M$312)</f>
        <v>2</v>
      </c>
      <c r="O18" s="16">
        <f>VLOOKUP(Table5[[#This Row],[RC]],LGS_Mo.!$C$5:$P$322,14,0)</f>
        <v>20</v>
      </c>
      <c r="P18" s="16">
        <f>RANK(Table5[[#This Row],[Loss  of ground support]],$O$62:$O$312)</f>
        <v>15</v>
      </c>
      <c r="Q18" s="16">
        <f>(I18+K18+M18+Table5[[#This Row],[Loss  of ground support]])/4</f>
        <v>29.324175075757577</v>
      </c>
      <c r="R18" s="16">
        <f>VLOOKUP(C18,consequence!$B$2:$K$302,10,FALSE)</f>
        <v>3</v>
      </c>
      <c r="S18" s="16">
        <f>VLOOKUP(C18,consequence!B118:$K$302,9,FALSE)</f>
        <v>7</v>
      </c>
      <c r="T18" s="16">
        <f t="shared" si="0"/>
        <v>50</v>
      </c>
      <c r="U18" s="16">
        <f>RANK(Table5[[#This Row],[Consequence]],$T$62:$T$264)</f>
        <v>1</v>
      </c>
      <c r="V18" s="16"/>
      <c r="X18" s="14">
        <f t="shared" si="2"/>
        <v>0</v>
      </c>
      <c r="Y18" s="14">
        <v>19.493670886075947</v>
      </c>
    </row>
    <row r="19" spans="1:25">
      <c r="A19" s="256" t="s">
        <v>981</v>
      </c>
      <c r="B19" s="80">
        <v>2</v>
      </c>
      <c r="C19" s="81" t="s">
        <v>864</v>
      </c>
      <c r="D19" s="82" t="s">
        <v>636</v>
      </c>
      <c r="E19" s="57" t="e">
        <f t="shared" si="3"/>
        <v>#REF!</v>
      </c>
      <c r="F19" s="16">
        <v>1490.514684388889</v>
      </c>
      <c r="G19" s="16">
        <f>Table5[[#This Row],[Probability]]*Table5[[#This Row],[Consequence]]</f>
        <v>1426.4360265151515</v>
      </c>
      <c r="H19" s="16">
        <f>RANK(Table5[[#This Row],[Risk Score]],$G$62:$G$312)</f>
        <v>191</v>
      </c>
      <c r="I19" s="16">
        <f>VLOOKUP(C19,Table1[[#All],[RC]:[Total Internal Corrosion Score]],27,FALSE)</f>
        <v>34.166666666666664</v>
      </c>
      <c r="J19" s="16">
        <f>RANK(Table5[[#This Row],[INTERNAL CORROSION]],$I$62:$I$312)</f>
        <v>8</v>
      </c>
      <c r="K19" s="16">
        <f>VLOOKUP(C19,Ext.Mo!$C$2:$AK$326,35,FALSE)</f>
        <v>19.493670000000002</v>
      </c>
      <c r="L19" s="16">
        <f>RANK(Table5[[#This Row],[EXTERNAL CORROSION]],$K$62:$K$312)</f>
        <v>3</v>
      </c>
      <c r="M19" s="16">
        <f>VLOOKUP(Table5[[#This Row],[RC]],Table3[[RC]:[Total TPI Score10]],23,0)</f>
        <v>40.454545454545453</v>
      </c>
      <c r="N19" s="16">
        <f>RANK(Table5[[#This Row],[THIRD PARTY INTERFERENCE]],$M$62:$M$312)</f>
        <v>224</v>
      </c>
      <c r="O19" s="16">
        <f>VLOOKUP(Table5[[#This Row],[RC]],LGS_Mo.!$C$5:$P$322,14,0)</f>
        <v>20</v>
      </c>
      <c r="P19" s="16">
        <f>RANK(Table5[[#This Row],[Loss  of ground support]],$O$62:$O$312)</f>
        <v>15</v>
      </c>
      <c r="Q19" s="16">
        <f>(I19+K19+M19+Table5[[#This Row],[Loss  of ground support]])/4</f>
        <v>28.52872053030303</v>
      </c>
      <c r="R19" s="16">
        <f>VLOOKUP(C19,consequence!$B$2:$K$302,10,FALSE)</f>
        <v>3</v>
      </c>
      <c r="S19" s="16">
        <f>VLOOKUP(C19,consequence!B119:$K$302,9,FALSE)</f>
        <v>7</v>
      </c>
      <c r="T19" s="16">
        <f t="shared" si="0"/>
        <v>50</v>
      </c>
      <c r="U19" s="16">
        <f>RANK(Table5[[#This Row],[Consequence]],$T$62:$T$264)</f>
        <v>1</v>
      </c>
      <c r="V19" s="16"/>
      <c r="X19" s="14">
        <f t="shared" si="2"/>
        <v>0</v>
      </c>
      <c r="Y19" s="14">
        <v>19.493670886075947</v>
      </c>
    </row>
    <row r="20" spans="1:25">
      <c r="A20" s="256" t="s">
        <v>981</v>
      </c>
      <c r="B20" s="80">
        <v>2</v>
      </c>
      <c r="C20" s="81" t="s">
        <v>865</v>
      </c>
      <c r="D20" s="82" t="s">
        <v>638</v>
      </c>
      <c r="E20" s="57" t="e">
        <f t="shared" si="3"/>
        <v>#REF!</v>
      </c>
      <c r="F20" s="16">
        <v>1490.514684388889</v>
      </c>
      <c r="G20" s="16">
        <f>Table5[[#This Row],[Probability]]*Table5[[#This Row],[Consequence]]</f>
        <v>1466.2087537878788</v>
      </c>
      <c r="H20" s="16">
        <f>RANK(Table5[[#This Row],[Risk Score]],$G$62:$G$312)</f>
        <v>23</v>
      </c>
      <c r="I20" s="16">
        <f>VLOOKUP(C20,Table1[[#All],[RC]:[Total Internal Corrosion Score]],27,FALSE)</f>
        <v>34.166666666666664</v>
      </c>
      <c r="J20" s="16">
        <f>RANK(Table5[[#This Row],[INTERNAL CORROSION]],$I$62:$I$312)</f>
        <v>8</v>
      </c>
      <c r="K20" s="16">
        <f>VLOOKUP(C20,Ext.Mo!$C$2:$AK$326,35,FALSE)</f>
        <v>19.493670000000002</v>
      </c>
      <c r="L20" s="16">
        <f>RANK(Table5[[#This Row],[EXTERNAL CORROSION]],$K$62:$K$312)</f>
        <v>3</v>
      </c>
      <c r="M20" s="16">
        <f>VLOOKUP(Table5[[#This Row],[RC]],Table3[[RC]:[Total TPI Score10]],23,0)</f>
        <v>43.63636363636364</v>
      </c>
      <c r="N20" s="16">
        <f>RANK(Table5[[#This Row],[THIRD PARTY INTERFERENCE]],$M$62:$M$312)</f>
        <v>2</v>
      </c>
      <c r="O20" s="16">
        <f>VLOOKUP(Table5[[#This Row],[RC]],LGS_Mo.!$C$5:$P$322,14,0)</f>
        <v>20</v>
      </c>
      <c r="P20" s="16">
        <f>RANK(Table5[[#This Row],[Loss  of ground support]],$O$62:$O$312)</f>
        <v>15</v>
      </c>
      <c r="Q20" s="16">
        <f>(I20+K20+M20+Table5[[#This Row],[Loss  of ground support]])/4</f>
        <v>29.324175075757577</v>
      </c>
      <c r="R20" s="16">
        <f>VLOOKUP(C20,consequence!$B$2:$K$302,10,FALSE)</f>
        <v>3</v>
      </c>
      <c r="S20" s="16">
        <f>VLOOKUP(C20,consequence!B120:$K$302,9,FALSE)</f>
        <v>7</v>
      </c>
      <c r="T20" s="16">
        <f t="shared" si="0"/>
        <v>50</v>
      </c>
      <c r="U20" s="16">
        <f>RANK(Table5[[#This Row],[Consequence]],$T$62:$T$264)</f>
        <v>1</v>
      </c>
      <c r="V20" s="16"/>
      <c r="X20" s="14">
        <f t="shared" si="2"/>
        <v>0</v>
      </c>
      <c r="Y20" s="14">
        <v>19.493670886075947</v>
      </c>
    </row>
    <row r="21" spans="1:25">
      <c r="A21" s="256" t="s">
        <v>981</v>
      </c>
      <c r="B21" s="80">
        <v>2</v>
      </c>
      <c r="C21" s="81" t="s">
        <v>866</v>
      </c>
      <c r="D21" s="82"/>
      <c r="E21" s="57" t="e">
        <f t="shared" si="3"/>
        <v>#REF!</v>
      </c>
      <c r="F21" s="16">
        <v>1490.514684388889</v>
      </c>
      <c r="G21" s="16">
        <f>Table5[[#This Row],[Probability]]*Table5[[#This Row],[Consequence]]</f>
        <v>1466.2087537878788</v>
      </c>
      <c r="H21" s="16">
        <f>RANK(Table5[[#This Row],[Risk Score]],$G$62:$G$312)</f>
        <v>23</v>
      </c>
      <c r="I21" s="16">
        <f>VLOOKUP(C21,Table1[[#All],[RC]:[Total Internal Corrosion Score]],27,FALSE)</f>
        <v>34.166666666666664</v>
      </c>
      <c r="J21" s="16">
        <f>RANK(Table5[[#This Row],[INTERNAL CORROSION]],$I$62:$I$312)</f>
        <v>8</v>
      </c>
      <c r="K21" s="16">
        <f>VLOOKUP(C21,Ext.Mo!$C$2:$AK$326,35,FALSE)</f>
        <v>19.493670000000002</v>
      </c>
      <c r="L21" s="16">
        <f>RANK(Table5[[#This Row],[EXTERNAL CORROSION]],$K$62:$K$312)</f>
        <v>3</v>
      </c>
      <c r="M21" s="16">
        <f>VLOOKUP(Table5[[#This Row],[RC]],Table3[[RC]:[Total TPI Score10]],23,0)</f>
        <v>43.63636363636364</v>
      </c>
      <c r="N21" s="16">
        <f>RANK(Table5[[#This Row],[THIRD PARTY INTERFERENCE]],$M$62:$M$312)</f>
        <v>2</v>
      </c>
      <c r="O21" s="16">
        <f>VLOOKUP(Table5[[#This Row],[RC]],LGS_Mo.!$C$5:$P$322,14,0)</f>
        <v>20</v>
      </c>
      <c r="P21" s="16">
        <f>RANK(Table5[[#This Row],[Loss  of ground support]],$O$62:$O$312)</f>
        <v>15</v>
      </c>
      <c r="Q21" s="16">
        <f>(I21+K21+M21+Table5[[#This Row],[Loss  of ground support]])/4</f>
        <v>29.324175075757577</v>
      </c>
      <c r="R21" s="16">
        <f>VLOOKUP(C21,consequence!$B$2:$K$302,10,FALSE)</f>
        <v>3</v>
      </c>
      <c r="S21" s="16">
        <f>VLOOKUP(C21,consequence!B121:$K$302,9,FALSE)</f>
        <v>7</v>
      </c>
      <c r="T21" s="16">
        <f t="shared" si="0"/>
        <v>50</v>
      </c>
      <c r="U21" s="16">
        <f>RANK(Table5[[#This Row],[Consequence]],$T$62:$T$264)</f>
        <v>1</v>
      </c>
      <c r="V21" s="16"/>
      <c r="X21" s="14">
        <f t="shared" si="2"/>
        <v>0</v>
      </c>
      <c r="Y21" s="14">
        <v>19.493670886075947</v>
      </c>
    </row>
    <row r="22" spans="1:25">
      <c r="A22" s="256" t="s">
        <v>981</v>
      </c>
      <c r="B22" s="80">
        <v>2</v>
      </c>
      <c r="C22" s="81" t="s">
        <v>867</v>
      </c>
      <c r="D22" s="82" t="s">
        <v>640</v>
      </c>
      <c r="E22" s="57" t="e">
        <f t="shared" si="3"/>
        <v>#REF!</v>
      </c>
      <c r="F22" s="16">
        <v>1490.514684388889</v>
      </c>
      <c r="G22" s="16">
        <f>Table5[[#This Row],[Probability]]*Table5[[#This Row],[Consequence]]</f>
        <v>1466.2087537878788</v>
      </c>
      <c r="H22" s="16">
        <f>RANK(Table5[[#This Row],[Risk Score]],$G$62:$G$312)</f>
        <v>23</v>
      </c>
      <c r="I22" s="16">
        <f>VLOOKUP(C22,Table1[[#All],[RC]:[Total Internal Corrosion Score]],27,FALSE)</f>
        <v>34.166666666666664</v>
      </c>
      <c r="J22" s="16">
        <f>RANK(Table5[[#This Row],[INTERNAL CORROSION]],$I$62:$I$312)</f>
        <v>8</v>
      </c>
      <c r="K22" s="16">
        <f>VLOOKUP(C22,Ext.Mo!$C$2:$AK$326,35,FALSE)</f>
        <v>19.493670000000002</v>
      </c>
      <c r="L22" s="16">
        <f>RANK(Table5[[#This Row],[EXTERNAL CORROSION]],$K$62:$K$312)</f>
        <v>3</v>
      </c>
      <c r="M22" s="16">
        <f>VLOOKUP(Table5[[#This Row],[RC]],Table3[[RC]:[Total TPI Score10]],23,0)</f>
        <v>43.63636363636364</v>
      </c>
      <c r="N22" s="16">
        <f>RANK(Table5[[#This Row],[THIRD PARTY INTERFERENCE]],$M$62:$M$312)</f>
        <v>2</v>
      </c>
      <c r="O22" s="16">
        <f>VLOOKUP(Table5[[#This Row],[RC]],LGS_Mo.!$C$5:$P$322,14,0)</f>
        <v>20</v>
      </c>
      <c r="P22" s="16">
        <f>RANK(Table5[[#This Row],[Loss  of ground support]],$O$62:$O$312)</f>
        <v>15</v>
      </c>
      <c r="Q22" s="16">
        <f>(I22+K22+M22+Table5[[#This Row],[Loss  of ground support]])/4</f>
        <v>29.324175075757577</v>
      </c>
      <c r="R22" s="16">
        <f>VLOOKUP(C22,consequence!$B$2:$K$302,10,FALSE)</f>
        <v>3</v>
      </c>
      <c r="S22" s="16">
        <f>VLOOKUP(C22,consequence!B122:$K$302,9,FALSE)</f>
        <v>7</v>
      </c>
      <c r="T22" s="16">
        <f t="shared" si="0"/>
        <v>50</v>
      </c>
      <c r="U22" s="16">
        <f>RANK(Table5[[#This Row],[Consequence]],$T$62:$T$264)</f>
        <v>1</v>
      </c>
      <c r="V22" s="16"/>
      <c r="X22" s="14">
        <f t="shared" si="2"/>
        <v>0</v>
      </c>
      <c r="Y22" s="14">
        <v>19.493670886075947</v>
      </c>
    </row>
    <row r="23" spans="1:25">
      <c r="A23" s="256" t="s">
        <v>981</v>
      </c>
      <c r="B23" s="80">
        <v>2</v>
      </c>
      <c r="C23" s="81" t="s">
        <v>868</v>
      </c>
      <c r="D23" s="82" t="s">
        <v>642</v>
      </c>
      <c r="E23" s="57" t="e">
        <f t="shared" si="3"/>
        <v>#REF!</v>
      </c>
      <c r="F23" s="16">
        <v>1490.514684388889</v>
      </c>
      <c r="G23" s="16">
        <f>Table5[[#This Row],[Probability]]*Table5[[#This Row],[Consequence]]</f>
        <v>1466.2087537878788</v>
      </c>
      <c r="H23" s="16">
        <f>RANK(Table5[[#This Row],[Risk Score]],$G$62:$G$312)</f>
        <v>23</v>
      </c>
      <c r="I23" s="16">
        <f>VLOOKUP(C23,Table1[[#All],[RC]:[Total Internal Corrosion Score]],27,FALSE)</f>
        <v>34.166666666666664</v>
      </c>
      <c r="J23" s="16">
        <f>RANK(Table5[[#This Row],[INTERNAL CORROSION]],$I$62:$I$312)</f>
        <v>8</v>
      </c>
      <c r="K23" s="16">
        <f>VLOOKUP(C23,Ext.Mo!$C$2:$AK$326,35,FALSE)</f>
        <v>19.493670000000002</v>
      </c>
      <c r="L23" s="16">
        <f>RANK(Table5[[#This Row],[EXTERNAL CORROSION]],$K$62:$K$312)</f>
        <v>3</v>
      </c>
      <c r="M23" s="16">
        <f>VLOOKUP(Table5[[#This Row],[RC]],Table3[[RC]:[Total TPI Score10]],23,0)</f>
        <v>43.63636363636364</v>
      </c>
      <c r="N23" s="16">
        <f>RANK(Table5[[#This Row],[THIRD PARTY INTERFERENCE]],$M$62:$M$312)</f>
        <v>2</v>
      </c>
      <c r="O23" s="16">
        <f>VLOOKUP(Table5[[#This Row],[RC]],LGS_Mo.!$C$5:$P$322,14,0)</f>
        <v>20</v>
      </c>
      <c r="P23" s="16">
        <f>RANK(Table5[[#This Row],[Loss  of ground support]],$O$62:$O$312)</f>
        <v>15</v>
      </c>
      <c r="Q23" s="16">
        <f>(I23+K23+M23+Table5[[#This Row],[Loss  of ground support]])/4</f>
        <v>29.324175075757577</v>
      </c>
      <c r="R23" s="16">
        <f>VLOOKUP(C23,consequence!$B$2:$K$302,10,FALSE)</f>
        <v>3</v>
      </c>
      <c r="S23" s="16">
        <f>VLOOKUP(C23,consequence!B123:$K$302,9,FALSE)</f>
        <v>7</v>
      </c>
      <c r="T23" s="16">
        <f t="shared" si="0"/>
        <v>50</v>
      </c>
      <c r="U23" s="16">
        <f>RANK(Table5[[#This Row],[Consequence]],$T$62:$T$264)</f>
        <v>1</v>
      </c>
      <c r="V23" s="16"/>
      <c r="X23" s="14">
        <f t="shared" si="2"/>
        <v>0</v>
      </c>
      <c r="Y23" s="14">
        <v>19.493670886075947</v>
      </c>
    </row>
    <row r="24" spans="1:25">
      <c r="A24" s="256" t="s">
        <v>981</v>
      </c>
      <c r="B24" s="80">
        <v>2</v>
      </c>
      <c r="C24" s="81" t="s">
        <v>869</v>
      </c>
      <c r="D24" s="82" t="s">
        <v>644</v>
      </c>
      <c r="E24" s="57" t="e">
        <f t="shared" si="3"/>
        <v>#REF!</v>
      </c>
      <c r="F24" s="16">
        <v>1490.514684388889</v>
      </c>
      <c r="G24" s="16">
        <f>Table5[[#This Row],[Probability]]*Table5[[#This Row],[Consequence]]</f>
        <v>1466.2087537878788</v>
      </c>
      <c r="H24" s="16">
        <f>RANK(Table5[[#This Row],[Risk Score]],$G$62:$G$312)</f>
        <v>23</v>
      </c>
      <c r="I24" s="16">
        <f>VLOOKUP(C24,Table1[[#All],[RC]:[Total Internal Corrosion Score]],27,FALSE)</f>
        <v>34.166666666666664</v>
      </c>
      <c r="J24" s="16">
        <f>RANK(Table5[[#This Row],[INTERNAL CORROSION]],$I$62:$I$312)</f>
        <v>8</v>
      </c>
      <c r="K24" s="16">
        <f>VLOOKUP(C24,Ext.Mo!$C$2:$AK$326,35,FALSE)</f>
        <v>19.493670000000002</v>
      </c>
      <c r="L24" s="16">
        <f>RANK(Table5[[#This Row],[EXTERNAL CORROSION]],$K$62:$K$312)</f>
        <v>3</v>
      </c>
      <c r="M24" s="16">
        <f>VLOOKUP(Table5[[#This Row],[RC]],Table3[[RC]:[Total TPI Score10]],23,0)</f>
        <v>43.63636363636364</v>
      </c>
      <c r="N24" s="16">
        <f>RANK(Table5[[#This Row],[THIRD PARTY INTERFERENCE]],$M$62:$M$312)</f>
        <v>2</v>
      </c>
      <c r="O24" s="16">
        <f>VLOOKUP(Table5[[#This Row],[RC]],LGS_Mo.!$C$5:$P$322,14,0)</f>
        <v>20</v>
      </c>
      <c r="P24" s="16">
        <f>RANK(Table5[[#This Row],[Loss  of ground support]],$O$62:$O$312)</f>
        <v>15</v>
      </c>
      <c r="Q24" s="16">
        <f>(I24+K24+M24+Table5[[#This Row],[Loss  of ground support]])/4</f>
        <v>29.324175075757577</v>
      </c>
      <c r="R24" s="16">
        <f>VLOOKUP(C24,consequence!$B$2:$K$302,10,FALSE)</f>
        <v>3</v>
      </c>
      <c r="S24" s="16">
        <f>VLOOKUP(C24,consequence!B124:$K$302,9,FALSE)</f>
        <v>7</v>
      </c>
      <c r="T24" s="16">
        <f t="shared" si="0"/>
        <v>50</v>
      </c>
      <c r="U24" s="16">
        <f>RANK(Table5[[#This Row],[Consequence]],$T$62:$T$264)</f>
        <v>1</v>
      </c>
      <c r="V24" s="16"/>
      <c r="X24" s="14">
        <f t="shared" si="2"/>
        <v>0</v>
      </c>
      <c r="Y24" s="14">
        <v>19.493670886075947</v>
      </c>
    </row>
    <row r="25" spans="1:25">
      <c r="A25" s="256" t="s">
        <v>981</v>
      </c>
      <c r="B25" s="80">
        <v>2</v>
      </c>
      <c r="C25" s="81" t="s">
        <v>870</v>
      </c>
      <c r="D25" s="82" t="s">
        <v>646</v>
      </c>
      <c r="E25" s="57" t="e">
        <f t="shared" si="3"/>
        <v>#REF!</v>
      </c>
      <c r="F25" s="16">
        <v>1490.514684388889</v>
      </c>
      <c r="G25" s="16">
        <f>Table5[[#This Row],[Probability]]*Table5[[#This Row],[Consequence]]</f>
        <v>1466.2087537878788</v>
      </c>
      <c r="H25" s="16">
        <f>RANK(Table5[[#This Row],[Risk Score]],$G$62:$G$312)</f>
        <v>23</v>
      </c>
      <c r="I25" s="16">
        <f>VLOOKUP(C25,Table1[[#All],[RC]:[Total Internal Corrosion Score]],27,FALSE)</f>
        <v>34.166666666666664</v>
      </c>
      <c r="J25" s="16">
        <f>RANK(Table5[[#This Row],[INTERNAL CORROSION]],$I$62:$I$312)</f>
        <v>8</v>
      </c>
      <c r="K25" s="16">
        <f>VLOOKUP(C25,Ext.Mo!$C$2:$AK$326,35,FALSE)</f>
        <v>19.493670000000002</v>
      </c>
      <c r="L25" s="16">
        <f>RANK(Table5[[#This Row],[EXTERNAL CORROSION]],$K$62:$K$312)</f>
        <v>3</v>
      </c>
      <c r="M25" s="16">
        <f>VLOOKUP(Table5[[#This Row],[RC]],Table3[[RC]:[Total TPI Score10]],23,0)</f>
        <v>43.63636363636364</v>
      </c>
      <c r="N25" s="16">
        <f>RANK(Table5[[#This Row],[THIRD PARTY INTERFERENCE]],$M$62:$M$312)</f>
        <v>2</v>
      </c>
      <c r="O25" s="16">
        <f>VLOOKUP(Table5[[#This Row],[RC]],LGS_Mo.!$C$5:$P$322,14,0)</f>
        <v>20</v>
      </c>
      <c r="P25" s="16">
        <f>RANK(Table5[[#This Row],[Loss  of ground support]],$O$62:$O$312)</f>
        <v>15</v>
      </c>
      <c r="Q25" s="16">
        <f>(I25+K25+M25+Table5[[#This Row],[Loss  of ground support]])/4</f>
        <v>29.324175075757577</v>
      </c>
      <c r="R25" s="16">
        <f>VLOOKUP(C25,consequence!$B$2:$K$302,10,FALSE)</f>
        <v>3</v>
      </c>
      <c r="S25" s="16">
        <f>VLOOKUP(C25,consequence!B125:$K$302,9,FALSE)</f>
        <v>7</v>
      </c>
      <c r="T25" s="16">
        <f t="shared" si="0"/>
        <v>50</v>
      </c>
      <c r="U25" s="16">
        <f>RANK(Table5[[#This Row],[Consequence]],$T$62:$T$264)</f>
        <v>1</v>
      </c>
      <c r="V25" s="16"/>
      <c r="X25" s="14">
        <f t="shared" si="2"/>
        <v>0</v>
      </c>
      <c r="Y25" s="14">
        <v>19.493670886075947</v>
      </c>
    </row>
    <row r="26" spans="1:25">
      <c r="A26" s="256" t="s">
        <v>981</v>
      </c>
      <c r="B26" s="80">
        <v>2</v>
      </c>
      <c r="C26" s="81" t="s">
        <v>871</v>
      </c>
      <c r="D26" s="82" t="s">
        <v>648</v>
      </c>
      <c r="E26" s="57" t="e">
        <f t="shared" si="3"/>
        <v>#REF!</v>
      </c>
      <c r="F26" s="16">
        <v>1490.514684388889</v>
      </c>
      <c r="G26" s="16">
        <f>Table5[[#This Row],[Probability]]*Table5[[#This Row],[Consequence]]</f>
        <v>1466.2087537878788</v>
      </c>
      <c r="H26" s="16">
        <f>RANK(Table5[[#This Row],[Risk Score]],$G$62:$G$312)</f>
        <v>23</v>
      </c>
      <c r="I26" s="16">
        <f>VLOOKUP(C26,Table1[[#All],[RC]:[Total Internal Corrosion Score]],27,FALSE)</f>
        <v>34.166666666666664</v>
      </c>
      <c r="J26" s="16">
        <f>RANK(Table5[[#This Row],[INTERNAL CORROSION]],$I$62:$I$312)</f>
        <v>8</v>
      </c>
      <c r="K26" s="16">
        <f>VLOOKUP(C26,Ext.Mo!$C$2:$AK$326,35,FALSE)</f>
        <v>19.493670000000002</v>
      </c>
      <c r="L26" s="16">
        <f>RANK(Table5[[#This Row],[EXTERNAL CORROSION]],$K$62:$K$312)</f>
        <v>3</v>
      </c>
      <c r="M26" s="16">
        <f>VLOOKUP(Table5[[#This Row],[RC]],Table3[[RC]:[Total TPI Score10]],23,0)</f>
        <v>43.63636363636364</v>
      </c>
      <c r="N26" s="16">
        <f>RANK(Table5[[#This Row],[THIRD PARTY INTERFERENCE]],$M$62:$M$312)</f>
        <v>2</v>
      </c>
      <c r="O26" s="16">
        <f>VLOOKUP(Table5[[#This Row],[RC]],LGS_Mo.!$C$5:$P$322,14,0)</f>
        <v>20</v>
      </c>
      <c r="P26" s="16">
        <f>RANK(Table5[[#This Row],[Loss  of ground support]],$O$62:$O$312)</f>
        <v>15</v>
      </c>
      <c r="Q26" s="16">
        <f>(I26+K26+M26+Table5[[#This Row],[Loss  of ground support]])/4</f>
        <v>29.324175075757577</v>
      </c>
      <c r="R26" s="16">
        <f>VLOOKUP(C26,consequence!$B$2:$K$302,10,FALSE)</f>
        <v>3</v>
      </c>
      <c r="S26" s="16">
        <f>VLOOKUP(C26,consequence!B126:$K$302,9,FALSE)</f>
        <v>7</v>
      </c>
      <c r="T26" s="16">
        <f t="shared" si="0"/>
        <v>50</v>
      </c>
      <c r="U26" s="16">
        <f>RANK(Table5[[#This Row],[Consequence]],$T$62:$T$264)</f>
        <v>1</v>
      </c>
      <c r="V26" s="16"/>
      <c r="X26" s="14">
        <f t="shared" si="2"/>
        <v>0</v>
      </c>
      <c r="Y26" s="14">
        <v>19.493670886075947</v>
      </c>
    </row>
    <row r="27" spans="1:25">
      <c r="A27" s="256" t="s">
        <v>981</v>
      </c>
      <c r="B27" s="80">
        <v>2</v>
      </c>
      <c r="C27" s="81" t="s">
        <v>872</v>
      </c>
      <c r="D27" s="82" t="s">
        <v>650</v>
      </c>
      <c r="E27" s="57" t="e">
        <f t="shared" si="3"/>
        <v>#REF!</v>
      </c>
      <c r="F27" s="16">
        <v>1490.514684388889</v>
      </c>
      <c r="G27" s="16">
        <f>Table5[[#This Row],[Probability]]*Table5[[#This Row],[Consequence]]</f>
        <v>1426.4360265151515</v>
      </c>
      <c r="H27" s="16">
        <f>RANK(Table5[[#This Row],[Risk Score]],$G$62:$G$312)</f>
        <v>191</v>
      </c>
      <c r="I27" s="16">
        <f>VLOOKUP(C27,Table1[[#All],[RC]:[Total Internal Corrosion Score]],27,FALSE)</f>
        <v>34.166666666666664</v>
      </c>
      <c r="J27" s="16">
        <f>RANK(Table5[[#This Row],[INTERNAL CORROSION]],$I$62:$I$312)</f>
        <v>8</v>
      </c>
      <c r="K27" s="16">
        <f>VLOOKUP(C27,Ext.Mo!$C$2:$AK$326,35,FALSE)</f>
        <v>19.493670000000002</v>
      </c>
      <c r="L27" s="16">
        <f>RANK(Table5[[#This Row],[EXTERNAL CORROSION]],$K$62:$K$312)</f>
        <v>3</v>
      </c>
      <c r="M27" s="16">
        <f>VLOOKUP(Table5[[#This Row],[RC]],Table3[[RC]:[Total TPI Score10]],23,0)</f>
        <v>40.454545454545453</v>
      </c>
      <c r="N27" s="16">
        <f>RANK(Table5[[#This Row],[THIRD PARTY INTERFERENCE]],$M$62:$M$312)</f>
        <v>224</v>
      </c>
      <c r="O27" s="16">
        <f>VLOOKUP(Table5[[#This Row],[RC]],LGS_Mo.!$C$5:$P$322,14,0)</f>
        <v>20</v>
      </c>
      <c r="P27" s="16">
        <f>RANK(Table5[[#This Row],[Loss  of ground support]],$O$62:$O$312)</f>
        <v>15</v>
      </c>
      <c r="Q27" s="16">
        <f>(I27+K27+M27+Table5[[#This Row],[Loss  of ground support]])/4</f>
        <v>28.52872053030303</v>
      </c>
      <c r="R27" s="16">
        <f>VLOOKUP(C27,consequence!$B$2:$K$302,10,FALSE)</f>
        <v>3</v>
      </c>
      <c r="S27" s="16">
        <f>VLOOKUP(C27,consequence!B127:$K$302,9,FALSE)</f>
        <v>7</v>
      </c>
      <c r="T27" s="16">
        <f t="shared" si="0"/>
        <v>50</v>
      </c>
      <c r="U27" s="16">
        <f>RANK(Table5[[#This Row],[Consequence]],$T$62:$T$264)</f>
        <v>1</v>
      </c>
      <c r="V27" s="16"/>
      <c r="X27" s="14">
        <f t="shared" si="2"/>
        <v>0</v>
      </c>
      <c r="Y27" s="14">
        <v>19.493670886075947</v>
      </c>
    </row>
    <row r="28" spans="1:25">
      <c r="A28" s="256" t="s">
        <v>981</v>
      </c>
      <c r="B28" s="80">
        <v>2</v>
      </c>
      <c r="C28" s="81" t="s">
        <v>873</v>
      </c>
      <c r="D28" s="82" t="s">
        <v>652</v>
      </c>
      <c r="E28" s="57" t="e">
        <f t="shared" si="3"/>
        <v>#REF!</v>
      </c>
      <c r="F28" s="16">
        <v>1490.514684388889</v>
      </c>
      <c r="G28" s="16">
        <f>Table5[[#This Row],[Probability]]*Table5[[#This Row],[Consequence]]</f>
        <v>1466.2087537878788</v>
      </c>
      <c r="H28" s="16">
        <f>RANK(Table5[[#This Row],[Risk Score]],$G$62:$G$312)</f>
        <v>23</v>
      </c>
      <c r="I28" s="16">
        <f>VLOOKUP(C28,Table1[[#All],[RC]:[Total Internal Corrosion Score]],27,FALSE)</f>
        <v>34.166666666666664</v>
      </c>
      <c r="J28" s="16">
        <f>RANK(Table5[[#This Row],[INTERNAL CORROSION]],$I$62:$I$312)</f>
        <v>8</v>
      </c>
      <c r="K28" s="16">
        <f>VLOOKUP(C28,Ext.Mo!$C$2:$AK$326,35,FALSE)</f>
        <v>19.493670000000002</v>
      </c>
      <c r="L28" s="16">
        <f>RANK(Table5[[#This Row],[EXTERNAL CORROSION]],$K$62:$K$312)</f>
        <v>3</v>
      </c>
      <c r="M28" s="16">
        <f>VLOOKUP(Table5[[#This Row],[RC]],Table3[[RC]:[Total TPI Score10]],23,0)</f>
        <v>43.63636363636364</v>
      </c>
      <c r="N28" s="16">
        <f>RANK(Table5[[#This Row],[THIRD PARTY INTERFERENCE]],$M$62:$M$312)</f>
        <v>2</v>
      </c>
      <c r="O28" s="16">
        <f>VLOOKUP(Table5[[#This Row],[RC]],LGS_Mo.!$C$5:$P$322,14,0)</f>
        <v>20</v>
      </c>
      <c r="P28" s="16">
        <f>RANK(Table5[[#This Row],[Loss  of ground support]],$O$62:$O$312)</f>
        <v>15</v>
      </c>
      <c r="Q28" s="16">
        <f>(I28+K28+M28+Table5[[#This Row],[Loss  of ground support]])/4</f>
        <v>29.324175075757577</v>
      </c>
      <c r="R28" s="16">
        <f>VLOOKUP(C28,consequence!$B$2:$K$302,10,FALSE)</f>
        <v>3</v>
      </c>
      <c r="S28" s="16">
        <f>VLOOKUP(C28,consequence!B128:$K$302,9,FALSE)</f>
        <v>7</v>
      </c>
      <c r="T28" s="16">
        <f t="shared" si="0"/>
        <v>50</v>
      </c>
      <c r="U28" s="16">
        <f>RANK(Table5[[#This Row],[Consequence]],$T$62:$T$264)</f>
        <v>1</v>
      </c>
      <c r="V28" s="16"/>
      <c r="X28" s="14">
        <f t="shared" si="2"/>
        <v>0</v>
      </c>
      <c r="Y28" s="14">
        <v>19.493670886075947</v>
      </c>
    </row>
    <row r="29" spans="1:25">
      <c r="A29" s="256" t="s">
        <v>981</v>
      </c>
      <c r="B29" s="80">
        <v>2</v>
      </c>
      <c r="C29" s="81" t="s">
        <v>874</v>
      </c>
      <c r="D29" s="82" t="s">
        <v>723</v>
      </c>
      <c r="E29" s="57" t="e">
        <f t="shared" si="3"/>
        <v>#REF!</v>
      </c>
      <c r="F29" s="16">
        <v>1490.514684388889</v>
      </c>
      <c r="G29" s="16">
        <f>Table5[[#This Row],[Probability]]*Table5[[#This Row],[Consequence]]</f>
        <v>1466.2087537878788</v>
      </c>
      <c r="H29" s="16">
        <f>RANK(Table5[[#This Row],[Risk Score]],$G$62:$G$312)</f>
        <v>23</v>
      </c>
      <c r="I29" s="16">
        <f>VLOOKUP(C29,Table1[[#All],[RC]:[Total Internal Corrosion Score]],27,FALSE)</f>
        <v>34.166666666666664</v>
      </c>
      <c r="J29" s="16">
        <f>RANK(Table5[[#This Row],[INTERNAL CORROSION]],$I$62:$I$312)</f>
        <v>8</v>
      </c>
      <c r="K29" s="16">
        <f>VLOOKUP(C29,Ext.Mo!$C$2:$AK$326,35,FALSE)</f>
        <v>19.493670000000002</v>
      </c>
      <c r="L29" s="16">
        <f>RANK(Table5[[#This Row],[EXTERNAL CORROSION]],$K$62:$K$312)</f>
        <v>3</v>
      </c>
      <c r="M29" s="16">
        <f>VLOOKUP(Table5[[#This Row],[RC]],Table3[[RC]:[Total TPI Score10]],23,0)</f>
        <v>43.63636363636364</v>
      </c>
      <c r="N29" s="16">
        <f>RANK(Table5[[#This Row],[THIRD PARTY INTERFERENCE]],$M$62:$M$312)</f>
        <v>2</v>
      </c>
      <c r="O29" s="16">
        <f>VLOOKUP(Table5[[#This Row],[RC]],LGS_Mo.!$C$5:$P$322,14,0)</f>
        <v>20</v>
      </c>
      <c r="P29" s="16">
        <f>RANK(Table5[[#This Row],[Loss  of ground support]],$O$62:$O$312)</f>
        <v>15</v>
      </c>
      <c r="Q29" s="16">
        <f>(I29+K29+M29+Table5[[#This Row],[Loss  of ground support]])/4</f>
        <v>29.324175075757577</v>
      </c>
      <c r="R29" s="16">
        <f>VLOOKUP(C29,consequence!$B$2:$K$302,10,FALSE)</f>
        <v>3</v>
      </c>
      <c r="S29" s="16">
        <f>VLOOKUP(C29,consequence!B129:$K$302,9,FALSE)</f>
        <v>7</v>
      </c>
      <c r="T29" s="16">
        <f t="shared" si="0"/>
        <v>50</v>
      </c>
      <c r="U29" s="16">
        <f>RANK(Table5[[#This Row],[Consequence]],$T$62:$T$264)</f>
        <v>1</v>
      </c>
      <c r="V29" s="16"/>
      <c r="X29" s="14">
        <f t="shared" si="2"/>
        <v>0</v>
      </c>
      <c r="Y29" s="14">
        <v>19.493670886075947</v>
      </c>
    </row>
    <row r="30" spans="1:25">
      <c r="A30" s="256" t="s">
        <v>981</v>
      </c>
      <c r="B30" s="80">
        <v>2</v>
      </c>
      <c r="C30" s="81" t="s">
        <v>875</v>
      </c>
      <c r="D30" s="82" t="s">
        <v>654</v>
      </c>
      <c r="E30" s="57" t="e">
        <f t="shared" si="3"/>
        <v>#REF!</v>
      </c>
      <c r="F30" s="16">
        <v>1490.514684388889</v>
      </c>
      <c r="G30" s="16">
        <f>Table5[[#This Row],[Probability]]*Table5[[#This Row],[Consequence]]</f>
        <v>1466.2087537878788</v>
      </c>
      <c r="H30" s="16">
        <f>RANK(Table5[[#This Row],[Risk Score]],$G$62:$G$312)</f>
        <v>23</v>
      </c>
      <c r="I30" s="16">
        <f>VLOOKUP(C30,Table1[[#All],[RC]:[Total Internal Corrosion Score]],27,FALSE)</f>
        <v>34.166666666666664</v>
      </c>
      <c r="J30" s="16">
        <f>RANK(Table5[[#This Row],[INTERNAL CORROSION]],$I$62:$I$312)</f>
        <v>8</v>
      </c>
      <c r="K30" s="16">
        <f>VLOOKUP(C30,Ext.Mo!$C$2:$AK$326,35,FALSE)</f>
        <v>19.493670000000002</v>
      </c>
      <c r="L30" s="16">
        <f>RANK(Table5[[#This Row],[EXTERNAL CORROSION]],$K$62:$K$312)</f>
        <v>3</v>
      </c>
      <c r="M30" s="16">
        <f>VLOOKUP(Table5[[#This Row],[RC]],Table3[[RC]:[Total TPI Score10]],23,0)</f>
        <v>43.63636363636364</v>
      </c>
      <c r="N30" s="16">
        <f>RANK(Table5[[#This Row],[THIRD PARTY INTERFERENCE]],$M$62:$M$312)</f>
        <v>2</v>
      </c>
      <c r="O30" s="16">
        <f>VLOOKUP(Table5[[#This Row],[RC]],LGS_Mo.!$C$5:$P$322,14,0)</f>
        <v>20</v>
      </c>
      <c r="P30" s="16">
        <f>RANK(Table5[[#This Row],[Loss  of ground support]],$O$62:$O$312)</f>
        <v>15</v>
      </c>
      <c r="Q30" s="16">
        <f>(I30+K30+M30+Table5[[#This Row],[Loss  of ground support]])/4</f>
        <v>29.324175075757577</v>
      </c>
      <c r="R30" s="16">
        <f>VLOOKUP(C30,consequence!$B$2:$K$302,10,FALSE)</f>
        <v>3</v>
      </c>
      <c r="S30" s="16">
        <f>VLOOKUP(C30,consequence!B130:$K$302,9,FALSE)</f>
        <v>7</v>
      </c>
      <c r="T30" s="16">
        <f t="shared" si="0"/>
        <v>50</v>
      </c>
      <c r="U30" s="16">
        <f>RANK(Table5[[#This Row],[Consequence]],$T$62:$T$264)</f>
        <v>1</v>
      </c>
      <c r="V30" s="16"/>
      <c r="X30" s="14">
        <f t="shared" si="2"/>
        <v>0</v>
      </c>
      <c r="Y30" s="14">
        <v>19.493670886075947</v>
      </c>
    </row>
    <row r="31" spans="1:25">
      <c r="A31" s="256" t="s">
        <v>981</v>
      </c>
      <c r="B31" s="80">
        <v>2</v>
      </c>
      <c r="C31" s="81" t="s">
        <v>876</v>
      </c>
      <c r="D31" s="82"/>
      <c r="E31" s="57" t="e">
        <f t="shared" si="3"/>
        <v>#REF!</v>
      </c>
      <c r="F31" s="16">
        <v>1490.514684388889</v>
      </c>
      <c r="G31" s="16">
        <f>Table5[[#This Row],[Probability]]*Table5[[#This Row],[Consequence]]</f>
        <v>1466.2087537878788</v>
      </c>
      <c r="H31" s="16">
        <f>RANK(Table5[[#This Row],[Risk Score]],$G$62:$G$312)</f>
        <v>23</v>
      </c>
      <c r="I31" s="16">
        <f>VLOOKUP(C31,Table1[[#All],[RC]:[Total Internal Corrosion Score]],27,FALSE)</f>
        <v>34.166666666666664</v>
      </c>
      <c r="J31" s="16">
        <f>RANK(Table5[[#This Row],[INTERNAL CORROSION]],$I$62:$I$312)</f>
        <v>8</v>
      </c>
      <c r="K31" s="16">
        <f>VLOOKUP(C31,Ext.Mo!$C$2:$AK$326,35,FALSE)</f>
        <v>19.493670000000002</v>
      </c>
      <c r="L31" s="16">
        <f>RANK(Table5[[#This Row],[EXTERNAL CORROSION]],$K$62:$K$312)</f>
        <v>3</v>
      </c>
      <c r="M31" s="16">
        <f>VLOOKUP(Table5[[#This Row],[RC]],Table3[[RC]:[Total TPI Score10]],23,0)</f>
        <v>43.63636363636364</v>
      </c>
      <c r="N31" s="16">
        <f>RANK(Table5[[#This Row],[THIRD PARTY INTERFERENCE]],$M$62:$M$312)</f>
        <v>2</v>
      </c>
      <c r="O31" s="16">
        <f>VLOOKUP(Table5[[#This Row],[RC]],LGS_Mo.!$C$5:$P$322,14,0)</f>
        <v>20</v>
      </c>
      <c r="P31" s="16">
        <f>RANK(Table5[[#This Row],[Loss  of ground support]],$O$62:$O$312)</f>
        <v>15</v>
      </c>
      <c r="Q31" s="16">
        <f>(I31+K31+M31+Table5[[#This Row],[Loss  of ground support]])/4</f>
        <v>29.324175075757577</v>
      </c>
      <c r="R31" s="16">
        <f>VLOOKUP(C31,consequence!$B$2:$K$302,10,FALSE)</f>
        <v>3</v>
      </c>
      <c r="S31" s="16">
        <f>VLOOKUP(C31,consequence!B131:$K$302,9,FALSE)</f>
        <v>7</v>
      </c>
      <c r="T31" s="16">
        <f t="shared" si="0"/>
        <v>50</v>
      </c>
      <c r="U31" s="16">
        <f>RANK(Table5[[#This Row],[Consequence]],$T$62:$T$264)</f>
        <v>1</v>
      </c>
      <c r="V31" s="16"/>
      <c r="X31" s="14">
        <f t="shared" si="2"/>
        <v>0</v>
      </c>
      <c r="Y31" s="14">
        <v>19.493670886075947</v>
      </c>
    </row>
    <row r="32" spans="1:25">
      <c r="A32" s="256" t="s">
        <v>981</v>
      </c>
      <c r="B32" s="80">
        <v>2</v>
      </c>
      <c r="C32" s="81" t="s">
        <v>877</v>
      </c>
      <c r="D32" s="82" t="s">
        <v>656</v>
      </c>
      <c r="E32" s="57" t="e">
        <f t="shared" si="3"/>
        <v>#REF!</v>
      </c>
      <c r="F32" s="16">
        <v>1490.514684388889</v>
      </c>
      <c r="G32" s="16">
        <f>Table5[[#This Row],[Probability]]*Table5[[#This Row],[Consequence]]</f>
        <v>1466.2087537878788</v>
      </c>
      <c r="H32" s="16">
        <f>RANK(Table5[[#This Row],[Risk Score]],$G$62:$G$312)</f>
        <v>23</v>
      </c>
      <c r="I32" s="16">
        <f>VLOOKUP(C32,Table1[[#All],[RC]:[Total Internal Corrosion Score]],27,FALSE)</f>
        <v>34.166666666666664</v>
      </c>
      <c r="J32" s="16">
        <f>RANK(Table5[[#This Row],[INTERNAL CORROSION]],$I$62:$I$312)</f>
        <v>8</v>
      </c>
      <c r="K32" s="16">
        <f>VLOOKUP(C32,Ext.Mo!$C$2:$AK$326,35,FALSE)</f>
        <v>19.493670000000002</v>
      </c>
      <c r="L32" s="16">
        <f>RANK(Table5[[#This Row],[EXTERNAL CORROSION]],$K$62:$K$312)</f>
        <v>3</v>
      </c>
      <c r="M32" s="16">
        <f>VLOOKUP(Table5[[#This Row],[RC]],Table3[[RC]:[Total TPI Score10]],23,0)</f>
        <v>43.63636363636364</v>
      </c>
      <c r="N32" s="16">
        <f>RANK(Table5[[#This Row],[THIRD PARTY INTERFERENCE]],$M$62:$M$312)</f>
        <v>2</v>
      </c>
      <c r="O32" s="16">
        <f>VLOOKUP(Table5[[#This Row],[RC]],LGS_Mo.!$C$5:$P$322,14,0)</f>
        <v>20</v>
      </c>
      <c r="P32" s="16">
        <f>RANK(Table5[[#This Row],[Loss  of ground support]],$O$62:$O$312)</f>
        <v>15</v>
      </c>
      <c r="Q32" s="16">
        <f>(I32+K32+M32+Table5[[#This Row],[Loss  of ground support]])/4</f>
        <v>29.324175075757577</v>
      </c>
      <c r="R32" s="16">
        <f>VLOOKUP(C32,consequence!$B$2:$K$302,10,FALSE)</f>
        <v>3</v>
      </c>
      <c r="S32" s="16">
        <f>VLOOKUP(C32,consequence!B132:$K$302,9,FALSE)</f>
        <v>7</v>
      </c>
      <c r="T32" s="16">
        <f t="shared" si="0"/>
        <v>50</v>
      </c>
      <c r="U32" s="16">
        <f>RANK(Table5[[#This Row],[Consequence]],$T$62:$T$264)</f>
        <v>1</v>
      </c>
      <c r="V32" s="16"/>
      <c r="X32" s="14">
        <f t="shared" si="2"/>
        <v>0</v>
      </c>
      <c r="Y32" s="14">
        <v>19.493670886075947</v>
      </c>
    </row>
    <row r="33" spans="1:25">
      <c r="A33" s="256" t="s">
        <v>981</v>
      </c>
      <c r="B33" s="87">
        <v>2</v>
      </c>
      <c r="C33" s="81" t="s">
        <v>878</v>
      </c>
      <c r="D33" s="89" t="s">
        <v>720</v>
      </c>
      <c r="E33" s="57" t="e">
        <f t="shared" si="3"/>
        <v>#REF!</v>
      </c>
      <c r="F33" s="16">
        <v>1490.514684388889</v>
      </c>
      <c r="G33" s="16">
        <f>Table5[[#This Row],[Probability]]*Table5[[#This Row],[Consequence]]</f>
        <v>1466.2087537878788</v>
      </c>
      <c r="H33" s="16">
        <f>RANK(Table5[[#This Row],[Risk Score]],$G$62:$G$312)</f>
        <v>23</v>
      </c>
      <c r="I33" s="16">
        <f>VLOOKUP(C33,Table1[[#All],[RC]:[Total Internal Corrosion Score]],27,FALSE)</f>
        <v>34.166666666666664</v>
      </c>
      <c r="J33" s="16">
        <f>RANK(Table5[[#This Row],[INTERNAL CORROSION]],$I$62:$I$312)</f>
        <v>8</v>
      </c>
      <c r="K33" s="16">
        <f>VLOOKUP(C33,Ext.Mo!$C$2:$AK$326,35,FALSE)</f>
        <v>19.493670000000002</v>
      </c>
      <c r="L33" s="16">
        <f>RANK(Table5[[#This Row],[EXTERNAL CORROSION]],$K$62:$K$312)</f>
        <v>3</v>
      </c>
      <c r="M33" s="16">
        <f>VLOOKUP(Table5[[#This Row],[RC]],Table3[[RC]:[Total TPI Score10]],23,0)</f>
        <v>43.63636363636364</v>
      </c>
      <c r="N33" s="16">
        <f>RANK(Table5[[#This Row],[THIRD PARTY INTERFERENCE]],$M$62:$M$312)</f>
        <v>2</v>
      </c>
      <c r="O33" s="16">
        <f>VLOOKUP(Table5[[#This Row],[RC]],LGS_Mo.!$C$5:$P$322,14,0)</f>
        <v>20</v>
      </c>
      <c r="P33" s="16">
        <f>RANK(Table5[[#This Row],[Loss  of ground support]],$O$62:$O$312)</f>
        <v>15</v>
      </c>
      <c r="Q33" s="16">
        <f>(I33+K33+M33+Table5[[#This Row],[Loss  of ground support]])/4</f>
        <v>29.324175075757577</v>
      </c>
      <c r="R33" s="16">
        <f>VLOOKUP(C33,consequence!$B$2:$K$302,10,FALSE)</f>
        <v>3</v>
      </c>
      <c r="S33" s="16">
        <f>VLOOKUP(C33,consequence!B133:$K$302,9,FALSE)</f>
        <v>7</v>
      </c>
      <c r="T33" s="16">
        <f t="shared" si="0"/>
        <v>50</v>
      </c>
      <c r="U33" s="16">
        <f>RANK(Table5[[#This Row],[Consequence]],$T$62:$T$264)</f>
        <v>1</v>
      </c>
      <c r="V33" s="16" t="s">
        <v>855</v>
      </c>
      <c r="X33" s="14">
        <f t="shared" si="2"/>
        <v>0</v>
      </c>
      <c r="Y33" s="14">
        <v>19.493670886075947</v>
      </c>
    </row>
    <row r="34" spans="1:25">
      <c r="A34" s="256" t="s">
        <v>981</v>
      </c>
      <c r="B34" s="80">
        <v>2</v>
      </c>
      <c r="C34" s="81" t="s">
        <v>879</v>
      </c>
      <c r="D34" s="82" t="s">
        <v>658</v>
      </c>
      <c r="E34" s="57" t="e">
        <f t="shared" si="3"/>
        <v>#REF!</v>
      </c>
      <c r="F34" s="16">
        <v>1490.514684388889</v>
      </c>
      <c r="G34" s="16">
        <f>Table5[[#This Row],[Probability]]*Table5[[#This Row],[Consequence]]</f>
        <v>1466.2087537878788</v>
      </c>
      <c r="H34" s="16">
        <f>RANK(Table5[[#This Row],[Risk Score]],$G$62:$G$312)</f>
        <v>23</v>
      </c>
      <c r="I34" s="16">
        <f>VLOOKUP(C34,Table1[[#All],[RC]:[Total Internal Corrosion Score]],27,FALSE)</f>
        <v>34.166666666666664</v>
      </c>
      <c r="J34" s="16">
        <f>RANK(Table5[[#This Row],[INTERNAL CORROSION]],$I$62:$I$312)</f>
        <v>8</v>
      </c>
      <c r="K34" s="16">
        <f>VLOOKUP(C34,Ext.Mo!$C$2:$AK$326,35,FALSE)</f>
        <v>19.493670000000002</v>
      </c>
      <c r="L34" s="16">
        <f>RANK(Table5[[#This Row],[EXTERNAL CORROSION]],$K$62:$K$312)</f>
        <v>3</v>
      </c>
      <c r="M34" s="16">
        <f>VLOOKUP(Table5[[#This Row],[RC]],Table3[[RC]:[Total TPI Score10]],23,0)</f>
        <v>43.63636363636364</v>
      </c>
      <c r="N34" s="16">
        <f>RANK(Table5[[#This Row],[THIRD PARTY INTERFERENCE]],$M$62:$M$312)</f>
        <v>2</v>
      </c>
      <c r="O34" s="16">
        <f>VLOOKUP(Table5[[#This Row],[RC]],LGS_Mo.!$C$5:$P$322,14,0)</f>
        <v>20</v>
      </c>
      <c r="P34" s="16">
        <f>RANK(Table5[[#This Row],[Loss  of ground support]],$O$62:$O$312)</f>
        <v>15</v>
      </c>
      <c r="Q34" s="16">
        <f>(I34+K34+M34+Table5[[#This Row],[Loss  of ground support]])/4</f>
        <v>29.324175075757577</v>
      </c>
      <c r="R34" s="16">
        <f>VLOOKUP(C34,consequence!$B$2:$K$302,10,FALSE)</f>
        <v>3</v>
      </c>
      <c r="S34" s="16">
        <f>VLOOKUP(C34,consequence!B134:$K$302,9,FALSE)</f>
        <v>7</v>
      </c>
      <c r="T34" s="16">
        <f t="shared" si="0"/>
        <v>50</v>
      </c>
      <c r="U34" s="16">
        <f>RANK(Table5[[#This Row],[Consequence]],$T$62:$T$264)</f>
        <v>1</v>
      </c>
      <c r="V34" s="16"/>
      <c r="X34" s="14">
        <f t="shared" si="2"/>
        <v>0</v>
      </c>
      <c r="Y34" s="14">
        <v>19.493670886075947</v>
      </c>
    </row>
    <row r="35" spans="1:25">
      <c r="A35" s="256" t="s">
        <v>981</v>
      </c>
      <c r="B35" s="80">
        <v>2</v>
      </c>
      <c r="C35" s="81" t="s">
        <v>880</v>
      </c>
      <c r="D35" s="82" t="s">
        <v>724</v>
      </c>
      <c r="E35" s="57" t="e">
        <f t="shared" si="3"/>
        <v>#REF!</v>
      </c>
      <c r="F35" s="16">
        <v>1490.514684388889</v>
      </c>
      <c r="G35" s="16">
        <f>Table5[[#This Row],[Probability]]*Table5[[#This Row],[Consequence]]</f>
        <v>1466.2087537878788</v>
      </c>
      <c r="H35" s="16">
        <f>RANK(Table5[[#This Row],[Risk Score]],$G$62:$G$312)</f>
        <v>23</v>
      </c>
      <c r="I35" s="16">
        <f>VLOOKUP(C35,Table1[[#All],[RC]:[Total Internal Corrosion Score]],27,FALSE)</f>
        <v>34.166666666666664</v>
      </c>
      <c r="J35" s="16">
        <f>RANK(Table5[[#This Row],[INTERNAL CORROSION]],$I$62:$I$312)</f>
        <v>8</v>
      </c>
      <c r="K35" s="16">
        <f>VLOOKUP(C35,Ext.Mo!$C$2:$AK$326,35,FALSE)</f>
        <v>19.493670000000002</v>
      </c>
      <c r="L35" s="16">
        <f>RANK(Table5[[#This Row],[EXTERNAL CORROSION]],$K$62:$K$312)</f>
        <v>3</v>
      </c>
      <c r="M35" s="16">
        <f>VLOOKUP(Table5[[#This Row],[RC]],Table3[[RC]:[Total TPI Score10]],23,0)</f>
        <v>43.63636363636364</v>
      </c>
      <c r="N35" s="16">
        <f>RANK(Table5[[#This Row],[THIRD PARTY INTERFERENCE]],$M$62:$M$312)</f>
        <v>2</v>
      </c>
      <c r="O35" s="16">
        <f>VLOOKUP(Table5[[#This Row],[RC]],LGS_Mo.!$C$5:$P$322,14,0)</f>
        <v>20</v>
      </c>
      <c r="P35" s="16">
        <f>RANK(Table5[[#This Row],[Loss  of ground support]],$O$62:$O$312)</f>
        <v>15</v>
      </c>
      <c r="Q35" s="16">
        <f>(I35+K35+M35+Table5[[#This Row],[Loss  of ground support]])/4</f>
        <v>29.324175075757577</v>
      </c>
      <c r="R35" s="16">
        <f>VLOOKUP(C35,consequence!$B$2:$K$302,10,FALSE)</f>
        <v>3</v>
      </c>
      <c r="S35" s="16">
        <f>VLOOKUP(C35,consequence!B135:$K$302,9,FALSE)</f>
        <v>7</v>
      </c>
      <c r="T35" s="16">
        <f t="shared" ref="T35:T66" si="4">((R35*5)+(S35*5))</f>
        <v>50</v>
      </c>
      <c r="U35" s="16">
        <f>RANK(Table5[[#This Row],[Consequence]],$T$62:$T$264)</f>
        <v>1</v>
      </c>
      <c r="V35" s="16"/>
      <c r="X35" s="14">
        <f t="shared" si="2"/>
        <v>0</v>
      </c>
      <c r="Y35" s="14">
        <v>19.493670886075947</v>
      </c>
    </row>
    <row r="36" spans="1:25">
      <c r="A36" s="256" t="s">
        <v>981</v>
      </c>
      <c r="B36" s="84">
        <v>2</v>
      </c>
      <c r="C36" s="81" t="s">
        <v>881</v>
      </c>
      <c r="D36" s="82" t="s">
        <v>266</v>
      </c>
      <c r="E36" s="57" t="e">
        <f t="shared" si="3"/>
        <v>#REF!</v>
      </c>
      <c r="F36" s="16">
        <v>1490.514684388889</v>
      </c>
      <c r="G36" s="16">
        <f>Table5[[#This Row],[Probability]]*Table5[[#This Row],[Consequence]]</f>
        <v>1459.2643093434344</v>
      </c>
      <c r="H36" s="16">
        <f>RANK(Table5[[#This Row],[Risk Score]],$G$62:$G$312)</f>
        <v>130</v>
      </c>
      <c r="I36" s="16">
        <f>VLOOKUP(C36,Table1[[#All],[RC]:[Total Internal Corrosion Score]],27,FALSE)</f>
        <v>33.611111111111107</v>
      </c>
      <c r="J36" s="16">
        <f>RANK(Table5[[#This Row],[INTERNAL CORROSION]],$I$62:$I$312)</f>
        <v>208</v>
      </c>
      <c r="K36" s="16">
        <f>VLOOKUP(C36,Ext.Mo!$C$2:$AK$326,35,FALSE)</f>
        <v>19.493670000000002</v>
      </c>
      <c r="L36" s="16">
        <f>RANK(Table5[[#This Row],[EXTERNAL CORROSION]],$K$62:$K$312)</f>
        <v>3</v>
      </c>
      <c r="M36" s="16">
        <f>VLOOKUP(Table5[[#This Row],[RC]],Table3[[RC]:[Total TPI Score10]],23,0)</f>
        <v>43.63636363636364</v>
      </c>
      <c r="N36" s="16">
        <f>RANK(Table5[[#This Row],[THIRD PARTY INTERFERENCE]],$M$62:$M$312)</f>
        <v>2</v>
      </c>
      <c r="O36" s="16">
        <f>VLOOKUP(Table5[[#This Row],[RC]],LGS_Mo.!$C$5:$P$322,14,0)</f>
        <v>20</v>
      </c>
      <c r="P36" s="16">
        <f>RANK(Table5[[#This Row],[Loss  of ground support]],$O$62:$O$312)</f>
        <v>15</v>
      </c>
      <c r="Q36" s="16">
        <f>(I36+K36+M36+Table5[[#This Row],[Loss  of ground support]])/4</f>
        <v>29.185286186868687</v>
      </c>
      <c r="R36" s="16">
        <f>VLOOKUP(C36,consequence!$B$2:$K$302,10,FALSE)</f>
        <v>3</v>
      </c>
      <c r="S36" s="16">
        <f>VLOOKUP(C36,consequence!B136:$K$302,9,FALSE)</f>
        <v>7</v>
      </c>
      <c r="T36" s="16">
        <f t="shared" si="4"/>
        <v>50</v>
      </c>
      <c r="U36" s="16">
        <f>RANK(Table5[[#This Row],[Consequence]],$T$62:$T$264)</f>
        <v>1</v>
      </c>
      <c r="V36" s="16"/>
      <c r="X36" s="14">
        <f t="shared" si="2"/>
        <v>0</v>
      </c>
      <c r="Y36" s="14">
        <v>19.493670886075947</v>
      </c>
    </row>
    <row r="37" spans="1:25">
      <c r="A37" s="256" t="s">
        <v>981</v>
      </c>
      <c r="B37" s="80">
        <v>2</v>
      </c>
      <c r="C37" s="81" t="s">
        <v>882</v>
      </c>
      <c r="D37" s="82" t="s">
        <v>660</v>
      </c>
      <c r="E37" s="57" t="e">
        <f t="shared" si="3"/>
        <v>#REF!</v>
      </c>
      <c r="F37" s="16">
        <v>1490.514684388889</v>
      </c>
      <c r="G37" s="16">
        <f>Table5[[#This Row],[Probability]]*Table5[[#This Row],[Consequence]]</f>
        <v>1466.2087537878788</v>
      </c>
      <c r="H37" s="16">
        <f>RANK(Table5[[#This Row],[Risk Score]],$G$62:$G$312)</f>
        <v>23</v>
      </c>
      <c r="I37" s="16">
        <f>VLOOKUP(C37,Table1[[#All],[RC]:[Total Internal Corrosion Score]],27,FALSE)</f>
        <v>34.166666666666664</v>
      </c>
      <c r="J37" s="16">
        <f>RANK(Table5[[#This Row],[INTERNAL CORROSION]],$I$62:$I$312)</f>
        <v>8</v>
      </c>
      <c r="K37" s="16">
        <f>VLOOKUP(C37,Ext.Mo!$C$2:$AK$326,35,FALSE)</f>
        <v>19.493670000000002</v>
      </c>
      <c r="L37" s="16">
        <f>RANK(Table5[[#This Row],[EXTERNAL CORROSION]],$K$62:$K$312)</f>
        <v>3</v>
      </c>
      <c r="M37" s="16">
        <f>VLOOKUP(Table5[[#This Row],[RC]],Table3[[RC]:[Total TPI Score10]],23,0)</f>
        <v>43.63636363636364</v>
      </c>
      <c r="N37" s="16">
        <f>RANK(Table5[[#This Row],[THIRD PARTY INTERFERENCE]],$M$62:$M$312)</f>
        <v>2</v>
      </c>
      <c r="O37" s="16">
        <f>VLOOKUP(Table5[[#This Row],[RC]],LGS_Mo.!$C$5:$P$322,14,0)</f>
        <v>20</v>
      </c>
      <c r="P37" s="16">
        <f>RANK(Table5[[#This Row],[Loss  of ground support]],$O$62:$O$312)</f>
        <v>15</v>
      </c>
      <c r="Q37" s="16">
        <f>(I37+K37+M37+Table5[[#This Row],[Loss  of ground support]])/4</f>
        <v>29.324175075757577</v>
      </c>
      <c r="R37" s="16">
        <f>VLOOKUP(C37,consequence!$B$2:$K$302,10,FALSE)</f>
        <v>3</v>
      </c>
      <c r="S37" s="16">
        <f>VLOOKUP(C37,consequence!B137:$K$302,9,FALSE)</f>
        <v>7</v>
      </c>
      <c r="T37" s="16">
        <f t="shared" si="4"/>
        <v>50</v>
      </c>
      <c r="U37" s="16">
        <f>RANK(Table5[[#This Row],[Consequence]],$T$62:$T$264)</f>
        <v>1</v>
      </c>
      <c r="V37" s="16"/>
      <c r="X37" s="14">
        <f t="shared" si="2"/>
        <v>0</v>
      </c>
      <c r="Y37" s="14">
        <v>19.493670886075947</v>
      </c>
    </row>
    <row r="38" spans="1:25">
      <c r="A38" s="256" t="s">
        <v>981</v>
      </c>
      <c r="B38" s="80">
        <v>2</v>
      </c>
      <c r="C38" s="81" t="s">
        <v>883</v>
      </c>
      <c r="D38" s="82" t="s">
        <v>662</v>
      </c>
      <c r="E38" s="57" t="e">
        <f t="shared" si="3"/>
        <v>#REF!</v>
      </c>
      <c r="F38" s="16">
        <v>1490.514684388889</v>
      </c>
      <c r="G38" s="16">
        <f>Table5[[#This Row],[Probability]]*Table5[[#This Row],[Consequence]]</f>
        <v>1466.2087537878788</v>
      </c>
      <c r="H38" s="16">
        <f>RANK(Table5[[#This Row],[Risk Score]],$G$62:$G$312)</f>
        <v>23</v>
      </c>
      <c r="I38" s="16">
        <f>VLOOKUP(C38,Table1[[#All],[RC]:[Total Internal Corrosion Score]],27,FALSE)</f>
        <v>34.166666666666664</v>
      </c>
      <c r="J38" s="16">
        <f>RANK(Table5[[#This Row],[INTERNAL CORROSION]],$I$62:$I$312)</f>
        <v>8</v>
      </c>
      <c r="K38" s="16">
        <f>VLOOKUP(C38,Ext.Mo!$C$2:$AK$326,35,FALSE)</f>
        <v>19.493670000000002</v>
      </c>
      <c r="L38" s="16">
        <f>RANK(Table5[[#This Row],[EXTERNAL CORROSION]],$K$62:$K$312)</f>
        <v>3</v>
      </c>
      <c r="M38" s="16">
        <f>VLOOKUP(Table5[[#This Row],[RC]],Table3[[RC]:[Total TPI Score10]],23,0)</f>
        <v>43.63636363636364</v>
      </c>
      <c r="N38" s="16">
        <f>RANK(Table5[[#This Row],[THIRD PARTY INTERFERENCE]],$M$62:$M$312)</f>
        <v>2</v>
      </c>
      <c r="O38" s="16">
        <f>VLOOKUP(Table5[[#This Row],[RC]],LGS_Mo.!$C$5:$P$322,14,0)</f>
        <v>20</v>
      </c>
      <c r="P38" s="16">
        <f>RANK(Table5[[#This Row],[Loss  of ground support]],$O$62:$O$312)</f>
        <v>15</v>
      </c>
      <c r="Q38" s="16">
        <f>(I38+K38+M38+Table5[[#This Row],[Loss  of ground support]])/4</f>
        <v>29.324175075757577</v>
      </c>
      <c r="R38" s="16">
        <f>VLOOKUP(C38,consequence!$B$2:$K$302,10,FALSE)</f>
        <v>3</v>
      </c>
      <c r="S38" s="16">
        <f>VLOOKUP(C38,consequence!B138:$K$302,9,FALSE)</f>
        <v>7</v>
      </c>
      <c r="T38" s="16">
        <f t="shared" si="4"/>
        <v>50</v>
      </c>
      <c r="U38" s="16">
        <f>RANK(Table5[[#This Row],[Consequence]],$T$62:$T$264)</f>
        <v>1</v>
      </c>
      <c r="V38" s="16"/>
      <c r="X38" s="14">
        <f t="shared" si="2"/>
        <v>0</v>
      </c>
      <c r="Y38" s="14">
        <v>19.493670886075947</v>
      </c>
    </row>
    <row r="39" spans="1:25">
      <c r="A39" s="256" t="s">
        <v>981</v>
      </c>
      <c r="B39" s="87">
        <v>2</v>
      </c>
      <c r="C39" s="81" t="s">
        <v>884</v>
      </c>
      <c r="D39" s="89" t="s">
        <v>722</v>
      </c>
      <c r="E39" s="57" t="e">
        <f t="shared" si="3"/>
        <v>#REF!</v>
      </c>
      <c r="F39" s="16">
        <v>1490.514684388889</v>
      </c>
      <c r="G39" s="16">
        <f>Table5[[#This Row],[Probability]]*Table5[[#This Row],[Consequence]]</f>
        <v>1466.2087537878788</v>
      </c>
      <c r="H39" s="16">
        <f>RANK(Table5[[#This Row],[Risk Score]],$G$62:$G$312)</f>
        <v>23</v>
      </c>
      <c r="I39" s="16">
        <f>VLOOKUP(C39,Table1[[#All],[RC]:[Total Internal Corrosion Score]],27,FALSE)</f>
        <v>34.166666666666664</v>
      </c>
      <c r="J39" s="16">
        <f>RANK(Table5[[#This Row],[INTERNAL CORROSION]],$I$62:$I$312)</f>
        <v>8</v>
      </c>
      <c r="K39" s="16">
        <f>VLOOKUP(C39,Ext.Mo!$C$2:$AK$326,35,FALSE)</f>
        <v>19.493670000000002</v>
      </c>
      <c r="L39" s="16">
        <f>RANK(Table5[[#This Row],[EXTERNAL CORROSION]],$K$62:$K$312)</f>
        <v>3</v>
      </c>
      <c r="M39" s="16">
        <f>VLOOKUP(Table5[[#This Row],[RC]],Table3[[RC]:[Total TPI Score10]],23,0)</f>
        <v>43.63636363636364</v>
      </c>
      <c r="N39" s="16">
        <f>RANK(Table5[[#This Row],[THIRD PARTY INTERFERENCE]],$M$62:$M$312)</f>
        <v>2</v>
      </c>
      <c r="O39" s="16">
        <f>VLOOKUP(Table5[[#This Row],[RC]],LGS_Mo.!$C$5:$P$322,14,0)</f>
        <v>20</v>
      </c>
      <c r="P39" s="16">
        <f>RANK(Table5[[#This Row],[Loss  of ground support]],$O$62:$O$312)</f>
        <v>15</v>
      </c>
      <c r="Q39" s="16">
        <f>(I39+K39+M39+Table5[[#This Row],[Loss  of ground support]])/4</f>
        <v>29.324175075757577</v>
      </c>
      <c r="R39" s="16">
        <f>VLOOKUP(C39,consequence!$B$2:$K$302,10,FALSE)</f>
        <v>3</v>
      </c>
      <c r="S39" s="16">
        <f>VLOOKUP(C39,consequence!B139:$K$302,9,FALSE)</f>
        <v>7</v>
      </c>
      <c r="T39" s="16">
        <f t="shared" si="4"/>
        <v>50</v>
      </c>
      <c r="U39" s="16">
        <f>RANK(Table5[[#This Row],[Consequence]],$T$62:$T$264)</f>
        <v>1</v>
      </c>
      <c r="V39" s="16"/>
      <c r="X39" s="14">
        <f t="shared" si="2"/>
        <v>0</v>
      </c>
      <c r="Y39" s="14">
        <v>19.493670886075947</v>
      </c>
    </row>
    <row r="40" spans="1:25">
      <c r="A40" s="256" t="s">
        <v>981</v>
      </c>
      <c r="B40" s="80">
        <v>2</v>
      </c>
      <c r="C40" s="81" t="s">
        <v>885</v>
      </c>
      <c r="D40" s="82" t="s">
        <v>664</v>
      </c>
      <c r="E40" s="57" t="e">
        <f t="shared" si="3"/>
        <v>#REF!</v>
      </c>
      <c r="F40" s="16">
        <v>1490.514684388889</v>
      </c>
      <c r="G40" s="16">
        <f>Table5[[#This Row],[Probability]]*Table5[[#This Row],[Consequence]]</f>
        <v>1466.2087537878788</v>
      </c>
      <c r="H40" s="16">
        <f>RANK(Table5[[#This Row],[Risk Score]],$G$62:$G$312)</f>
        <v>23</v>
      </c>
      <c r="I40" s="16">
        <f>VLOOKUP(C40,Table1[[#All],[RC]:[Total Internal Corrosion Score]],27,FALSE)</f>
        <v>34.166666666666664</v>
      </c>
      <c r="J40" s="16">
        <f>RANK(Table5[[#This Row],[INTERNAL CORROSION]],$I$62:$I$312)</f>
        <v>8</v>
      </c>
      <c r="K40" s="16">
        <f>VLOOKUP(C40,Ext.Mo!$C$2:$AK$326,35,FALSE)</f>
        <v>19.493670000000002</v>
      </c>
      <c r="L40" s="16">
        <f>RANK(Table5[[#This Row],[EXTERNAL CORROSION]],$K$62:$K$312)</f>
        <v>3</v>
      </c>
      <c r="M40" s="16">
        <f>VLOOKUP(Table5[[#This Row],[RC]],Table3[[RC]:[Total TPI Score10]],23,0)</f>
        <v>43.63636363636364</v>
      </c>
      <c r="N40" s="16">
        <f>RANK(Table5[[#This Row],[THIRD PARTY INTERFERENCE]],$M$62:$M$312)</f>
        <v>2</v>
      </c>
      <c r="O40" s="16">
        <f>VLOOKUP(Table5[[#This Row],[RC]],LGS_Mo.!$C$5:$P$322,14,0)</f>
        <v>20</v>
      </c>
      <c r="P40" s="16">
        <f>RANK(Table5[[#This Row],[Loss  of ground support]],$O$62:$O$312)</f>
        <v>15</v>
      </c>
      <c r="Q40" s="16">
        <f>(I40+K40+M40+Table5[[#This Row],[Loss  of ground support]])/4</f>
        <v>29.324175075757577</v>
      </c>
      <c r="R40" s="16">
        <f>VLOOKUP(C40,consequence!$B$2:$K$302,10,FALSE)</f>
        <v>3</v>
      </c>
      <c r="S40" s="16">
        <f>VLOOKUP(C40,consequence!B140:$K$302,9,FALSE)</f>
        <v>7</v>
      </c>
      <c r="T40" s="16">
        <f t="shared" si="4"/>
        <v>50</v>
      </c>
      <c r="U40" s="16">
        <f>RANK(Table5[[#This Row],[Consequence]],$T$62:$T$264)</f>
        <v>1</v>
      </c>
      <c r="V40" s="16" t="s">
        <v>857</v>
      </c>
      <c r="X40" s="14">
        <f t="shared" si="2"/>
        <v>0</v>
      </c>
      <c r="Y40" s="14">
        <v>19.493670886075947</v>
      </c>
    </row>
    <row r="41" spans="1:25">
      <c r="A41" s="256" t="s">
        <v>981</v>
      </c>
      <c r="B41" s="80">
        <v>2</v>
      </c>
      <c r="C41" s="81" t="s">
        <v>885</v>
      </c>
      <c r="D41" s="82" t="s">
        <v>665</v>
      </c>
      <c r="E41" s="57" t="e">
        <f t="shared" si="3"/>
        <v>#REF!</v>
      </c>
      <c r="F41" s="16">
        <v>1490.514684388889</v>
      </c>
      <c r="G41" s="16">
        <f>Table5[[#This Row],[Probability]]*Table5[[#This Row],[Consequence]]</f>
        <v>1466.2087537878788</v>
      </c>
      <c r="H41" s="16">
        <f>RANK(Table5[[#This Row],[Risk Score]],$G$62:$G$312)</f>
        <v>23</v>
      </c>
      <c r="I41" s="16">
        <f>VLOOKUP(C41,Table1[[#All],[RC]:[Total Internal Corrosion Score]],27,FALSE)</f>
        <v>34.166666666666664</v>
      </c>
      <c r="J41" s="16">
        <f>RANK(Table5[[#This Row],[INTERNAL CORROSION]],$I$62:$I$312)</f>
        <v>8</v>
      </c>
      <c r="K41" s="16">
        <f>VLOOKUP(C41,Ext.Mo!$C$2:$AK$326,35,FALSE)</f>
        <v>19.493670000000002</v>
      </c>
      <c r="L41" s="16">
        <f>RANK(Table5[[#This Row],[EXTERNAL CORROSION]],$K$62:$K$312)</f>
        <v>3</v>
      </c>
      <c r="M41" s="16">
        <f>VLOOKUP(Table5[[#This Row],[RC]],Table3[[RC]:[Total TPI Score10]],23,0)</f>
        <v>43.63636363636364</v>
      </c>
      <c r="N41" s="16">
        <f>RANK(Table5[[#This Row],[THIRD PARTY INTERFERENCE]],$M$62:$M$312)</f>
        <v>2</v>
      </c>
      <c r="O41" s="16">
        <f>VLOOKUP(Table5[[#This Row],[RC]],LGS_Mo.!$C$5:$P$322,14,0)</f>
        <v>20</v>
      </c>
      <c r="P41" s="16">
        <f>RANK(Table5[[#This Row],[Loss  of ground support]],$O$62:$O$312)</f>
        <v>15</v>
      </c>
      <c r="Q41" s="16">
        <f>(I41+K41+M41+Table5[[#This Row],[Loss  of ground support]])/4</f>
        <v>29.324175075757577</v>
      </c>
      <c r="R41" s="16">
        <f>VLOOKUP(C41,consequence!$B$2:$K$302,10,FALSE)</f>
        <v>3</v>
      </c>
      <c r="S41" s="16">
        <f>VLOOKUP(C41,consequence!B141:$K$302,9,FALSE)</f>
        <v>7</v>
      </c>
      <c r="T41" s="16">
        <f t="shared" si="4"/>
        <v>50</v>
      </c>
      <c r="U41" s="16">
        <f>RANK(Table5[[#This Row],[Consequence]],$T$62:$T$264)</f>
        <v>1</v>
      </c>
      <c r="V41" s="16"/>
      <c r="X41" s="14">
        <f t="shared" si="2"/>
        <v>0</v>
      </c>
      <c r="Y41" s="14">
        <v>19.493670886075947</v>
      </c>
    </row>
    <row r="42" spans="1:25">
      <c r="A42" s="256" t="s">
        <v>981</v>
      </c>
      <c r="B42" s="87">
        <v>2</v>
      </c>
      <c r="C42" s="81" t="s">
        <v>886</v>
      </c>
      <c r="D42" s="89" t="s">
        <v>250</v>
      </c>
      <c r="E42" s="57" t="e">
        <f t="shared" si="3"/>
        <v>#REF!</v>
      </c>
      <c r="F42" s="16">
        <v>1490.514684388889</v>
      </c>
      <c r="G42" s="16">
        <f>Table5[[#This Row],[Probability]]*Table5[[#This Row],[Consequence]]</f>
        <v>1466.2087537878788</v>
      </c>
      <c r="H42" s="16">
        <f>RANK(Table5[[#This Row],[Risk Score]],$G$62:$G$312)</f>
        <v>23</v>
      </c>
      <c r="I42" s="16">
        <f>VLOOKUP(C42,Table1[[#All],[RC]:[Total Internal Corrosion Score]],27,FALSE)</f>
        <v>34.166666666666664</v>
      </c>
      <c r="J42" s="16">
        <f>RANK(Table5[[#This Row],[INTERNAL CORROSION]],$I$62:$I$312)</f>
        <v>8</v>
      </c>
      <c r="K42" s="16">
        <f>VLOOKUP(C42,Ext.Mo!$C$2:$AK$326,35,FALSE)</f>
        <v>19.493670000000002</v>
      </c>
      <c r="L42" s="16">
        <f>RANK(Table5[[#This Row],[EXTERNAL CORROSION]],$K$62:$K$312)</f>
        <v>3</v>
      </c>
      <c r="M42" s="16">
        <f>VLOOKUP(Table5[[#This Row],[RC]],Table3[[RC]:[Total TPI Score10]],23,0)</f>
        <v>43.63636363636364</v>
      </c>
      <c r="N42" s="16">
        <f>RANK(Table5[[#This Row],[THIRD PARTY INTERFERENCE]],$M$62:$M$312)</f>
        <v>2</v>
      </c>
      <c r="O42" s="16">
        <f>VLOOKUP(Table5[[#This Row],[RC]],LGS_Mo.!$C$5:$P$322,14,0)</f>
        <v>20</v>
      </c>
      <c r="P42" s="16">
        <f>RANK(Table5[[#This Row],[Loss  of ground support]],$O$62:$O$312)</f>
        <v>15</v>
      </c>
      <c r="Q42" s="16">
        <f>(I42+K42+M42+Table5[[#This Row],[Loss  of ground support]])/4</f>
        <v>29.324175075757577</v>
      </c>
      <c r="R42" s="16">
        <f>VLOOKUP(C42,consequence!$B$2:$K$302,10,FALSE)</f>
        <v>3</v>
      </c>
      <c r="S42" s="16">
        <f>VLOOKUP(C42,consequence!B142:$K$302,9,FALSE)</f>
        <v>7</v>
      </c>
      <c r="T42" s="16">
        <f t="shared" si="4"/>
        <v>50</v>
      </c>
      <c r="U42" s="16">
        <f>RANK(Table5[[#This Row],[Consequence]],$T$62:$T$264)</f>
        <v>1</v>
      </c>
      <c r="V42" s="16"/>
      <c r="X42" s="14">
        <f t="shared" si="2"/>
        <v>0</v>
      </c>
      <c r="Y42" s="14">
        <v>19.493670886075947</v>
      </c>
    </row>
    <row r="43" spans="1:25">
      <c r="A43" s="256" t="s">
        <v>981</v>
      </c>
      <c r="B43" s="84">
        <v>2</v>
      </c>
      <c r="C43" s="81">
        <v>661110201</v>
      </c>
      <c r="D43" s="82" t="s">
        <v>274</v>
      </c>
      <c r="E43" s="57" t="e">
        <f>E225</f>
        <v>#REF!</v>
      </c>
      <c r="F43" s="16">
        <v>1490.514684388889</v>
      </c>
      <c r="G43" s="16">
        <f>Table5[[#This Row],[Probability]]*Table5[[#This Row],[Consequence]]</f>
        <v>1466.2087537878788</v>
      </c>
      <c r="H43" s="16">
        <f>RANK(Table5[[#This Row],[Risk Score]],$G$62:$G$312)</f>
        <v>23</v>
      </c>
      <c r="I43" s="16">
        <f>VLOOKUP(C43,Table1[[#All],[RC]:[Total Internal Corrosion Score]],27,FALSE)</f>
        <v>34.166666666666664</v>
      </c>
      <c r="J43" s="16">
        <f>RANK(Table5[[#This Row],[INTERNAL CORROSION]],$I$62:$I$312)</f>
        <v>8</v>
      </c>
      <c r="K43" s="16">
        <f>VLOOKUP(C43,Ext.Mo!$C$2:$AK$326,35,FALSE)</f>
        <v>19.493670000000002</v>
      </c>
      <c r="L43" s="16">
        <f>RANK(Table5[[#This Row],[EXTERNAL CORROSION]],$K$62:$K$312)</f>
        <v>3</v>
      </c>
      <c r="M43" s="16">
        <f>VLOOKUP(Table5[[#This Row],[RC]],Table3[[RC]:[Total TPI Score10]],23,0)</f>
        <v>43.63636363636364</v>
      </c>
      <c r="N43" s="16">
        <f>RANK(Table5[[#This Row],[THIRD PARTY INTERFERENCE]],$M$62:$M$312)</f>
        <v>2</v>
      </c>
      <c r="O43" s="16">
        <f>VLOOKUP(Table5[[#This Row],[RC]],LGS_Mo.!$C$5:$P$322,14,0)</f>
        <v>20</v>
      </c>
      <c r="P43" s="16">
        <f>RANK(Table5[[#This Row],[Loss  of ground support]],$O$62:$O$312)</f>
        <v>15</v>
      </c>
      <c r="Q43" s="16">
        <f>(I43+K43+M43+Table5[[#This Row],[Loss  of ground support]])/4</f>
        <v>29.324175075757577</v>
      </c>
      <c r="R43" s="16">
        <f>VLOOKUP(C43,consequence!$B$2:$K$302,10,FALSE)</f>
        <v>3</v>
      </c>
      <c r="S43" s="16">
        <f>VLOOKUP(C43,consequence!B150:$K$302,9,FALSE)</f>
        <v>7</v>
      </c>
      <c r="T43" s="16">
        <f t="shared" si="4"/>
        <v>50</v>
      </c>
      <c r="U43" s="16">
        <f>RANK(Table5[[#This Row],[Consequence]],$T$62:$T$264)</f>
        <v>1</v>
      </c>
      <c r="V43" s="16"/>
      <c r="X43" s="14">
        <f>J461</f>
        <v>0</v>
      </c>
      <c r="Y43" s="14">
        <v>19.493670886075947</v>
      </c>
    </row>
    <row r="44" spans="1:25">
      <c r="A44" s="256" t="s">
        <v>981</v>
      </c>
      <c r="B44" s="80">
        <v>2</v>
      </c>
      <c r="C44" s="81">
        <v>6614</v>
      </c>
      <c r="D44" s="82"/>
      <c r="E44" s="57" t="e">
        <f>E5</f>
        <v>#REF!</v>
      </c>
      <c r="F44" s="16">
        <v>1490.514684388889</v>
      </c>
      <c r="G44" s="16">
        <f>Table5[[#This Row],[Probability]]*Table5[[#This Row],[Consequence]]</f>
        <v>1466.2087537878788</v>
      </c>
      <c r="H44" s="16">
        <f>RANK(Table5[[#This Row],[Risk Score]],$G$62:$G$312)</f>
        <v>23</v>
      </c>
      <c r="I44" s="16">
        <f>VLOOKUP(C44,Table1[[#All],[RC]:[Total Internal Corrosion Score]],27,FALSE)</f>
        <v>34.166666666666664</v>
      </c>
      <c r="J44" s="16">
        <f>RANK(Table5[[#This Row],[INTERNAL CORROSION]],$I$62:$I$312)</f>
        <v>8</v>
      </c>
      <c r="K44" s="16">
        <f>VLOOKUP(C44,Ext.Mo!$C$2:$AK$326,35,FALSE)</f>
        <v>19.493670000000002</v>
      </c>
      <c r="L44" s="16">
        <f>RANK(Table5[[#This Row],[EXTERNAL CORROSION]],$K$62:$K$312)</f>
        <v>3</v>
      </c>
      <c r="M44" s="16">
        <f>VLOOKUP(Table5[[#This Row],[RC]],Table3[[RC]:[Total TPI Score10]],23,0)</f>
        <v>43.63636363636364</v>
      </c>
      <c r="N44" s="16">
        <f>RANK(Table5[[#This Row],[THIRD PARTY INTERFERENCE]],$M$62:$M$312)</f>
        <v>2</v>
      </c>
      <c r="O44" s="16">
        <f>VLOOKUP(Table5[[#This Row],[RC]],LGS_Mo.!$C$5:$P$322,14,0)</f>
        <v>20</v>
      </c>
      <c r="P44" s="16">
        <f>RANK(Table5[[#This Row],[Loss  of ground support]],$O$62:$O$312)</f>
        <v>15</v>
      </c>
      <c r="Q44" s="16">
        <f>(I44+K44+M44+Table5[[#This Row],[Loss  of ground support]])/4</f>
        <v>29.324175075757577</v>
      </c>
      <c r="R44" s="16">
        <v>7</v>
      </c>
      <c r="S44" s="16">
        <v>3</v>
      </c>
      <c r="T44" s="16">
        <f t="shared" si="4"/>
        <v>50</v>
      </c>
      <c r="U44" s="16">
        <f>RANK(Table5[[#This Row],[Consequence]],$T$62:$T$264)</f>
        <v>1</v>
      </c>
      <c r="V44" s="16"/>
      <c r="X44" s="14">
        <f>J377</f>
        <v>0</v>
      </c>
      <c r="Y44" s="14">
        <v>19.493670886075947</v>
      </c>
    </row>
    <row r="45" spans="1:25">
      <c r="A45" s="80" t="s">
        <v>982</v>
      </c>
      <c r="B45" s="80">
        <v>5</v>
      </c>
      <c r="C45" s="81">
        <v>41010101</v>
      </c>
      <c r="D45" s="82" t="s">
        <v>773</v>
      </c>
      <c r="E45" s="105">
        <f>F432</f>
        <v>0</v>
      </c>
      <c r="F45" s="16">
        <v>1490.514684388889</v>
      </c>
      <c r="G45" s="70">
        <f>Table5[[#This Row],[Probability]]*Table5[[#This Row],[Consequence]]</f>
        <v>1426.4360265151515</v>
      </c>
      <c r="H45" s="16">
        <f>RANK(Table5[[#This Row],[Risk Score]],$G$62:$G$312)</f>
        <v>191</v>
      </c>
      <c r="I45" s="16">
        <f>VLOOKUP(C45,Table1[[#All],[RC]:[Total Internal Corrosion Score]],27,FALSE)</f>
        <v>34.166666666666664</v>
      </c>
      <c r="J45" s="16">
        <f>RANK(Table5[[#This Row],[INTERNAL CORROSION]],$I$62:$I$312)</f>
        <v>8</v>
      </c>
      <c r="K45" s="16">
        <f>VLOOKUP(C45,Ext.Mo!$C$2:$AK$326,35,FALSE)</f>
        <v>19.493670000000002</v>
      </c>
      <c r="L45" s="16">
        <f>RANK(Table5[[#This Row],[EXTERNAL CORROSION]],$K$62:$K$312)</f>
        <v>3</v>
      </c>
      <c r="M45" s="16">
        <f>VLOOKUP(Table5[[#This Row],[RC]],Table3[[RC]:[Total TPI Score10]],23,0)</f>
        <v>40.454545454545453</v>
      </c>
      <c r="N45" s="16">
        <f>RANK(Table5[[#This Row],[THIRD PARTY INTERFERENCE]],$M$62:$M$312)</f>
        <v>224</v>
      </c>
      <c r="O45" s="16">
        <f>VLOOKUP(Table5[[#This Row],[RC]],LGS_Mo.!$C$5:$P$322,14,0)</f>
        <v>20</v>
      </c>
      <c r="P45" s="16">
        <f>RANK(Table5[[#This Row],[Loss  of ground support]],$O$62:$O$312)</f>
        <v>15</v>
      </c>
      <c r="Q45" s="16">
        <f>(I45+K45+M45+Table5[[#This Row],[Loss  of ground support]])/4</f>
        <v>28.52872053030303</v>
      </c>
      <c r="R45" s="16">
        <f>VLOOKUP(C45,consequence!$B$2:$K$302,10,FALSE)</f>
        <v>3</v>
      </c>
      <c r="S45" s="16">
        <f>VLOOKUP(C45,consequence!B222:$K$302,9,FALSE)</f>
        <v>7</v>
      </c>
      <c r="T45" s="63">
        <f t="shared" si="4"/>
        <v>50</v>
      </c>
      <c r="U45" s="69">
        <f>RANK(Table5[[#This Row],[Consequence]],$T$62:$T$264)</f>
        <v>1</v>
      </c>
      <c r="V45" s="16"/>
      <c r="X45" s="14">
        <f>J551</f>
        <v>0</v>
      </c>
      <c r="Y45" s="14">
        <v>19.493670886075947</v>
      </c>
    </row>
    <row r="46" spans="1:25">
      <c r="A46" s="80" t="s">
        <v>982</v>
      </c>
      <c r="B46" s="84">
        <v>5</v>
      </c>
      <c r="C46" s="81">
        <v>401201002</v>
      </c>
      <c r="D46" s="82" t="s">
        <v>321</v>
      </c>
      <c r="E46" s="105">
        <f>F439</f>
        <v>0</v>
      </c>
      <c r="F46" s="16">
        <v>1490.514684388889</v>
      </c>
      <c r="G46" s="70">
        <f>Table5[[#This Row],[Probability]]*Table5[[#This Row],[Consequence]]</f>
        <v>1466.2087537878788</v>
      </c>
      <c r="H46" s="16">
        <f>RANK(Table5[[#This Row],[Risk Score]],$G$62:$G$312)</f>
        <v>23</v>
      </c>
      <c r="I46" s="16">
        <f>VLOOKUP(C46,Table1[[#All],[RC]:[Total Internal Corrosion Score]],27,FALSE)</f>
        <v>34.166666666666664</v>
      </c>
      <c r="J46" s="16">
        <f>RANK(Table5[[#This Row],[INTERNAL CORROSION]],$I$62:$I$312)</f>
        <v>8</v>
      </c>
      <c r="K46" s="16">
        <f>VLOOKUP(C46,Ext.Mo!$C$2:$AK$326,35,FALSE)</f>
        <v>19.493670000000002</v>
      </c>
      <c r="L46" s="16">
        <f>RANK(Table5[[#This Row],[EXTERNAL CORROSION]],$K$62:$K$312)</f>
        <v>3</v>
      </c>
      <c r="M46" s="16">
        <f>VLOOKUP(Table5[[#This Row],[RC]],Table3[[RC]:[Total TPI Score10]],23,0)</f>
        <v>43.63636363636364</v>
      </c>
      <c r="N46" s="120">
        <f>RANK(Table5[[#This Row],[THIRD PARTY INTERFERENCE]],$M$62:$M$312)</f>
        <v>2</v>
      </c>
      <c r="O46" s="120">
        <f>VLOOKUP(Table5[[#This Row],[RC]],LGS_Mo.!$C$5:$P$322,14,0)</f>
        <v>20</v>
      </c>
      <c r="P46" s="120">
        <f>RANK(Table5[[#This Row],[Loss  of ground support]],$O$62:$O$312)</f>
        <v>15</v>
      </c>
      <c r="Q46" s="120">
        <f>(I46+K46+M46+Table5[[#This Row],[Loss  of ground support]])/4</f>
        <v>29.324175075757577</v>
      </c>
      <c r="R46" s="120">
        <f>VLOOKUP(C46,consequence!$B$2:$K$302,10,FALSE)</f>
        <v>3</v>
      </c>
      <c r="S46" s="120">
        <f>VLOOKUP(C46,consequence!B229:$K$302,9,FALSE)</f>
        <v>7</v>
      </c>
      <c r="T46" s="120">
        <f t="shared" si="4"/>
        <v>50</v>
      </c>
      <c r="U46" s="122">
        <f>RANK(Table5[[#This Row],[Consequence]],$T$62:$T$264)</f>
        <v>1</v>
      </c>
      <c r="V46" s="120"/>
      <c r="X46" s="14">
        <f>J558</f>
        <v>0</v>
      </c>
      <c r="Y46" s="14">
        <v>19.493670886075947</v>
      </c>
    </row>
    <row r="47" spans="1:25">
      <c r="A47" s="80" t="s">
        <v>982</v>
      </c>
      <c r="B47" s="80">
        <v>5</v>
      </c>
      <c r="C47" s="81">
        <v>41010102</v>
      </c>
      <c r="D47" s="82" t="s">
        <v>322</v>
      </c>
      <c r="E47" s="105">
        <f>F440</f>
        <v>0</v>
      </c>
      <c r="F47" s="16">
        <v>1490.514684388889</v>
      </c>
      <c r="G47" s="70">
        <f>Table5[[#This Row],[Probability]]*Table5[[#This Row],[Consequence]]</f>
        <v>1466.2087537878788</v>
      </c>
      <c r="H47" s="16">
        <f>RANK(Table5[[#This Row],[Risk Score]],$G$62:$G$312)</f>
        <v>23</v>
      </c>
      <c r="I47" s="16">
        <f>VLOOKUP(C47,Table1[[#All],[RC]:[Total Internal Corrosion Score]],27,FALSE)</f>
        <v>34.166666666666664</v>
      </c>
      <c r="J47" s="16">
        <f>RANK(Table5[[#This Row],[INTERNAL CORROSION]],$I$62:$I$312)</f>
        <v>8</v>
      </c>
      <c r="K47" s="16">
        <f>VLOOKUP(C47,Ext.Mo!$C$2:$AK$326,35,FALSE)</f>
        <v>19.493670000000002</v>
      </c>
      <c r="L47" s="16">
        <f>RANK(Table5[[#This Row],[EXTERNAL CORROSION]],$K$62:$K$312)</f>
        <v>3</v>
      </c>
      <c r="M47" s="16">
        <f>VLOOKUP(Table5[[#This Row],[RC]],Table3[[RC]:[Total TPI Score10]],23,0)</f>
        <v>43.63636363636364</v>
      </c>
      <c r="N47" s="16">
        <f>RANK(Table5[[#This Row],[THIRD PARTY INTERFERENCE]],$M$62:$M$312)</f>
        <v>2</v>
      </c>
      <c r="O47" s="16">
        <f>VLOOKUP(Table5[[#This Row],[RC]],LGS_Mo.!$C$5:$P$322,14,0)</f>
        <v>20</v>
      </c>
      <c r="P47" s="16">
        <f>RANK(Table5[[#This Row],[Loss  of ground support]],$O$62:$O$312)</f>
        <v>15</v>
      </c>
      <c r="Q47" s="16">
        <f>(I47+K47+M47+Table5[[#This Row],[Loss  of ground support]])/4</f>
        <v>29.324175075757577</v>
      </c>
      <c r="R47" s="16">
        <f>VLOOKUP(C47,consequence!$B$2:$K$302,10,FALSE)</f>
        <v>3</v>
      </c>
      <c r="S47" s="16">
        <f>VLOOKUP(C47,consequence!B230:$K$302,9,FALSE)</f>
        <v>7</v>
      </c>
      <c r="T47" s="63">
        <f t="shared" si="4"/>
        <v>50</v>
      </c>
      <c r="U47" s="69">
        <f>RANK(Table5[[#This Row],[Consequence]],$T$62:$T$264)</f>
        <v>1</v>
      </c>
      <c r="V47" s="16"/>
      <c r="X47" s="14">
        <f>J559</f>
        <v>0</v>
      </c>
      <c r="Y47" s="14">
        <v>19.493670886075947</v>
      </c>
    </row>
    <row r="48" spans="1:25">
      <c r="A48" s="80" t="s">
        <v>982</v>
      </c>
      <c r="B48" s="87">
        <v>5</v>
      </c>
      <c r="C48" s="88">
        <v>41010103</v>
      </c>
      <c r="D48" s="89" t="s">
        <v>787</v>
      </c>
      <c r="E48" s="105">
        <f>F441</f>
        <v>0</v>
      </c>
      <c r="F48" s="16">
        <v>1490.514684388889</v>
      </c>
      <c r="G48" s="70">
        <f>Table5[[#This Row],[Probability]]*Table5[[#This Row],[Consequence]]</f>
        <v>1416.0193598484848</v>
      </c>
      <c r="H48" s="16">
        <f>RANK(Table5[[#This Row],[Risk Score]],$G$62:$G$312)</f>
        <v>204</v>
      </c>
      <c r="I48" s="16">
        <f>VLOOKUP(C48,Table1[[#All],[RC]:[Total Internal Corrosion Score]],27,FALSE)</f>
        <v>33.333333333333329</v>
      </c>
      <c r="J48" s="16">
        <f>RANK(Table5[[#This Row],[INTERNAL CORROSION]],$I$62:$I$312)</f>
        <v>228</v>
      </c>
      <c r="K48" s="16">
        <f>VLOOKUP(C48,Ext.Mo!$C$2:$AK$326,35,FALSE)</f>
        <v>19.493670000000002</v>
      </c>
      <c r="L48" s="16">
        <f>RANK(Table5[[#This Row],[EXTERNAL CORROSION]],$K$62:$K$312)</f>
        <v>3</v>
      </c>
      <c r="M48" s="16">
        <f>VLOOKUP(Table5[[#This Row],[RC]],Table3[[RC]:[Total TPI Score10]],23,0)</f>
        <v>40.454545454545453</v>
      </c>
      <c r="N48" s="16">
        <f>RANK(Table5[[#This Row],[THIRD PARTY INTERFERENCE]],$M$62:$M$312)</f>
        <v>224</v>
      </c>
      <c r="O48" s="16">
        <f>VLOOKUP(Table5[[#This Row],[RC]],LGS_Mo.!$C$5:$P$322,14,0)</f>
        <v>20</v>
      </c>
      <c r="P48" s="16">
        <f>RANK(Table5[[#This Row],[Loss  of ground support]],$O$62:$O$312)</f>
        <v>15</v>
      </c>
      <c r="Q48" s="16">
        <f>(I48+K48+M48+Table5[[#This Row],[Loss  of ground support]])/4</f>
        <v>28.320387196969698</v>
      </c>
      <c r="R48" s="16">
        <f>VLOOKUP(C48,consequence!$B$2:$K$302,10,FALSE)</f>
        <v>3</v>
      </c>
      <c r="S48" s="16">
        <f>VLOOKUP(C48,consequence!B231:$K$302,9,FALSE)</f>
        <v>7</v>
      </c>
      <c r="T48" s="16">
        <f t="shared" si="4"/>
        <v>50</v>
      </c>
      <c r="U48" s="69">
        <f>RANK(Table5[[#This Row],[Consequence]],$T$62:$T$264)</f>
        <v>1</v>
      </c>
      <c r="V48" s="16"/>
      <c r="X48" s="14">
        <f>J560</f>
        <v>0</v>
      </c>
      <c r="Y48" s="14">
        <v>19.493670886075947</v>
      </c>
    </row>
    <row r="49" spans="1:25">
      <c r="A49" s="84" t="s">
        <v>983</v>
      </c>
      <c r="B49" s="84">
        <v>5</v>
      </c>
      <c r="C49" s="81">
        <v>410101</v>
      </c>
      <c r="D49" s="82" t="s">
        <v>315</v>
      </c>
      <c r="E49" s="105">
        <f>F431</f>
        <v>0</v>
      </c>
      <c r="F49" s="16">
        <v>1490.514684388889</v>
      </c>
      <c r="G49" s="70">
        <f>Table5[[#This Row],[Probability]]*Table5[[#This Row],[Consequence]]</f>
        <v>1466.2087537878788</v>
      </c>
      <c r="H49" s="16">
        <f>RANK(Table5[[#This Row],[Risk Score]],$G$62:$G$312)</f>
        <v>23</v>
      </c>
      <c r="I49" s="16">
        <f>VLOOKUP(C49,Table1[[#All],[RC]:[Total Internal Corrosion Score]],27,FALSE)</f>
        <v>34.166666666666664</v>
      </c>
      <c r="J49" s="16">
        <f>RANK(Table5[[#This Row],[INTERNAL CORROSION]],$I$62:$I$312)</f>
        <v>8</v>
      </c>
      <c r="K49" s="16">
        <f>VLOOKUP(C49,Ext.Mo!$C$2:$AK$326,35,FALSE)</f>
        <v>19.493670000000002</v>
      </c>
      <c r="L49" s="16">
        <f>RANK(Table5[[#This Row],[EXTERNAL CORROSION]],$K$62:$K$312)</f>
        <v>3</v>
      </c>
      <c r="M49" s="16">
        <f>VLOOKUP(Table5[[#This Row],[RC]],Table3[[RC]:[Total TPI Score10]],23,0)</f>
        <v>43.63636363636364</v>
      </c>
      <c r="N49" s="16">
        <f>RANK(Table5[[#This Row],[THIRD PARTY INTERFERENCE]],$M$62:$M$312)</f>
        <v>2</v>
      </c>
      <c r="O49" s="16">
        <f>VLOOKUP(Table5[[#This Row],[RC]],LGS_Mo.!$C$5:$P$322,14,0)</f>
        <v>20</v>
      </c>
      <c r="P49" s="16">
        <f>RANK(Table5[[#This Row],[Loss  of ground support]],$O$62:$O$312)</f>
        <v>15</v>
      </c>
      <c r="Q49" s="16">
        <f>(I49+K49+M49+Table5[[#This Row],[Loss  of ground support]])/4</f>
        <v>29.324175075757577</v>
      </c>
      <c r="R49" s="16">
        <f>VLOOKUP(C49,consequence!$B$2:$K$302,10,FALSE)</f>
        <v>3</v>
      </c>
      <c r="S49" s="16">
        <f>VLOOKUP(C49,consequence!B221:$K$302,9,FALSE)</f>
        <v>7</v>
      </c>
      <c r="T49" s="16">
        <f t="shared" si="4"/>
        <v>50</v>
      </c>
      <c r="U49" s="69">
        <f>RANK(Table5[[#This Row],[Consequence]],$T$62:$T$264)</f>
        <v>1</v>
      </c>
      <c r="V49" s="16"/>
      <c r="X49" s="14">
        <f>J550</f>
        <v>0</v>
      </c>
      <c r="Y49" s="14">
        <v>19.493670886075947</v>
      </c>
    </row>
    <row r="50" spans="1:25" ht="25.5">
      <c r="A50" s="84" t="s">
        <v>983</v>
      </c>
      <c r="B50" s="84">
        <v>5</v>
      </c>
      <c r="C50" s="81">
        <v>410102</v>
      </c>
      <c r="D50" s="82" t="s">
        <v>316</v>
      </c>
      <c r="E50" s="105">
        <f>F433</f>
        <v>0</v>
      </c>
      <c r="F50" s="16">
        <v>1490.514684388889</v>
      </c>
      <c r="G50" s="70">
        <f>Table5[[#This Row],[Probability]]*Table5[[#This Row],[Consequence]]</f>
        <v>1466.2087537878788</v>
      </c>
      <c r="H50" s="16">
        <f>RANK(Table5[[#This Row],[Risk Score]],$G$62:$G$312)</f>
        <v>23</v>
      </c>
      <c r="I50" s="16">
        <f>VLOOKUP(C50,Table1[[#All],[RC]:[Total Internal Corrosion Score]],27,FALSE)</f>
        <v>34.166666666666664</v>
      </c>
      <c r="J50" s="16">
        <f>RANK(Table5[[#This Row],[INTERNAL CORROSION]],$I$62:$I$312)</f>
        <v>8</v>
      </c>
      <c r="K50" s="16">
        <f>VLOOKUP(C50,Ext.Mo!$C$2:$AK$326,35,FALSE)</f>
        <v>19.493670000000002</v>
      </c>
      <c r="L50" s="16">
        <f>RANK(Table5[[#This Row],[EXTERNAL CORROSION]],$K$62:$K$312)</f>
        <v>3</v>
      </c>
      <c r="M50" s="16">
        <f>VLOOKUP(Table5[[#This Row],[RC]],Table3[[RC]:[Total TPI Score10]],23,0)</f>
        <v>43.63636363636364</v>
      </c>
      <c r="N50" s="120">
        <f>RANK(Table5[[#This Row],[THIRD PARTY INTERFERENCE]],$M$62:$M$312)</f>
        <v>2</v>
      </c>
      <c r="O50" s="120">
        <f>VLOOKUP(Table5[[#This Row],[RC]],LGS_Mo.!$C$5:$P$322,14,0)</f>
        <v>20</v>
      </c>
      <c r="P50" s="120">
        <f>RANK(Table5[[#This Row],[Loss  of ground support]],$O$62:$O$312)</f>
        <v>15</v>
      </c>
      <c r="Q50" s="120">
        <f>(I50+K50+M50+Table5[[#This Row],[Loss  of ground support]])/4</f>
        <v>29.324175075757577</v>
      </c>
      <c r="R50" s="120">
        <f>VLOOKUP(C50,consequence!$B$2:$K$302,10,FALSE)</f>
        <v>3</v>
      </c>
      <c r="S50" s="120">
        <f>VLOOKUP(C50,consequence!B223:$K$302,9,FALSE)</f>
        <v>7</v>
      </c>
      <c r="T50" s="120">
        <f t="shared" si="4"/>
        <v>50</v>
      </c>
      <c r="U50" s="122">
        <f>RANK(Table5[[#This Row],[Consequence]],$T$62:$T$264)</f>
        <v>1</v>
      </c>
      <c r="V50" s="120"/>
      <c r="X50" s="14">
        <f>J552</f>
        <v>0</v>
      </c>
      <c r="Y50" s="14">
        <v>19.493670886075947</v>
      </c>
    </row>
    <row r="51" spans="1:25">
      <c r="A51" s="84" t="s">
        <v>983</v>
      </c>
      <c r="B51" s="84">
        <v>5</v>
      </c>
      <c r="C51" s="81">
        <v>41010201</v>
      </c>
      <c r="D51" s="82" t="s">
        <v>317</v>
      </c>
      <c r="E51" s="105">
        <f>F434</f>
        <v>0</v>
      </c>
      <c r="F51" s="16">
        <v>1490.514684388889</v>
      </c>
      <c r="G51" s="70">
        <f>Table5[[#This Row],[Probability]]*Table5[[#This Row],[Consequence]]</f>
        <v>1466.2087537878788</v>
      </c>
      <c r="H51" s="16">
        <f>RANK(Table5[[#This Row],[Risk Score]],$G$62:$G$312)</f>
        <v>23</v>
      </c>
      <c r="I51" s="16">
        <f>VLOOKUP(C51,Table1[[#All],[RC]:[Total Internal Corrosion Score]],27,FALSE)</f>
        <v>34.166666666666664</v>
      </c>
      <c r="J51" s="16">
        <f>RANK(Table5[[#This Row],[INTERNAL CORROSION]],$I$62:$I$312)</f>
        <v>8</v>
      </c>
      <c r="K51" s="16">
        <f>VLOOKUP(C51,Ext.Mo!$C$2:$AK$326,35,FALSE)</f>
        <v>19.493670000000002</v>
      </c>
      <c r="L51" s="16">
        <f>RANK(Table5[[#This Row],[EXTERNAL CORROSION]],$K$62:$K$312)</f>
        <v>3</v>
      </c>
      <c r="M51" s="16">
        <f>VLOOKUP(Table5[[#This Row],[RC]],Table3[[RC]:[Total TPI Score10]],23,0)</f>
        <v>43.63636363636364</v>
      </c>
      <c r="N51" s="16">
        <f>RANK(Table5[[#This Row],[THIRD PARTY INTERFERENCE]],$M$62:$M$312)</f>
        <v>2</v>
      </c>
      <c r="O51" s="16">
        <f>VLOOKUP(Table5[[#This Row],[RC]],LGS_Mo.!$C$5:$P$322,14,0)</f>
        <v>20</v>
      </c>
      <c r="P51" s="16">
        <f>RANK(Table5[[#This Row],[Loss  of ground support]],$O$62:$O$312)</f>
        <v>15</v>
      </c>
      <c r="Q51" s="16">
        <f>(I51+K51+M51+Table5[[#This Row],[Loss  of ground support]])/4</f>
        <v>29.324175075757577</v>
      </c>
      <c r="R51" s="16">
        <f>VLOOKUP(C51,consequence!$B$2:$K$302,10,FALSE)</f>
        <v>3</v>
      </c>
      <c r="S51" s="16">
        <f>VLOOKUP(C51,consequence!B224:$K$302,9,FALSE)</f>
        <v>7</v>
      </c>
      <c r="T51" s="63">
        <f t="shared" si="4"/>
        <v>50</v>
      </c>
      <c r="U51" s="69">
        <f>RANK(Table5[[#This Row],[Consequence]],$T$62:$T$264)</f>
        <v>1</v>
      </c>
      <c r="V51" s="16"/>
      <c r="X51" s="14">
        <f>J553</f>
        <v>0</v>
      </c>
      <c r="Y51" s="14">
        <v>19.493670886075947</v>
      </c>
    </row>
    <row r="52" spans="1:25">
      <c r="A52" s="84" t="s">
        <v>983</v>
      </c>
      <c r="B52" s="84">
        <v>5</v>
      </c>
      <c r="C52" s="81">
        <v>41010202</v>
      </c>
      <c r="D52" s="82" t="s">
        <v>318</v>
      </c>
      <c r="E52" s="105">
        <f>F435</f>
        <v>0</v>
      </c>
      <c r="F52" s="16">
        <v>1490.514684388889</v>
      </c>
      <c r="G52" s="70">
        <f>Table5[[#This Row],[Probability]]*Table5[[#This Row],[Consequence]]</f>
        <v>1466.2087537878788</v>
      </c>
      <c r="H52" s="16">
        <f>RANK(Table5[[#This Row],[Risk Score]],$G$62:$G$312)</f>
        <v>23</v>
      </c>
      <c r="I52" s="16">
        <f>VLOOKUP(C52,Table1[[#All],[RC]:[Total Internal Corrosion Score]],27,FALSE)</f>
        <v>34.166666666666664</v>
      </c>
      <c r="J52" s="16">
        <f>RANK(Table5[[#This Row],[INTERNAL CORROSION]],$I$62:$I$312)</f>
        <v>8</v>
      </c>
      <c r="K52" s="16">
        <f>VLOOKUP(C52,Ext.Mo!$C$2:$AK$326,35,FALSE)</f>
        <v>19.493670000000002</v>
      </c>
      <c r="L52" s="16">
        <f>RANK(Table5[[#This Row],[EXTERNAL CORROSION]],$K$62:$K$312)</f>
        <v>3</v>
      </c>
      <c r="M52" s="16">
        <f>VLOOKUP(Table5[[#This Row],[RC]],Table3[[RC]:[Total TPI Score10]],23,0)</f>
        <v>43.63636363636364</v>
      </c>
      <c r="N52" s="16">
        <f>RANK(Table5[[#This Row],[THIRD PARTY INTERFERENCE]],$M$62:$M$312)</f>
        <v>2</v>
      </c>
      <c r="O52" s="16">
        <f>VLOOKUP(Table5[[#This Row],[RC]],LGS_Mo.!$C$5:$P$322,14,0)</f>
        <v>20</v>
      </c>
      <c r="P52" s="16">
        <f>RANK(Table5[[#This Row],[Loss  of ground support]],$O$62:$O$312)</f>
        <v>15</v>
      </c>
      <c r="Q52" s="16">
        <f>(I52+K52+M52+Table5[[#This Row],[Loss  of ground support]])/4</f>
        <v>29.324175075757577</v>
      </c>
      <c r="R52" s="16">
        <f>VLOOKUP(C52,consequence!$B$2:$K$302,10,FALSE)</f>
        <v>3</v>
      </c>
      <c r="S52" s="16">
        <f>VLOOKUP(C52,consequence!B225:$K$302,9,FALSE)</f>
        <v>7</v>
      </c>
      <c r="T52" s="16">
        <f t="shared" si="4"/>
        <v>50</v>
      </c>
      <c r="U52" s="69">
        <f>RANK(Table5[[#This Row],[Consequence]],$T$62:$T$264)</f>
        <v>1</v>
      </c>
      <c r="V52" s="16"/>
      <c r="X52" s="14">
        <f>J554</f>
        <v>0</v>
      </c>
      <c r="Y52" s="14">
        <v>19.493670886075947</v>
      </c>
    </row>
    <row r="53" spans="1:25">
      <c r="A53" s="84" t="s">
        <v>983</v>
      </c>
      <c r="B53" s="84">
        <v>5</v>
      </c>
      <c r="C53" s="81">
        <v>41010203</v>
      </c>
      <c r="D53" s="82" t="s">
        <v>319</v>
      </c>
      <c r="E53" s="105">
        <f>F436</f>
        <v>0</v>
      </c>
      <c r="F53" s="16">
        <v>1490.514684388889</v>
      </c>
      <c r="G53" s="70">
        <f>Table5[[#This Row],[Probability]]*Table5[[#This Row],[Consequence]]</f>
        <v>1466.2087537878788</v>
      </c>
      <c r="H53" s="16">
        <f>RANK(Table5[[#This Row],[Risk Score]],$G$62:$G$312)</f>
        <v>23</v>
      </c>
      <c r="I53" s="16">
        <f>VLOOKUP(C53,Table1[[#All],[RC]:[Total Internal Corrosion Score]],27,FALSE)</f>
        <v>34.166666666666664</v>
      </c>
      <c r="J53" s="16">
        <f>RANK(Table5[[#This Row],[INTERNAL CORROSION]],$I$62:$I$312)</f>
        <v>8</v>
      </c>
      <c r="K53" s="16">
        <f>VLOOKUP(C53,Ext.Mo!$C$2:$AK$326,35,FALSE)</f>
        <v>19.493670000000002</v>
      </c>
      <c r="L53" s="16">
        <f>RANK(Table5[[#This Row],[EXTERNAL CORROSION]],$K$62:$K$312)</f>
        <v>3</v>
      </c>
      <c r="M53" s="16">
        <f>VLOOKUP(Table5[[#This Row],[RC]],Table3[[RC]:[Total TPI Score10]],23,0)</f>
        <v>43.63636363636364</v>
      </c>
      <c r="N53" s="16">
        <f>RANK(Table5[[#This Row],[THIRD PARTY INTERFERENCE]],$M$62:$M$312)</f>
        <v>2</v>
      </c>
      <c r="O53" s="16">
        <f>VLOOKUP(Table5[[#This Row],[RC]],LGS_Mo.!$C$5:$P$322,14,0)</f>
        <v>20</v>
      </c>
      <c r="P53" s="16">
        <f>RANK(Table5[[#This Row],[Loss  of ground support]],$O$62:$O$312)</f>
        <v>15</v>
      </c>
      <c r="Q53" s="16">
        <f>(I53+K53+M53+Table5[[#This Row],[Loss  of ground support]])/4</f>
        <v>29.324175075757577</v>
      </c>
      <c r="R53" s="16">
        <f>VLOOKUP(C53,consequence!$B$2:$K$302,10,FALSE)</f>
        <v>3</v>
      </c>
      <c r="S53" s="16">
        <f>VLOOKUP(C53,consequence!B226:$K$302,9,FALSE)</f>
        <v>7</v>
      </c>
      <c r="T53" s="63">
        <f t="shared" si="4"/>
        <v>50</v>
      </c>
      <c r="U53" s="69">
        <f>RANK(Table5[[#This Row],[Consequence]],$T$62:$T$264)</f>
        <v>1</v>
      </c>
      <c r="V53" s="16"/>
      <c r="X53" s="14">
        <f>J555</f>
        <v>0</v>
      </c>
      <c r="Y53" s="14">
        <v>19.493670886075947</v>
      </c>
    </row>
    <row r="54" spans="1:25">
      <c r="A54" s="84" t="s">
        <v>983</v>
      </c>
      <c r="B54" s="84">
        <v>5</v>
      </c>
      <c r="C54" s="81">
        <v>41010204</v>
      </c>
      <c r="D54" s="82" t="s">
        <v>320</v>
      </c>
      <c r="E54" s="105">
        <f>F437</f>
        <v>0</v>
      </c>
      <c r="F54" s="16">
        <v>1490.514684388889</v>
      </c>
      <c r="G54" s="70">
        <f>Table5[[#This Row],[Probability]]*Table5[[#This Row],[Consequence]]</f>
        <v>1466.2087537878788</v>
      </c>
      <c r="H54" s="16">
        <f>RANK(Table5[[#This Row],[Risk Score]],$G$62:$G$312)</f>
        <v>23</v>
      </c>
      <c r="I54" s="16">
        <f>VLOOKUP(C54,Table1[[#All],[RC]:[Total Internal Corrosion Score]],27,FALSE)</f>
        <v>34.166666666666664</v>
      </c>
      <c r="J54" s="16">
        <f>RANK(Table5[[#This Row],[INTERNAL CORROSION]],$I$62:$I$312)</f>
        <v>8</v>
      </c>
      <c r="K54" s="16">
        <f>VLOOKUP(C54,Ext.Mo!$C$2:$AK$326,35,FALSE)</f>
        <v>19.493670000000002</v>
      </c>
      <c r="L54" s="16">
        <f>RANK(Table5[[#This Row],[EXTERNAL CORROSION]],$K$62:$K$312)</f>
        <v>3</v>
      </c>
      <c r="M54" s="16">
        <f>VLOOKUP(Table5[[#This Row],[RC]],Table3[[RC]:[Total TPI Score10]],23,0)</f>
        <v>43.63636363636364</v>
      </c>
      <c r="N54" s="16">
        <f>RANK(Table5[[#This Row],[THIRD PARTY INTERFERENCE]],$M$62:$M$312)</f>
        <v>2</v>
      </c>
      <c r="O54" s="16">
        <f>VLOOKUP(Table5[[#This Row],[RC]],LGS_Mo.!$C$5:$P$322,14,0)</f>
        <v>20</v>
      </c>
      <c r="P54" s="16">
        <f>RANK(Table5[[#This Row],[Loss  of ground support]],$O$62:$O$312)</f>
        <v>15</v>
      </c>
      <c r="Q54" s="16">
        <f>(I54+K54+M54+Table5[[#This Row],[Loss  of ground support]])/4</f>
        <v>29.324175075757577</v>
      </c>
      <c r="R54" s="16">
        <f>VLOOKUP(C54,consequence!$B$2:$K$302,10,FALSE)</f>
        <v>3</v>
      </c>
      <c r="S54" s="16">
        <f>VLOOKUP(C54,consequence!B227:$K$302,9,FALSE)</f>
        <v>7</v>
      </c>
      <c r="T54" s="16">
        <f t="shared" si="4"/>
        <v>50</v>
      </c>
      <c r="U54" s="69">
        <f>RANK(Table5[[#This Row],[Consequence]],$T$62:$T$264)</f>
        <v>1</v>
      </c>
      <c r="V54" s="16"/>
      <c r="X54" s="14">
        <f>J556</f>
        <v>0</v>
      </c>
      <c r="Y54" s="14">
        <v>19.493670886075947</v>
      </c>
    </row>
    <row r="55" spans="1:25">
      <c r="A55" s="80">
        <v>10</v>
      </c>
      <c r="B55" s="80">
        <v>5</v>
      </c>
      <c r="C55" s="81">
        <v>41041</v>
      </c>
      <c r="D55" s="82" t="s">
        <v>771</v>
      </c>
      <c r="E55" s="105">
        <f>F430</f>
        <v>0</v>
      </c>
      <c r="F55" s="16">
        <v>1490.514684388889</v>
      </c>
      <c r="G55" s="70">
        <f>Table5[[#This Row],[Probability]]*Table5[[#This Row],[Consequence]]</f>
        <v>1466.2087537878788</v>
      </c>
      <c r="H55" s="16">
        <f>RANK(Table5[[#This Row],[Risk Score]],$G$62:$G$312)</f>
        <v>23</v>
      </c>
      <c r="I55" s="16">
        <f>VLOOKUP(C55,Table1[[#All],[RC]:[Total Internal Corrosion Score]],27,FALSE)</f>
        <v>34.166666666666664</v>
      </c>
      <c r="J55" s="16">
        <f>RANK(Table5[[#This Row],[INTERNAL CORROSION]],$I$62:$I$312)</f>
        <v>8</v>
      </c>
      <c r="K55" s="16">
        <f>VLOOKUP(C55,Ext.Mo!$C$2:$AK$326,35,FALSE)</f>
        <v>19.493670000000002</v>
      </c>
      <c r="L55" s="16">
        <f>RANK(Table5[[#This Row],[EXTERNAL CORROSION]],$K$62:$K$312)</f>
        <v>3</v>
      </c>
      <c r="M55" s="16">
        <f>VLOOKUP(Table5[[#This Row],[RC]],Table3[[RC]:[Total TPI Score10]],23,0)</f>
        <v>43.63636363636364</v>
      </c>
      <c r="N55" s="16">
        <f>RANK(Table5[[#This Row],[THIRD PARTY INTERFERENCE]],$M$62:$M$312)</f>
        <v>2</v>
      </c>
      <c r="O55" s="16">
        <f>VLOOKUP(Table5[[#This Row],[RC]],LGS_Mo.!$C$5:$P$322,14,0)</f>
        <v>20</v>
      </c>
      <c r="P55" s="16">
        <f>RANK(Table5[[#This Row],[Loss  of ground support]],$O$62:$O$312)</f>
        <v>15</v>
      </c>
      <c r="Q55" s="16">
        <f>(I55+K55+M55+Table5[[#This Row],[Loss  of ground support]])/4</f>
        <v>29.324175075757577</v>
      </c>
      <c r="R55" s="16">
        <f>VLOOKUP(C55,consequence!$B$2:$K$302,10,FALSE)</f>
        <v>3</v>
      </c>
      <c r="S55" s="16">
        <f>VLOOKUP(C55,consequence!B220:$K$302,9,FALSE)</f>
        <v>7</v>
      </c>
      <c r="T55" s="63">
        <f t="shared" si="4"/>
        <v>50</v>
      </c>
      <c r="U55" s="69">
        <f>RANK(Table5[[#This Row],[Consequence]],$T$62:$T$264)</f>
        <v>1</v>
      </c>
      <c r="V55" s="16"/>
      <c r="X55" s="14">
        <f>J549</f>
        <v>0</v>
      </c>
      <c r="Y55" s="14">
        <v>19.493670886075947</v>
      </c>
    </row>
    <row r="56" spans="1:25" ht="25.5">
      <c r="A56" s="84" t="s">
        <v>984</v>
      </c>
      <c r="B56" s="84">
        <v>3</v>
      </c>
      <c r="C56" s="81">
        <v>561201</v>
      </c>
      <c r="D56" s="82" t="s">
        <v>297</v>
      </c>
      <c r="E56" s="105">
        <f>F388</f>
        <v>0</v>
      </c>
      <c r="F56" s="16">
        <v>1490.514684388889</v>
      </c>
      <c r="G56" s="70">
        <f>Table5[[#This Row],[Probability]]*Table5[[#This Row],[Consequence]]</f>
        <v>1459.2643093434344</v>
      </c>
      <c r="H56" s="16">
        <f>RANK(Table5[[#This Row],[Risk Score]],$G$62:$G$312)</f>
        <v>130</v>
      </c>
      <c r="I56" s="16">
        <f>VLOOKUP(C56,Table1[[#All],[RC]:[Total Internal Corrosion Score]],27,FALSE)</f>
        <v>33.611111111111107</v>
      </c>
      <c r="J56" s="16">
        <f>RANK(Table5[[#This Row],[INTERNAL CORROSION]],$I$62:$I$312)</f>
        <v>208</v>
      </c>
      <c r="K56" s="16">
        <f>VLOOKUP(C56,Ext.Mo!$C$2:$AK$326,35,FALSE)</f>
        <v>19.493670000000002</v>
      </c>
      <c r="L56" s="16">
        <f>RANK(Table5[[#This Row],[EXTERNAL CORROSION]],$K$62:$K$312)</f>
        <v>3</v>
      </c>
      <c r="M56" s="16">
        <f>VLOOKUP(Table5[[#This Row],[RC]],Table3[[RC]:[Total TPI Score10]],23,0)</f>
        <v>43.63636363636364</v>
      </c>
      <c r="N56" s="16">
        <f>RANK(Table5[[#This Row],[THIRD PARTY INTERFERENCE]],$M$62:$M$312)</f>
        <v>2</v>
      </c>
      <c r="O56" s="16">
        <f>VLOOKUP(Table5[[#This Row],[RC]],LGS_Mo.!$C$5:$P$322,14,0)</f>
        <v>20</v>
      </c>
      <c r="P56" s="16">
        <f>RANK(Table5[[#This Row],[Loss  of ground support]],$O$62:$O$312)</f>
        <v>15</v>
      </c>
      <c r="Q56" s="16">
        <f>(I56+K56+M56+Table5[[#This Row],[Loss  of ground support]])/4</f>
        <v>29.185286186868687</v>
      </c>
      <c r="R56" s="16">
        <f>VLOOKUP(C56,consequence!$B$2:$K$302,10,FALSE)</f>
        <v>3</v>
      </c>
      <c r="S56" s="16">
        <f>VLOOKUP(C56,consequence!B196:$K$302,9,FALSE)</f>
        <v>7</v>
      </c>
      <c r="T56" s="63">
        <f t="shared" si="4"/>
        <v>50</v>
      </c>
      <c r="U56" s="69">
        <f>RANK(Table5[[#This Row],[Consequence]],$T$62:$T$264)</f>
        <v>1</v>
      </c>
      <c r="V56" s="16"/>
      <c r="X56" s="14">
        <f>J507</f>
        <v>0</v>
      </c>
      <c r="Y56" s="14">
        <v>19.493670886075947</v>
      </c>
    </row>
    <row r="57" spans="1:25">
      <c r="A57" s="84">
        <v>14</v>
      </c>
      <c r="B57" s="80">
        <v>1</v>
      </c>
      <c r="C57" s="81">
        <v>44021001</v>
      </c>
      <c r="D57" s="82" t="s">
        <v>563</v>
      </c>
      <c r="E57" s="57">
        <f>E110</f>
        <v>0</v>
      </c>
      <c r="F57" s="16">
        <v>1490.514684388889</v>
      </c>
      <c r="G57" s="16">
        <f>Table5[[#This Row],[Probability]]*Table5[[#This Row],[Consequence]]</f>
        <v>1466.2087537878788</v>
      </c>
      <c r="H57" s="16">
        <f>RANK(Table5[[#This Row],[Risk Score]],$G$62:$G$312)</f>
        <v>23</v>
      </c>
      <c r="I57" s="16">
        <f>VLOOKUP(C57,Table1[[#All],[RC]:[Total Internal Corrosion Score]],27,FALSE)</f>
        <v>34.166666666666664</v>
      </c>
      <c r="J57" s="16">
        <f>RANK(Table5[[#This Row],[INTERNAL CORROSION]],$I$62:$I$312)</f>
        <v>8</v>
      </c>
      <c r="K57" s="16">
        <f>VLOOKUP(C57,Ext.Mo!$C$2:$AK$326,35,FALSE)</f>
        <v>19.493670000000002</v>
      </c>
      <c r="L57" s="16">
        <f>RANK(Table5[[#This Row],[EXTERNAL CORROSION]],$K$62:$K$312)</f>
        <v>3</v>
      </c>
      <c r="M57" s="16">
        <f>VLOOKUP(Table5[[#This Row],[RC]],Table3[[RC]:[Total TPI Score10]],23,0)</f>
        <v>43.63636363636364</v>
      </c>
      <c r="N57" s="16">
        <f>RANK(Table5[[#This Row],[THIRD PARTY INTERFERENCE]],$M$62:$M$312)</f>
        <v>2</v>
      </c>
      <c r="O57" s="16">
        <f>VLOOKUP(Table5[[#This Row],[RC]],LGS_Mo.!$C$5:$P$322,14,0)</f>
        <v>20</v>
      </c>
      <c r="P57" s="16">
        <f>RANK(Table5[[#This Row],[Loss  of ground support]],$O$62:$O$312)</f>
        <v>15</v>
      </c>
      <c r="Q57" s="16">
        <f>(I57+K57+M57+Table5[[#This Row],[Loss  of ground support]])/4</f>
        <v>29.324175075757577</v>
      </c>
      <c r="R57" s="16">
        <v>7</v>
      </c>
      <c r="S57" s="16">
        <v>3</v>
      </c>
      <c r="T57" s="16">
        <f t="shared" si="4"/>
        <v>50</v>
      </c>
      <c r="U57" s="16">
        <f>RANK(Table5[[#This Row],[Consequence]],$T$62:$T$264)</f>
        <v>1</v>
      </c>
      <c r="V57" s="16"/>
      <c r="X57" s="14">
        <f>J360</f>
        <v>0</v>
      </c>
      <c r="Y57" s="14">
        <v>19.493670886075947</v>
      </c>
    </row>
    <row r="58" spans="1:25">
      <c r="A58" s="84">
        <v>14</v>
      </c>
      <c r="B58" s="84">
        <v>1</v>
      </c>
      <c r="C58" s="81">
        <v>440210002</v>
      </c>
      <c r="D58" s="82" t="s">
        <v>246</v>
      </c>
      <c r="E58" s="57">
        <f>E57</f>
        <v>0</v>
      </c>
      <c r="F58" s="16">
        <v>1490.514684388889</v>
      </c>
      <c r="G58" s="16">
        <f>Table5[[#This Row],[Probability]]*Table5[[#This Row],[Consequence]]</f>
        <v>1466.2087537878788</v>
      </c>
      <c r="H58" s="16">
        <f>RANK(Table5[[#This Row],[Risk Score]],$G$62:$G$312)</f>
        <v>23</v>
      </c>
      <c r="I58" s="16">
        <f>VLOOKUP(C58,Table1[[#All],[RC]:[Total Internal Corrosion Score]],27,FALSE)</f>
        <v>34.166666666666664</v>
      </c>
      <c r="J58" s="16">
        <f>RANK(Table5[[#This Row],[INTERNAL CORROSION]],$I$62:$I$312)</f>
        <v>8</v>
      </c>
      <c r="K58" s="16">
        <f>VLOOKUP(C58,Ext.Mo!$C$2:$AK$326,35,FALSE)</f>
        <v>19.493670000000002</v>
      </c>
      <c r="L58" s="16">
        <f>RANK(Table5[[#This Row],[EXTERNAL CORROSION]],$K$62:$K$312)</f>
        <v>3</v>
      </c>
      <c r="M58" s="16">
        <f>VLOOKUP(Table5[[#This Row],[RC]],Table3[[RC]:[Total TPI Score10]],23,0)</f>
        <v>43.63636363636364</v>
      </c>
      <c r="N58" s="16">
        <f>RANK(Table5[[#This Row],[THIRD PARTY INTERFERENCE]],$M$62:$M$312)</f>
        <v>2</v>
      </c>
      <c r="O58" s="16">
        <f>VLOOKUP(Table5[[#This Row],[RC]],LGS_Mo.!$C$5:$P$322,14,0)</f>
        <v>20</v>
      </c>
      <c r="P58" s="16">
        <f>RANK(Table5[[#This Row],[Loss  of ground support]],$O$62:$O$312)</f>
        <v>15</v>
      </c>
      <c r="Q58" s="16">
        <f>(I58+K58+M58+Table5[[#This Row],[Loss  of ground support]])/4</f>
        <v>29.324175075757577</v>
      </c>
      <c r="R58" s="16">
        <v>7</v>
      </c>
      <c r="S58" s="16">
        <v>3</v>
      </c>
      <c r="T58" s="16">
        <f t="shared" si="4"/>
        <v>50</v>
      </c>
      <c r="U58" s="16">
        <f>RANK(Table5[[#This Row],[Consequence]],$T$62:$T$264)</f>
        <v>1</v>
      </c>
      <c r="V58" s="16"/>
      <c r="X58" s="14">
        <f>J361</f>
        <v>0</v>
      </c>
      <c r="Y58" s="14">
        <v>19.493670886075947</v>
      </c>
    </row>
    <row r="59" spans="1:25">
      <c r="A59" s="84">
        <v>14</v>
      </c>
      <c r="B59" s="80">
        <v>1</v>
      </c>
      <c r="C59" s="81">
        <v>440210003</v>
      </c>
      <c r="D59" s="82" t="s">
        <v>565</v>
      </c>
      <c r="E59" s="57">
        <f>E58</f>
        <v>0</v>
      </c>
      <c r="F59" s="16">
        <v>1490.514684388889</v>
      </c>
      <c r="G59" s="16">
        <f>Table5[[#This Row],[Probability]]*Table5[[#This Row],[Consequence]]</f>
        <v>1466.2087537878788</v>
      </c>
      <c r="H59" s="16">
        <f>RANK(Table5[[#This Row],[Risk Score]],$G$62:$G$312)</f>
        <v>23</v>
      </c>
      <c r="I59" s="16">
        <f>VLOOKUP(C59,Table1[[#All],[RC]:[Total Internal Corrosion Score]],27,FALSE)</f>
        <v>34.166666666666664</v>
      </c>
      <c r="J59" s="16">
        <f>RANK(Table5[[#This Row],[INTERNAL CORROSION]],$I$62:$I$312)</f>
        <v>8</v>
      </c>
      <c r="K59" s="16">
        <f>VLOOKUP(C59,Ext.Mo!$C$2:$AK$326,35,FALSE)</f>
        <v>19.493670000000002</v>
      </c>
      <c r="L59" s="16">
        <f>RANK(Table5[[#This Row],[EXTERNAL CORROSION]],$K$62:$K$312)</f>
        <v>3</v>
      </c>
      <c r="M59" s="16">
        <f>VLOOKUP(Table5[[#This Row],[RC]],Table3[[RC]:[Total TPI Score10]],23,0)</f>
        <v>43.63636363636364</v>
      </c>
      <c r="N59" s="16">
        <f>RANK(Table5[[#This Row],[THIRD PARTY INTERFERENCE]],$M$62:$M$312)</f>
        <v>2</v>
      </c>
      <c r="O59" s="16">
        <f>VLOOKUP(Table5[[#This Row],[RC]],LGS_Mo.!$C$5:$P$322,14,0)</f>
        <v>20</v>
      </c>
      <c r="P59" s="16">
        <f>RANK(Table5[[#This Row],[Loss  of ground support]],$O$62:$O$312)</f>
        <v>15</v>
      </c>
      <c r="Q59" s="16">
        <f>(I59+K59+M59+Table5[[#This Row],[Loss  of ground support]])/4</f>
        <v>29.324175075757577</v>
      </c>
      <c r="R59" s="16">
        <v>7</v>
      </c>
      <c r="S59" s="16">
        <v>3</v>
      </c>
      <c r="T59" s="16">
        <f t="shared" si="4"/>
        <v>50</v>
      </c>
      <c r="U59" s="16">
        <f>RANK(Table5[[#This Row],[Consequence]],$T$62:$T$264)</f>
        <v>1</v>
      </c>
      <c r="V59" s="16"/>
      <c r="X59" s="14">
        <f>J362</f>
        <v>0</v>
      </c>
      <c r="Y59" s="14">
        <v>19.493670886075947</v>
      </c>
    </row>
    <row r="60" spans="1:25">
      <c r="A60" s="84">
        <v>14</v>
      </c>
      <c r="B60" s="80">
        <v>1</v>
      </c>
      <c r="C60" s="81">
        <v>440210004</v>
      </c>
      <c r="D60" s="82" t="s">
        <v>567</v>
      </c>
      <c r="E60" s="57">
        <f>E59</f>
        <v>0</v>
      </c>
      <c r="F60" s="16">
        <v>1490.514684388889</v>
      </c>
      <c r="G60" s="16">
        <f>Table5[[#This Row],[Probability]]*Table5[[#This Row],[Consequence]]</f>
        <v>1466.2087537878788</v>
      </c>
      <c r="H60" s="16">
        <f>RANK(Table5[[#This Row],[Risk Score]],$G$62:$G$312)</f>
        <v>23</v>
      </c>
      <c r="I60" s="16">
        <f>VLOOKUP(C60,Table1[[#All],[RC]:[Total Internal Corrosion Score]],27,FALSE)</f>
        <v>34.166666666666664</v>
      </c>
      <c r="J60" s="16">
        <f>RANK(Table5[[#This Row],[INTERNAL CORROSION]],$I$62:$I$312)</f>
        <v>8</v>
      </c>
      <c r="K60" s="16">
        <f>VLOOKUP(C60,Ext.Mo!$C$2:$AK$326,35,FALSE)</f>
        <v>19.493670000000002</v>
      </c>
      <c r="L60" s="16">
        <f>RANK(Table5[[#This Row],[EXTERNAL CORROSION]],$K$62:$K$312)</f>
        <v>3</v>
      </c>
      <c r="M60" s="16">
        <f>VLOOKUP(Table5[[#This Row],[RC]],Table3[[RC]:[Total TPI Score10]],23,0)</f>
        <v>43.63636363636364</v>
      </c>
      <c r="N60" s="16">
        <f>RANK(Table5[[#This Row],[THIRD PARTY INTERFERENCE]],$M$62:$M$312)</f>
        <v>2</v>
      </c>
      <c r="O60" s="16">
        <f>VLOOKUP(Table5[[#This Row],[RC]],LGS_Mo.!$C$5:$P$322,14,0)</f>
        <v>20</v>
      </c>
      <c r="P60" s="16">
        <f>RANK(Table5[[#This Row],[Loss  of ground support]],$O$62:$O$312)</f>
        <v>15</v>
      </c>
      <c r="Q60" s="16">
        <f>(I60+K60+M60+Table5[[#This Row],[Loss  of ground support]])/4</f>
        <v>29.324175075757577</v>
      </c>
      <c r="R60" s="16">
        <v>7</v>
      </c>
      <c r="S60" s="16">
        <v>3</v>
      </c>
      <c r="T60" s="16">
        <f t="shared" si="4"/>
        <v>50</v>
      </c>
      <c r="U60" s="16">
        <f>RANK(Table5[[#This Row],[Consequence]],$T$62:$T$264)</f>
        <v>1</v>
      </c>
      <c r="V60" s="16"/>
      <c r="X60" s="14">
        <f>J363</f>
        <v>0</v>
      </c>
      <c r="Y60" s="14">
        <v>19.493670886075947</v>
      </c>
    </row>
    <row r="61" spans="1:25">
      <c r="A61" s="84">
        <v>14</v>
      </c>
      <c r="B61" s="84">
        <v>1</v>
      </c>
      <c r="C61" s="81">
        <v>440220001</v>
      </c>
      <c r="D61" s="82" t="s">
        <v>247</v>
      </c>
      <c r="E61" s="57">
        <f>E60</f>
        <v>0</v>
      </c>
      <c r="F61" s="16">
        <v>1490.514684388889</v>
      </c>
      <c r="G61" s="16">
        <f>Table5[[#This Row],[Probability]]*Table5[[#This Row],[Consequence]]</f>
        <v>1466.2087537878788</v>
      </c>
      <c r="H61" s="16">
        <f>RANK(Table5[[#This Row],[Risk Score]],$G$62:$G$312)</f>
        <v>23</v>
      </c>
      <c r="I61" s="16">
        <f>VLOOKUP(C61,Table1[[#All],[RC]:[Total Internal Corrosion Score]],27,FALSE)</f>
        <v>34.166666666666664</v>
      </c>
      <c r="J61" s="16">
        <f>RANK(Table5[[#This Row],[INTERNAL CORROSION]],$I$62:$I$312)</f>
        <v>8</v>
      </c>
      <c r="K61" s="16">
        <f>VLOOKUP(C61,Ext.Mo!$C$2:$AK$326,35,FALSE)</f>
        <v>19.493670000000002</v>
      </c>
      <c r="L61" s="16">
        <f>RANK(Table5[[#This Row],[EXTERNAL CORROSION]],$K$62:$K$312)</f>
        <v>3</v>
      </c>
      <c r="M61" s="16">
        <f>VLOOKUP(Table5[[#This Row],[RC]],Table3[[RC]:[Total TPI Score10]],23,0)</f>
        <v>43.63636363636364</v>
      </c>
      <c r="N61" s="16">
        <f>RANK(Table5[[#This Row],[THIRD PARTY INTERFERENCE]],$M$62:$M$312)</f>
        <v>2</v>
      </c>
      <c r="O61" s="16">
        <f>VLOOKUP(Table5[[#This Row],[RC]],LGS_Mo.!$C$5:$P$322,14,0)</f>
        <v>20</v>
      </c>
      <c r="P61" s="16">
        <f>RANK(Table5[[#This Row],[Loss  of ground support]],$O$62:$O$312)</f>
        <v>15</v>
      </c>
      <c r="Q61" s="16">
        <f>(I61+K61+M61+Table5[[#This Row],[Loss  of ground support]])/4</f>
        <v>29.324175075757577</v>
      </c>
      <c r="R61" s="16">
        <v>7</v>
      </c>
      <c r="S61" s="16">
        <v>3</v>
      </c>
      <c r="T61" s="16">
        <f t="shared" si="4"/>
        <v>50</v>
      </c>
      <c r="U61" s="16">
        <f>RANK(Table5[[#This Row],[Consequence]],$T$62:$T$264)</f>
        <v>1</v>
      </c>
      <c r="V61" s="16"/>
      <c r="X61" s="14">
        <f>J364</f>
        <v>0</v>
      </c>
      <c r="Y61" s="14">
        <v>19.493670886075947</v>
      </c>
    </row>
    <row r="62" spans="1:25">
      <c r="A62" s="84">
        <v>15</v>
      </c>
      <c r="B62" s="84">
        <v>1</v>
      </c>
      <c r="C62" s="81">
        <v>4021</v>
      </c>
      <c r="D62" s="82" t="s">
        <v>230</v>
      </c>
      <c r="E62" s="57" t="e">
        <f>#REF!</f>
        <v>#REF!</v>
      </c>
      <c r="F62" s="16">
        <v>1490.514684388889</v>
      </c>
      <c r="G62" s="16">
        <f>Table5[[#This Row],[Probability]]*Table5[[#This Row],[Consequence]]</f>
        <v>1182.7651515151515</v>
      </c>
      <c r="H62" s="16">
        <f>RANK(Table5[[#This Row],[Risk Score]],$G$62:$G$312)</f>
        <v>250</v>
      </c>
      <c r="I62" s="16">
        <f>VLOOKUP(C62,Table1[[#All],[RC]:[Total Internal Corrosion Score]],27,FALSE)</f>
        <v>34.166666666666664</v>
      </c>
      <c r="J62" s="16">
        <f>RANK(Table5[[#This Row],[INTERNAL CORROSION]],$I$62:$I$312)</f>
        <v>8</v>
      </c>
      <c r="K62" s="16">
        <f>VLOOKUP(C62,Ext.Mo!$C$2:$AK$326,35,FALSE)</f>
        <v>0</v>
      </c>
      <c r="L62" s="16">
        <f>RANK(Table5[[#This Row],[EXTERNAL CORROSION]],$K$62:$K$312)</f>
        <v>250</v>
      </c>
      <c r="M62" s="16">
        <f>VLOOKUP(Table5[[#This Row],[RC]],Table3[[RC]:[Total TPI Score10]],23,0)</f>
        <v>40.454545454545453</v>
      </c>
      <c r="N62" s="16">
        <f>RANK(Table5[[#This Row],[THIRD PARTY INTERFERENCE]],$M$62:$M$312)</f>
        <v>224</v>
      </c>
      <c r="O62" s="16">
        <f>VLOOKUP(Table5[[#This Row],[RC]],LGS_Mo.!$C$5:$P$322,14,0)</f>
        <v>20</v>
      </c>
      <c r="P62" s="16">
        <f>RANK(Table5[[#This Row],[Loss  of ground support]],$O$62:$O$312)</f>
        <v>15</v>
      </c>
      <c r="Q62" s="16">
        <f>(I62+K62+M62+Table5[[#This Row],[Loss  of ground support]])/4</f>
        <v>23.655303030303031</v>
      </c>
      <c r="R62" s="16">
        <f>VLOOKUP(C62,consequence!$B$2:$K$302,10,FALSE)</f>
        <v>3</v>
      </c>
      <c r="S62" s="16">
        <f>VLOOKUP(C62,consequence!B2:$K$302,9,FALSE)</f>
        <v>7</v>
      </c>
      <c r="T62" s="16">
        <f t="shared" si="4"/>
        <v>50</v>
      </c>
      <c r="U62" s="16">
        <f>RANK(Table5[[#This Row],[Consequence]],$T$62:$T$264)</f>
        <v>1</v>
      </c>
      <c r="V62" s="16"/>
      <c r="Y62">
        <v>19.493670886075947</v>
      </c>
    </row>
    <row r="63" spans="1:25">
      <c r="A63" s="84">
        <v>15</v>
      </c>
      <c r="B63" s="84">
        <v>1</v>
      </c>
      <c r="C63" s="81">
        <v>402110001</v>
      </c>
      <c r="D63" s="82" t="s">
        <v>242</v>
      </c>
      <c r="E63" s="57">
        <f>E314</f>
        <v>0</v>
      </c>
      <c r="F63" s="16">
        <v>1490.514684388889</v>
      </c>
      <c r="G63" s="16">
        <f>Table5[[#This Row],[Probability]]*Table5[[#This Row],[Consequence]]</f>
        <v>1476.6254204545455</v>
      </c>
      <c r="H63" s="16">
        <f>RANK(Table5[[#This Row],[Risk Score]],$G$62:$G$312)</f>
        <v>16</v>
      </c>
      <c r="I63" s="16">
        <f>VLOOKUP(C63,Table1[[#All],[RC]:[Total Internal Corrosion Score]],27,FALSE)</f>
        <v>34.999999999999993</v>
      </c>
      <c r="J63" s="16">
        <f>RANK(Table5[[#This Row],[INTERNAL CORROSION]],$I$62:$I$312)</f>
        <v>1</v>
      </c>
      <c r="K63" s="16">
        <f>VLOOKUP(C63,Ext.Mo!$C$2:$AK$326,35,FALSE)</f>
        <v>19.493670000000002</v>
      </c>
      <c r="L63" s="16">
        <f>RANK(Table5[[#This Row],[EXTERNAL CORROSION]],$K$62:$K$312)</f>
        <v>3</v>
      </c>
      <c r="M63" s="16">
        <f>VLOOKUP(Table5[[#This Row],[RC]],Table3[[RC]:[Total TPI Score10]],23,0)</f>
        <v>43.63636363636364</v>
      </c>
      <c r="N63" s="16">
        <f>RANK(Table5[[#This Row],[THIRD PARTY INTERFERENCE]],$M$62:$M$312)</f>
        <v>2</v>
      </c>
      <c r="O63" s="16">
        <f>VLOOKUP(Table5[[#This Row],[RC]],LGS_Mo.!$C$5:$P$322,14,0)</f>
        <v>20</v>
      </c>
      <c r="P63" s="16">
        <f>RANK(Table5[[#This Row],[Loss  of ground support]],$O$62:$O$312)</f>
        <v>15</v>
      </c>
      <c r="Q63" s="16">
        <f>(I63+K63+M63+Table5[[#This Row],[Loss  of ground support]])/4</f>
        <v>29.532508409090909</v>
      </c>
      <c r="R63" s="16">
        <v>7</v>
      </c>
      <c r="S63" s="16">
        <v>3</v>
      </c>
      <c r="T63" s="16">
        <f t="shared" si="4"/>
        <v>50</v>
      </c>
      <c r="U63" s="16">
        <f>RANK(Table5[[#This Row],[Consequence]],$T$62:$T$264)</f>
        <v>1</v>
      </c>
      <c r="V63" s="16"/>
      <c r="X63" s="14" t="e">
        <f>#REF!</f>
        <v>#REF!</v>
      </c>
      <c r="Y63" s="14">
        <v>19.493670886075947</v>
      </c>
    </row>
    <row r="64" spans="1:25" ht="25.5">
      <c r="A64" s="84">
        <v>16</v>
      </c>
      <c r="B64" s="84">
        <v>2</v>
      </c>
      <c r="C64" s="81">
        <v>63602</v>
      </c>
      <c r="D64" s="82" t="s">
        <v>254</v>
      </c>
      <c r="E64" s="57" t="e">
        <f>#REF!</f>
        <v>#REF!</v>
      </c>
      <c r="F64" s="16">
        <v>1490.514684388889</v>
      </c>
      <c r="G64" s="16">
        <f>Table5[[#This Row],[Probability]]*Table5[[#This Row],[Consequence]]</f>
        <v>1462.7365315656566</v>
      </c>
      <c r="H64" s="16">
        <f>RANK(Table5[[#This Row],[Risk Score]],$G$62:$G$312)</f>
        <v>128</v>
      </c>
      <c r="I64" s="16">
        <f>VLOOKUP(C64,Table1[[#All],[RC]:[Total Internal Corrosion Score]],27,FALSE)</f>
        <v>33.888888888888886</v>
      </c>
      <c r="J64" s="16">
        <f>RANK(Table5[[#This Row],[INTERNAL CORROSION]],$I$62:$I$312)</f>
        <v>205</v>
      </c>
      <c r="K64" s="16">
        <f>VLOOKUP(C64,Ext.Mo!$C$2:$AK$326,35,FALSE)</f>
        <v>19.493670000000002</v>
      </c>
      <c r="L64" s="16">
        <f>RANK(Table5[[#This Row],[EXTERNAL CORROSION]],$K$62:$K$312)</f>
        <v>3</v>
      </c>
      <c r="M64" s="16">
        <f>VLOOKUP(Table5[[#This Row],[RC]],Table3[[RC]:[Total TPI Score10]],23,0)</f>
        <v>43.63636363636364</v>
      </c>
      <c r="N64" s="16">
        <f>RANK(Table5[[#This Row],[THIRD PARTY INTERFERENCE]],$M$62:$M$312)</f>
        <v>2</v>
      </c>
      <c r="O64" s="16">
        <f>VLOOKUP(Table5[[#This Row],[RC]],LGS_Mo.!$C$5:$P$322,14,0)</f>
        <v>20</v>
      </c>
      <c r="P64" s="16">
        <f>RANK(Table5[[#This Row],[Loss  of ground support]],$O$62:$O$312)</f>
        <v>15</v>
      </c>
      <c r="Q64" s="16">
        <f>(I64+K64+M64+Table5[[#This Row],[Loss  of ground support]])/4</f>
        <v>29.25473063131313</v>
      </c>
      <c r="R64" s="16">
        <v>7</v>
      </c>
      <c r="S64" s="16">
        <v>3</v>
      </c>
      <c r="T64" s="16">
        <f t="shared" si="4"/>
        <v>50</v>
      </c>
      <c r="U64" s="16">
        <f>RANK(Table5[[#This Row],[Consequence]],$T$62:$T$264)</f>
        <v>1</v>
      </c>
      <c r="V64" s="16"/>
      <c r="X64" s="14">
        <f>J382</f>
        <v>0</v>
      </c>
      <c r="Y64" s="14">
        <v>19.493670886075947</v>
      </c>
    </row>
    <row r="65" spans="1:25">
      <c r="A65" s="84">
        <v>16</v>
      </c>
      <c r="B65" s="84">
        <v>2</v>
      </c>
      <c r="C65" s="81">
        <v>65820</v>
      </c>
      <c r="D65" s="82" t="s">
        <v>255</v>
      </c>
      <c r="E65" s="57" t="e">
        <f>E64</f>
        <v>#REF!</v>
      </c>
      <c r="F65" s="16">
        <v>1490.514684388889</v>
      </c>
      <c r="G65" s="16">
        <f>Table5[[#This Row],[Probability]]*Table5[[#This Row],[Consequence]]</f>
        <v>1462.7365315656566</v>
      </c>
      <c r="H65" s="16">
        <f>RANK(Table5[[#This Row],[Risk Score]],$G$62:$G$312)</f>
        <v>128</v>
      </c>
      <c r="I65" s="16">
        <f>VLOOKUP(C65,Table1[[#All],[RC]:[Total Internal Corrosion Score]],27,FALSE)</f>
        <v>33.888888888888886</v>
      </c>
      <c r="J65" s="16">
        <f>RANK(Table5[[#This Row],[INTERNAL CORROSION]],$I$62:$I$312)</f>
        <v>205</v>
      </c>
      <c r="K65" s="16">
        <f>VLOOKUP(C65,Ext.Mo!$C$2:$AK$326,35,FALSE)</f>
        <v>19.493670000000002</v>
      </c>
      <c r="L65" s="16">
        <f>RANK(Table5[[#This Row],[EXTERNAL CORROSION]],$K$62:$K$312)</f>
        <v>3</v>
      </c>
      <c r="M65" s="16">
        <f>VLOOKUP(Table5[[#This Row],[RC]],Table3[[RC]:[Total TPI Score10]],23,0)</f>
        <v>43.63636363636364</v>
      </c>
      <c r="N65" s="16">
        <f>RANK(Table5[[#This Row],[THIRD PARTY INTERFERENCE]],$M$62:$M$312)</f>
        <v>2</v>
      </c>
      <c r="O65" s="16">
        <f>VLOOKUP(Table5[[#This Row],[RC]],LGS_Mo.!$C$5:$P$322,14,0)</f>
        <v>20</v>
      </c>
      <c r="P65" s="16">
        <f>RANK(Table5[[#This Row],[Loss  of ground support]],$O$62:$O$312)</f>
        <v>15</v>
      </c>
      <c r="Q65" s="16">
        <f>(I65+K65+M65+Table5[[#This Row],[Loss  of ground support]])/4</f>
        <v>29.25473063131313</v>
      </c>
      <c r="R65" s="16">
        <v>7</v>
      </c>
      <c r="S65" s="16">
        <v>3</v>
      </c>
      <c r="T65" s="16">
        <f t="shared" si="4"/>
        <v>50</v>
      </c>
      <c r="U65" s="16">
        <f>RANK(Table5[[#This Row],[Consequence]],$T$62:$T$264)</f>
        <v>1</v>
      </c>
      <c r="V65" s="16"/>
      <c r="X65" s="14">
        <f>J383</f>
        <v>0</v>
      </c>
      <c r="Y65" s="14">
        <v>19.493670886075947</v>
      </c>
    </row>
    <row r="66" spans="1:25" ht="25.5">
      <c r="A66" s="84">
        <v>16</v>
      </c>
      <c r="B66" s="84">
        <v>2</v>
      </c>
      <c r="C66" s="81">
        <v>6360106</v>
      </c>
      <c r="D66" s="82" t="s">
        <v>264</v>
      </c>
      <c r="E66" s="57" t="e">
        <f>E94</f>
        <v>#REF!</v>
      </c>
      <c r="F66" s="16">
        <v>1490.514684388889</v>
      </c>
      <c r="G66" s="16">
        <f>Table5[[#This Row],[Probability]]*Table5[[#This Row],[Consequence]]</f>
        <v>1459.2643093434344</v>
      </c>
      <c r="H66" s="16">
        <f>RANK(Table5[[#This Row],[Risk Score]],$G$62:$G$312)</f>
        <v>130</v>
      </c>
      <c r="I66" s="16">
        <f>VLOOKUP(C66,Table1[[#All],[RC]:[Total Internal Corrosion Score]],27,FALSE)</f>
        <v>33.611111111111107</v>
      </c>
      <c r="J66" s="16">
        <f>RANK(Table5[[#This Row],[INTERNAL CORROSION]],$I$62:$I$312)</f>
        <v>208</v>
      </c>
      <c r="K66" s="16">
        <f>VLOOKUP(C66,Ext.Mo!$C$2:$AK$326,35,FALSE)</f>
        <v>19.493670000000002</v>
      </c>
      <c r="L66" s="16">
        <f>RANK(Table5[[#This Row],[EXTERNAL CORROSION]],$K$62:$K$312)</f>
        <v>3</v>
      </c>
      <c r="M66" s="16">
        <f>VLOOKUP(Table5[[#This Row],[RC]],Table3[[RC]:[Total TPI Score10]],23,0)</f>
        <v>43.63636363636364</v>
      </c>
      <c r="N66" s="16">
        <f>RANK(Table5[[#This Row],[THIRD PARTY INTERFERENCE]],$M$62:$M$312)</f>
        <v>2</v>
      </c>
      <c r="O66" s="16">
        <f>VLOOKUP(Table5[[#This Row],[RC]],LGS_Mo.!$C$5:$P$322,14,0)</f>
        <v>20</v>
      </c>
      <c r="P66" s="16">
        <f>RANK(Table5[[#This Row],[Loss  of ground support]],$O$62:$O$312)</f>
        <v>15</v>
      </c>
      <c r="Q66" s="16">
        <f>(I66+K66+M66+Table5[[#This Row],[Loss  of ground support]])/4</f>
        <v>29.185286186868687</v>
      </c>
      <c r="R66" s="16">
        <f>VLOOKUP(C66,consequence!$B$2:$K$302,10,FALSE)</f>
        <v>3</v>
      </c>
      <c r="S66" s="16">
        <f>VLOOKUP(C66,consequence!B110:$K$302,9,FALSE)</f>
        <v>7</v>
      </c>
      <c r="T66" s="16">
        <f t="shared" si="4"/>
        <v>50</v>
      </c>
      <c r="U66" s="16">
        <f>RANK(Table5[[#This Row],[Consequence]],$T$62:$T$264)</f>
        <v>1</v>
      </c>
      <c r="V66" s="16"/>
      <c r="X66" s="14">
        <f>J421</f>
        <v>0</v>
      </c>
      <c r="Y66" s="14">
        <v>19.493670886075947</v>
      </c>
    </row>
    <row r="67" spans="1:25" s="9" customFormat="1">
      <c r="A67" s="84">
        <v>16</v>
      </c>
      <c r="B67" s="84">
        <v>2</v>
      </c>
      <c r="C67" s="81">
        <v>6582101</v>
      </c>
      <c r="D67" s="82" t="s">
        <v>265</v>
      </c>
      <c r="E67" s="57" t="e">
        <f>E66</f>
        <v>#REF!</v>
      </c>
      <c r="F67" s="16">
        <v>1490.514684388889</v>
      </c>
      <c r="G67" s="16">
        <f>Table5[[#This Row],[Probability]]*Table5[[#This Row],[Consequence]]</f>
        <v>1422.9638042929291</v>
      </c>
      <c r="H67" s="16">
        <f>RANK(Table5[[#This Row],[Risk Score]],$G$62:$G$312)</f>
        <v>200</v>
      </c>
      <c r="I67" s="16">
        <f>VLOOKUP(C67,Table1[[#All],[RC]:[Total Internal Corrosion Score]],27,FALSE)</f>
        <v>33.888888888888886</v>
      </c>
      <c r="J67" s="16">
        <f>RANK(Table5[[#This Row],[INTERNAL CORROSION]],$I$62:$I$312)</f>
        <v>205</v>
      </c>
      <c r="K67" s="16">
        <f>VLOOKUP(C67,Ext.Mo!$C$2:$AK$326,35,FALSE)</f>
        <v>19.493670000000002</v>
      </c>
      <c r="L67" s="16">
        <f>RANK(Table5[[#This Row],[EXTERNAL CORROSION]],$K$62:$K$312)</f>
        <v>3</v>
      </c>
      <c r="M67" s="16">
        <f>VLOOKUP(Table5[[#This Row],[RC]],Table3[[RC]:[Total TPI Score10]],23,0)</f>
        <v>40.454545454545453</v>
      </c>
      <c r="N67" s="9">
        <f>RANK(Table5[[#This Row],[THIRD PARTY INTERFERENCE]],$M$62:$M$312)</f>
        <v>224</v>
      </c>
      <c r="O67" s="9">
        <f>VLOOKUP(Table5[[#This Row],[RC]],LGS_Mo.!$C$5:$P$322,14,0)</f>
        <v>20</v>
      </c>
      <c r="P67" s="9">
        <f>RANK(Table5[[#This Row],[Loss  of ground support]],$O$62:$O$312)</f>
        <v>15</v>
      </c>
      <c r="Q67" s="9">
        <f>(I67+K67+M67+Table5[[#This Row],[Loss  of ground support]])/4</f>
        <v>28.459276085858583</v>
      </c>
      <c r="R67" s="9">
        <f>VLOOKUP(C67,consequence!$B$2:$K$302,10,FALSE)</f>
        <v>3</v>
      </c>
      <c r="S67" s="9">
        <f>VLOOKUP(C67,consequence!B111:$K$302,9,FALSE)</f>
        <v>7</v>
      </c>
      <c r="T67" s="9">
        <f t="shared" ref="T67:T70" si="5">((R67*5)+(S67*5))</f>
        <v>50</v>
      </c>
      <c r="U67" s="9">
        <f>RANK(Table5[[#This Row],[Consequence]],$T$62:$T$264)</f>
        <v>1</v>
      </c>
      <c r="X67" s="14">
        <f>J422</f>
        <v>0</v>
      </c>
      <c r="Y67" s="14">
        <v>19.493670886075947</v>
      </c>
    </row>
    <row r="68" spans="1:25" ht="25.5">
      <c r="A68" s="84">
        <v>19</v>
      </c>
      <c r="B68" s="84">
        <v>1</v>
      </c>
      <c r="C68" s="81">
        <v>4032</v>
      </c>
      <c r="D68" s="82" t="s">
        <v>232</v>
      </c>
      <c r="E68" s="57" t="e">
        <f>E258</f>
        <v>#REF!</v>
      </c>
      <c r="F68" s="16">
        <v>1490.514684388889</v>
      </c>
      <c r="G68" s="16">
        <f>Table5[[#This Row],[Probability]]*Table5[[#This Row],[Consequence]]</f>
        <v>1412.8068661296511</v>
      </c>
      <c r="H68" s="16">
        <f>RANK(Table5[[#This Row],[Risk Score]],$G$62:$G$312)</f>
        <v>207</v>
      </c>
      <c r="I68" s="16">
        <f>VLOOKUP(C68,Table1[[#All],[RC]:[Total Internal Corrosion Score]],27,FALSE)</f>
        <v>34.166666666666664</v>
      </c>
      <c r="J68" s="16">
        <f>RANK(Table5[[#This Row],[INTERNAL CORROSION]],$I$62:$I$312)</f>
        <v>8</v>
      </c>
      <c r="K68" s="16">
        <f>VLOOKUP(C68,Ext.Mo!$C$2:$AK$326,35,FALSE)</f>
        <v>15.221518987341771</v>
      </c>
      <c r="L68" s="16">
        <f>RANK(Table5[[#This Row],[EXTERNAL CORROSION]],$K$62:$K$312)</f>
        <v>211</v>
      </c>
      <c r="M68" s="16">
        <f>VLOOKUP(Table5[[#This Row],[RC]],Table3[[RC]:[Total TPI Score10]],23,0)</f>
        <v>43.63636363636364</v>
      </c>
      <c r="N68" s="16">
        <f>RANK(Table5[[#This Row],[THIRD PARTY INTERFERENCE]],$M$62:$M$312)</f>
        <v>2</v>
      </c>
      <c r="O68" s="16">
        <f>VLOOKUP(Table5[[#This Row],[RC]],LGS_Mo.!$C$5:$P$322,14,0)</f>
        <v>20</v>
      </c>
      <c r="P68" s="16">
        <f>RANK(Table5[[#This Row],[Loss  of ground support]],$O$62:$O$312)</f>
        <v>15</v>
      </c>
      <c r="Q68" s="16">
        <f>(I68+K68+M68+Table5[[#This Row],[Loss  of ground support]])/4</f>
        <v>28.25613732259302</v>
      </c>
      <c r="R68" s="16">
        <f>VLOOKUP(C68,consequence!$B$2:$K$302,10,FALSE)</f>
        <v>3</v>
      </c>
      <c r="S68" s="16">
        <f>VLOOKUP(C68,consequence!B4:$K$302,9,FALSE)</f>
        <v>7</v>
      </c>
      <c r="T68" s="16">
        <f t="shared" si="5"/>
        <v>50</v>
      </c>
      <c r="U68" s="16">
        <f>RANK(Table5[[#This Row],[Consequence]],$T$62:$T$264)</f>
        <v>1</v>
      </c>
      <c r="V68" s="16"/>
      <c r="X68" s="14" t="e">
        <f>#REF!</f>
        <v>#REF!</v>
      </c>
      <c r="Y68" s="14">
        <v>19.493670886075947</v>
      </c>
    </row>
    <row r="69" spans="1:25">
      <c r="A69" s="84">
        <v>19</v>
      </c>
      <c r="B69" s="84">
        <v>3</v>
      </c>
      <c r="C69" s="81">
        <v>40321</v>
      </c>
      <c r="D69" s="82" t="s">
        <v>295</v>
      </c>
      <c r="E69" s="105">
        <f>F386</f>
        <v>0</v>
      </c>
      <c r="F69" s="16">
        <v>1490.514684388889</v>
      </c>
      <c r="G69" s="70">
        <f>Table5[[#This Row],[Probability]]*Table5[[#This Row],[Consequence]]</f>
        <v>1466.2087537878788</v>
      </c>
      <c r="H69" s="16">
        <f>RANK(Table5[[#This Row],[Risk Score]],$G$62:$G$312)</f>
        <v>23</v>
      </c>
      <c r="I69" s="16">
        <f>VLOOKUP(C69,Table1[[#All],[RC]:[Total Internal Corrosion Score]],27,FALSE)</f>
        <v>34.166666666666664</v>
      </c>
      <c r="J69" s="16">
        <f>RANK(Table5[[#This Row],[INTERNAL CORROSION]],$I$62:$I$312)</f>
        <v>8</v>
      </c>
      <c r="K69" s="16">
        <f>VLOOKUP(C69,Ext.Mo!$C$2:$AK$326,35,FALSE)</f>
        <v>19.493670000000002</v>
      </c>
      <c r="L69" s="16">
        <f>RANK(Table5[[#This Row],[EXTERNAL CORROSION]],$K$62:$K$312)</f>
        <v>3</v>
      </c>
      <c r="M69" s="16">
        <f>VLOOKUP(Table5[[#This Row],[RC]],Table3[[RC]:[Total TPI Score10]],23,0)</f>
        <v>43.63636363636364</v>
      </c>
      <c r="N69" s="16">
        <f>RANK(Table5[[#This Row],[THIRD PARTY INTERFERENCE]],$M$62:$M$312)</f>
        <v>2</v>
      </c>
      <c r="O69" s="16">
        <f>VLOOKUP(Table5[[#This Row],[RC]],LGS_Mo.!$C$5:$P$322,14,0)</f>
        <v>20</v>
      </c>
      <c r="P69" s="16">
        <f>RANK(Table5[[#This Row],[Loss  of ground support]],$O$62:$O$312)</f>
        <v>15</v>
      </c>
      <c r="Q69" s="16">
        <f>(I69+K69+M69+Table5[[#This Row],[Loss  of ground support]])/4</f>
        <v>29.324175075757577</v>
      </c>
      <c r="R69" s="16">
        <f>VLOOKUP(C69,consequence!$B$2:$K$302,10,FALSE)</f>
        <v>3</v>
      </c>
      <c r="S69" s="16">
        <f>VLOOKUP(C69,consequence!B194:$K$302,9,FALSE)</f>
        <v>7</v>
      </c>
      <c r="T69" s="63">
        <f t="shared" si="5"/>
        <v>50</v>
      </c>
      <c r="U69" s="69">
        <f>RANK(Table5[[#This Row],[Consequence]],$T$62:$T$264)</f>
        <v>1</v>
      </c>
      <c r="V69" s="16"/>
      <c r="X69" s="14">
        <f>J505</f>
        <v>0</v>
      </c>
      <c r="Y69" s="14">
        <v>19.493670886075947</v>
      </c>
    </row>
    <row r="70" spans="1:25">
      <c r="A70" s="84">
        <v>19</v>
      </c>
      <c r="B70" s="84">
        <v>3</v>
      </c>
      <c r="C70" s="81">
        <v>4032201</v>
      </c>
      <c r="D70" s="82" t="s">
        <v>303</v>
      </c>
      <c r="E70" s="105">
        <f>F396</f>
        <v>0</v>
      </c>
      <c r="F70" s="16">
        <v>1490.514684388889</v>
      </c>
      <c r="G70" s="70">
        <f>Table5[[#This Row],[Probability]]*Table5[[#This Row],[Consequence]]</f>
        <v>1466.2087537878788</v>
      </c>
      <c r="H70" s="16">
        <f>RANK(Table5[[#This Row],[Risk Score]],$G$62:$G$312)</f>
        <v>23</v>
      </c>
      <c r="I70" s="16">
        <f>VLOOKUP(C70,Table1[[#All],[RC]:[Total Internal Corrosion Score]],27,FALSE)</f>
        <v>34.166666666666664</v>
      </c>
      <c r="J70" s="16">
        <f>RANK(Table5[[#This Row],[INTERNAL CORROSION]],$I$62:$I$312)</f>
        <v>8</v>
      </c>
      <c r="K70" s="16">
        <f>VLOOKUP(C70,Ext.Mo!$C$2:$AK$326,35,FALSE)</f>
        <v>19.493670000000002</v>
      </c>
      <c r="L70" s="16">
        <f>RANK(Table5[[#This Row],[EXTERNAL CORROSION]],$K$62:$K$312)</f>
        <v>3</v>
      </c>
      <c r="M70" s="16">
        <f>VLOOKUP(Table5[[#This Row],[RC]],Table3[[RC]:[Total TPI Score10]],23,0)</f>
        <v>43.63636363636364</v>
      </c>
      <c r="N70" s="16">
        <f>RANK(Table5[[#This Row],[THIRD PARTY INTERFERENCE]],$M$62:$M$312)</f>
        <v>2</v>
      </c>
      <c r="O70" s="16">
        <f>VLOOKUP(Table5[[#This Row],[RC]],LGS_Mo.!$C$5:$P$322,14,0)</f>
        <v>20</v>
      </c>
      <c r="P70" s="16">
        <f>RANK(Table5[[#This Row],[Loss  of ground support]],$O$62:$O$312)</f>
        <v>15</v>
      </c>
      <c r="Q70" s="16">
        <f>(I70+K70+M70+Table5[[#This Row],[Loss  of ground support]])/4</f>
        <v>29.324175075757577</v>
      </c>
      <c r="R70" s="16">
        <f>VLOOKUP(C70,consequence!$B$2:$K$302,10,FALSE)</f>
        <v>3</v>
      </c>
      <c r="S70" s="16">
        <f>VLOOKUP(C70,consequence!B204:$K$302,9,FALSE)</f>
        <v>7</v>
      </c>
      <c r="T70" s="63">
        <f t="shared" si="5"/>
        <v>50</v>
      </c>
      <c r="U70" s="69">
        <f>RANK(Table5[[#This Row],[Consequence]],$T$62:$T$264)</f>
        <v>1</v>
      </c>
      <c r="V70" s="16"/>
      <c r="X70" s="14">
        <f>J515</f>
        <v>0</v>
      </c>
      <c r="Y70" s="14">
        <v>19.493670886075947</v>
      </c>
    </row>
    <row r="71" spans="1:25">
      <c r="B71" s="16"/>
      <c r="E71" s="16"/>
      <c r="F71" s="16">
        <v>1490.514684388889</v>
      </c>
      <c r="G71" s="16"/>
      <c r="H71" s="16"/>
      <c r="I71" s="16"/>
      <c r="J71" s="16"/>
    </row>
    <row r="72" spans="1:25">
      <c r="A72" s="80" t="s">
        <v>985</v>
      </c>
      <c r="B72" s="80">
        <v>2</v>
      </c>
      <c r="C72" s="81">
        <v>6711</v>
      </c>
      <c r="D72" s="82"/>
      <c r="E72" s="57" t="e">
        <f>E217</f>
        <v>#REF!</v>
      </c>
      <c r="F72" s="16">
        <v>1490.514684388889</v>
      </c>
      <c r="G72" s="16">
        <f>Table5[[#This Row],[Probability]]*Table5[[#This Row],[Consequence]]</f>
        <v>1466.2087537878788</v>
      </c>
      <c r="H72" s="16">
        <f>RANK(Table5[[#This Row],[Risk Score]],$G$62:$G$312)</f>
        <v>23</v>
      </c>
      <c r="I72" s="16">
        <f>VLOOKUP(C72,Table1[[#All],[RC]:[Total Internal Corrosion Score]],27,FALSE)</f>
        <v>34.166666666666664</v>
      </c>
      <c r="J72" s="16">
        <f>RANK(Table5[[#This Row],[INTERNAL CORROSION]],$I$62:$I$312)</f>
        <v>8</v>
      </c>
      <c r="K72" s="16">
        <f>VLOOKUP(C72,Ext.Mo!$C$2:$AK$326,35,FALSE)</f>
        <v>19.493670000000002</v>
      </c>
      <c r="L72" s="16">
        <f>RANK(Table5[[#This Row],[EXTERNAL CORROSION]],$K$62:$K$312)</f>
        <v>3</v>
      </c>
      <c r="M72" s="16">
        <f>VLOOKUP(Table5[[#This Row],[RC]],Table3[[RC]:[Total TPI Score10]],23,0)</f>
        <v>43.63636363636364</v>
      </c>
      <c r="N72" s="16">
        <f>RANK(Table5[[#This Row],[THIRD PARTY INTERFERENCE]],$M$62:$M$312)</f>
        <v>2</v>
      </c>
      <c r="O72" s="16">
        <f>VLOOKUP(Table5[[#This Row],[RC]],LGS_Mo.!$C$5:$P$322,14,0)</f>
        <v>20</v>
      </c>
      <c r="P72" s="16">
        <f>RANK(Table5[[#This Row],[Loss  of ground support]],$O$62:$O$312)</f>
        <v>15</v>
      </c>
      <c r="Q72" s="16">
        <f>(I72+K72+M72+Table5[[#This Row],[Loss  of ground support]])/4</f>
        <v>29.324175075757577</v>
      </c>
      <c r="R72" s="16">
        <v>7</v>
      </c>
      <c r="S72" s="16">
        <v>3</v>
      </c>
      <c r="T72" s="16">
        <f t="shared" ref="T72:T135" si="6">((R72*5)+(S72*5))</f>
        <v>50</v>
      </c>
      <c r="U72" s="16">
        <f>RANK(Table5[[#This Row],[Consequence]],$T$62:$T$264)</f>
        <v>1</v>
      </c>
      <c r="V72" s="16"/>
      <c r="X72" s="14">
        <f t="shared" ref="X72:X93" si="7">J394</f>
        <v>0</v>
      </c>
      <c r="Y72" s="14">
        <v>19.493670886075947</v>
      </c>
    </row>
    <row r="73" spans="1:25" s="9" customFormat="1">
      <c r="A73" s="110" t="s">
        <v>985</v>
      </c>
      <c r="B73" s="110">
        <v>2</v>
      </c>
      <c r="C73" s="111" t="s">
        <v>973</v>
      </c>
      <c r="D73" s="112" t="s">
        <v>680</v>
      </c>
      <c r="E73" s="260" t="e">
        <f t="shared" ref="E73:E93" si="8">E72</f>
        <v>#REF!</v>
      </c>
      <c r="F73" s="9">
        <v>1490.514684388889</v>
      </c>
      <c r="G73" s="9">
        <v>1466.2087537878788</v>
      </c>
      <c r="H73" s="9" t="e">
        <v>#N/A</v>
      </c>
      <c r="I73" s="9">
        <v>34.166666666666664</v>
      </c>
      <c r="J73" s="9">
        <v>8</v>
      </c>
      <c r="K73" s="9">
        <v>19.493670000000002</v>
      </c>
      <c r="L73" s="9" t="e">
        <v>#N/A</v>
      </c>
      <c r="M73" s="9">
        <v>43.63636363636364</v>
      </c>
      <c r="N73" s="9">
        <v>3</v>
      </c>
      <c r="O73" s="9">
        <v>20</v>
      </c>
      <c r="P73" s="9">
        <v>15</v>
      </c>
      <c r="Q73" s="9">
        <v>29.324175075757577</v>
      </c>
      <c r="R73" s="9">
        <v>7</v>
      </c>
      <c r="S73" s="9">
        <v>3</v>
      </c>
      <c r="T73" s="9">
        <v>50</v>
      </c>
      <c r="U73" s="9">
        <v>1</v>
      </c>
      <c r="X73" s="9">
        <f t="shared" si="7"/>
        <v>0</v>
      </c>
      <c r="Y73" s="9">
        <v>19.493670886075947</v>
      </c>
    </row>
    <row r="74" spans="1:25">
      <c r="A74" s="80" t="s">
        <v>985</v>
      </c>
      <c r="B74" s="80">
        <v>2</v>
      </c>
      <c r="C74" s="81">
        <v>67111002</v>
      </c>
      <c r="D74" s="82" t="s">
        <v>682</v>
      </c>
      <c r="E74" s="57" t="e">
        <f t="shared" si="8"/>
        <v>#REF!</v>
      </c>
      <c r="F74" s="16">
        <v>1490.514684388889</v>
      </c>
      <c r="G74" s="16">
        <f>Table5[[#This Row],[Probability]]*Table5[[#This Row],[Consequence]]</f>
        <v>1466.2087537878788</v>
      </c>
      <c r="H74" s="16">
        <f>RANK(Table5[[#This Row],[Risk Score]],$G$62:$G$312)</f>
        <v>23</v>
      </c>
      <c r="I74" s="16">
        <f>VLOOKUP(C74,Table1[[#All],[RC]:[Total Internal Corrosion Score]],27,FALSE)</f>
        <v>34.166666666666664</v>
      </c>
      <c r="J74" s="16">
        <f>RANK(Table5[[#This Row],[INTERNAL CORROSION]],$I$62:$I$312)</f>
        <v>8</v>
      </c>
      <c r="K74" s="16">
        <f>VLOOKUP(C74,Ext.Mo!$C$2:$AK$326,35,FALSE)</f>
        <v>19.493670000000002</v>
      </c>
      <c r="L74" s="16">
        <f>RANK(Table5[[#This Row],[EXTERNAL CORROSION]],$K$62:$K$312)</f>
        <v>3</v>
      </c>
      <c r="M74" s="16">
        <f>VLOOKUP(Table5[[#This Row],[RC]],Table3[[RC]:[Total TPI Score10]],23,0)</f>
        <v>43.63636363636364</v>
      </c>
      <c r="N74" s="16">
        <f>RANK(Table5[[#This Row],[THIRD PARTY INTERFERENCE]],$M$62:$M$312)</f>
        <v>2</v>
      </c>
      <c r="O74" s="16">
        <f>VLOOKUP(Table5[[#This Row],[RC]],LGS_Mo.!$C$5:$P$322,14,0)</f>
        <v>20</v>
      </c>
      <c r="P74" s="16">
        <f>RANK(Table5[[#This Row],[Loss  of ground support]],$O$62:$O$312)</f>
        <v>15</v>
      </c>
      <c r="Q74" s="16">
        <f>(I74+K74+M74+Table5[[#This Row],[Loss  of ground support]])/4</f>
        <v>29.324175075757577</v>
      </c>
      <c r="R74" s="16">
        <v>7</v>
      </c>
      <c r="S74" s="16">
        <v>3</v>
      </c>
      <c r="T74" s="16">
        <f t="shared" si="6"/>
        <v>50</v>
      </c>
      <c r="U74" s="16">
        <f>RANK(Table5[[#This Row],[Consequence]],$T$62:$T$264)</f>
        <v>1</v>
      </c>
      <c r="V74" s="16"/>
      <c r="X74" s="14">
        <f t="shared" si="7"/>
        <v>0</v>
      </c>
      <c r="Y74" s="14">
        <v>19.493670886075947</v>
      </c>
    </row>
    <row r="75" spans="1:25">
      <c r="A75" s="80" t="s">
        <v>985</v>
      </c>
      <c r="B75" s="80">
        <v>2</v>
      </c>
      <c r="C75" s="81">
        <v>67111003</v>
      </c>
      <c r="D75" s="82" t="s">
        <v>684</v>
      </c>
      <c r="E75" s="57" t="e">
        <f t="shared" si="8"/>
        <v>#REF!</v>
      </c>
      <c r="F75" s="16">
        <v>1490.514684388889</v>
      </c>
      <c r="G75" s="16">
        <f>Table5[[#This Row],[Probability]]*Table5[[#This Row],[Consequence]]</f>
        <v>1466.2087537878788</v>
      </c>
      <c r="H75" s="16">
        <f>RANK(Table5[[#This Row],[Risk Score]],$G$62:$G$312)</f>
        <v>23</v>
      </c>
      <c r="I75" s="16">
        <f>VLOOKUP(C75,Table1[[#All],[RC]:[Total Internal Corrosion Score]],27,FALSE)</f>
        <v>34.166666666666664</v>
      </c>
      <c r="J75" s="16">
        <f>RANK(Table5[[#This Row],[INTERNAL CORROSION]],$I$62:$I$312)</f>
        <v>8</v>
      </c>
      <c r="K75" s="16">
        <f>VLOOKUP(C75,Ext.Mo!$C$2:$AK$326,35,FALSE)</f>
        <v>19.493670000000002</v>
      </c>
      <c r="L75" s="16">
        <f>RANK(Table5[[#This Row],[EXTERNAL CORROSION]],$K$62:$K$312)</f>
        <v>3</v>
      </c>
      <c r="M75" s="16">
        <f>VLOOKUP(Table5[[#This Row],[RC]],Table3[[RC]:[Total TPI Score10]],23,0)</f>
        <v>43.63636363636364</v>
      </c>
      <c r="N75" s="16">
        <f>RANK(Table5[[#This Row],[THIRD PARTY INTERFERENCE]],$M$62:$M$312)</f>
        <v>2</v>
      </c>
      <c r="O75" s="16">
        <f>VLOOKUP(Table5[[#This Row],[RC]],LGS_Mo.!$C$5:$P$322,14,0)</f>
        <v>20</v>
      </c>
      <c r="P75" s="16">
        <f>RANK(Table5[[#This Row],[Loss  of ground support]],$O$62:$O$312)</f>
        <v>15</v>
      </c>
      <c r="Q75" s="16">
        <f>(I75+K75+M75+Table5[[#This Row],[Loss  of ground support]])/4</f>
        <v>29.324175075757577</v>
      </c>
      <c r="R75" s="16">
        <v>7</v>
      </c>
      <c r="S75" s="16">
        <v>3</v>
      </c>
      <c r="T75" s="16">
        <f t="shared" si="6"/>
        <v>50</v>
      </c>
      <c r="U75" s="16">
        <f>RANK(Table5[[#This Row],[Consequence]],$T$62:$T$264)</f>
        <v>1</v>
      </c>
      <c r="V75" s="16"/>
      <c r="X75" s="14">
        <f t="shared" si="7"/>
        <v>0</v>
      </c>
      <c r="Y75" s="14">
        <v>19.493670886075947</v>
      </c>
    </row>
    <row r="76" spans="1:25">
      <c r="A76" s="80" t="s">
        <v>985</v>
      </c>
      <c r="B76" s="80">
        <v>2</v>
      </c>
      <c r="C76" s="81">
        <v>67111004</v>
      </c>
      <c r="D76" s="82" t="s">
        <v>686</v>
      </c>
      <c r="E76" s="57" t="e">
        <f t="shared" si="8"/>
        <v>#REF!</v>
      </c>
      <c r="F76" s="16">
        <v>1490.514684388889</v>
      </c>
      <c r="G76" s="16">
        <f>Table5[[#This Row],[Probability]]*Table5[[#This Row],[Consequence]]</f>
        <v>1466.2087537878788</v>
      </c>
      <c r="H76" s="16">
        <f>RANK(Table5[[#This Row],[Risk Score]],$G$62:$G$312)</f>
        <v>23</v>
      </c>
      <c r="I76" s="16">
        <f>VLOOKUP(C76,Table1[[#All],[RC]:[Total Internal Corrosion Score]],27,FALSE)</f>
        <v>34.166666666666664</v>
      </c>
      <c r="J76" s="16">
        <f>RANK(Table5[[#This Row],[INTERNAL CORROSION]],$I$62:$I$312)</f>
        <v>8</v>
      </c>
      <c r="K76" s="16">
        <f>VLOOKUP(C76,Ext.Mo!$C$2:$AK$326,35,FALSE)</f>
        <v>19.493670000000002</v>
      </c>
      <c r="L76" s="16">
        <f>RANK(Table5[[#This Row],[EXTERNAL CORROSION]],$K$62:$K$312)</f>
        <v>3</v>
      </c>
      <c r="M76" s="16">
        <f>VLOOKUP(Table5[[#This Row],[RC]],Table3[[RC]:[Total TPI Score10]],23,0)</f>
        <v>43.63636363636364</v>
      </c>
      <c r="N76" s="16">
        <f>RANK(Table5[[#This Row],[THIRD PARTY INTERFERENCE]],$M$62:$M$312)</f>
        <v>2</v>
      </c>
      <c r="O76" s="16">
        <f>VLOOKUP(Table5[[#This Row],[RC]],LGS_Mo.!$C$5:$P$322,14,0)</f>
        <v>20</v>
      </c>
      <c r="P76" s="16">
        <f>RANK(Table5[[#This Row],[Loss  of ground support]],$O$62:$O$312)</f>
        <v>15</v>
      </c>
      <c r="Q76" s="16">
        <f>(I76+K76+M76+Table5[[#This Row],[Loss  of ground support]])/4</f>
        <v>29.324175075757577</v>
      </c>
      <c r="R76" s="16">
        <v>7</v>
      </c>
      <c r="S76" s="16">
        <v>3</v>
      </c>
      <c r="T76" s="16">
        <f t="shared" si="6"/>
        <v>50</v>
      </c>
      <c r="U76" s="16">
        <f>RANK(Table5[[#This Row],[Consequence]],$T$62:$T$264)</f>
        <v>1</v>
      </c>
      <c r="V76" s="16"/>
      <c r="X76" s="14">
        <f t="shared" si="7"/>
        <v>0</v>
      </c>
      <c r="Y76" s="14">
        <v>19.493670886075947</v>
      </c>
    </row>
    <row r="77" spans="1:25">
      <c r="A77" s="80" t="s">
        <v>985</v>
      </c>
      <c r="B77" s="80">
        <v>2</v>
      </c>
      <c r="C77" s="81">
        <v>6712</v>
      </c>
      <c r="D77" s="82" t="s">
        <v>668</v>
      </c>
      <c r="E77" s="57" t="e">
        <f t="shared" si="8"/>
        <v>#REF!</v>
      </c>
      <c r="F77" s="16">
        <v>1490.514684388889</v>
      </c>
      <c r="G77" s="16">
        <f>Table5[[#This Row],[Probability]]*Table5[[#This Row],[Consequence]]</f>
        <v>1466.2087537878788</v>
      </c>
      <c r="H77" s="16">
        <f>RANK(Table5[[#This Row],[Risk Score]],$G$62:$G$312)</f>
        <v>23</v>
      </c>
      <c r="I77" s="16">
        <f>VLOOKUP(C77,Table1[[#All],[RC]:[Total Internal Corrosion Score]],27,FALSE)</f>
        <v>34.166666666666664</v>
      </c>
      <c r="J77" s="16">
        <f>RANK(Table5[[#This Row],[INTERNAL CORROSION]],$I$62:$I$312)</f>
        <v>8</v>
      </c>
      <c r="K77" s="16">
        <f>VLOOKUP(C77,Ext.Mo!$C$2:$AK$326,35,FALSE)</f>
        <v>19.493670000000002</v>
      </c>
      <c r="L77" s="16">
        <f>RANK(Table5[[#This Row],[EXTERNAL CORROSION]],$K$62:$K$312)</f>
        <v>3</v>
      </c>
      <c r="M77" s="16">
        <f>VLOOKUP(Table5[[#This Row],[RC]],Table3[[RC]:[Total TPI Score10]],23,0)</f>
        <v>43.63636363636364</v>
      </c>
      <c r="N77" s="16">
        <f>RANK(Table5[[#This Row],[THIRD PARTY INTERFERENCE]],$M$62:$M$312)</f>
        <v>2</v>
      </c>
      <c r="O77" s="16">
        <f>VLOOKUP(Table5[[#This Row],[RC]],LGS_Mo.!$C$5:$P$322,14,0)</f>
        <v>20</v>
      </c>
      <c r="P77" s="16">
        <f>RANK(Table5[[#This Row],[Loss  of ground support]],$O$62:$O$312)</f>
        <v>15</v>
      </c>
      <c r="Q77" s="16">
        <f>(I77+K77+M77+Table5[[#This Row],[Loss  of ground support]])/4</f>
        <v>29.324175075757577</v>
      </c>
      <c r="R77" s="16">
        <v>7</v>
      </c>
      <c r="S77" s="16">
        <v>3</v>
      </c>
      <c r="T77" s="16">
        <f t="shared" si="6"/>
        <v>50</v>
      </c>
      <c r="U77" s="16">
        <f>RANK(Table5[[#This Row],[Consequence]],$T$62:$T$264)</f>
        <v>1</v>
      </c>
      <c r="V77" s="16"/>
      <c r="X77" s="14">
        <f t="shared" si="7"/>
        <v>0</v>
      </c>
      <c r="Y77" s="14">
        <v>19.493670886075947</v>
      </c>
    </row>
    <row r="78" spans="1:25">
      <c r="A78" s="80" t="s">
        <v>985</v>
      </c>
      <c r="B78" s="84">
        <v>2</v>
      </c>
      <c r="C78" s="81">
        <v>67111</v>
      </c>
      <c r="D78" s="82" t="s">
        <v>259</v>
      </c>
      <c r="E78" s="57" t="e">
        <f t="shared" si="8"/>
        <v>#REF!</v>
      </c>
      <c r="F78" s="16">
        <v>1490.514684388889</v>
      </c>
      <c r="G78" s="16">
        <f>Table5[[#This Row],[Probability]]*Table5[[#This Row],[Consequence]]</f>
        <v>1455.7920871212123</v>
      </c>
      <c r="H78" s="16">
        <f>RANK(Table5[[#This Row],[Risk Score]],$G$62:$G$312)</f>
        <v>148</v>
      </c>
      <c r="I78" s="16">
        <f>VLOOKUP(C78,Table1[[#All],[RC]:[Total Internal Corrosion Score]],27,FALSE)</f>
        <v>33.333333333333329</v>
      </c>
      <c r="J78" s="16">
        <f>RANK(Table5[[#This Row],[INTERNAL CORROSION]],$I$62:$I$312)</f>
        <v>228</v>
      </c>
      <c r="K78" s="16">
        <f>VLOOKUP(C78,Ext.Mo!$C$2:$AK$326,35,FALSE)</f>
        <v>19.493670000000002</v>
      </c>
      <c r="L78" s="16">
        <f>RANK(Table5[[#This Row],[EXTERNAL CORROSION]],$K$62:$K$312)</f>
        <v>3</v>
      </c>
      <c r="M78" s="16">
        <f>VLOOKUP(Table5[[#This Row],[RC]],Table3[[RC]:[Total TPI Score10]],23,0)</f>
        <v>43.63636363636364</v>
      </c>
      <c r="N78" s="16">
        <f>RANK(Table5[[#This Row],[THIRD PARTY INTERFERENCE]],$M$62:$M$312)</f>
        <v>2</v>
      </c>
      <c r="O78" s="16">
        <f>VLOOKUP(Table5[[#This Row],[RC]],LGS_Mo.!$C$5:$P$322,14,0)</f>
        <v>20</v>
      </c>
      <c r="P78" s="16">
        <f>RANK(Table5[[#This Row],[Loss  of ground support]],$O$62:$O$312)</f>
        <v>15</v>
      </c>
      <c r="Q78" s="16">
        <f>(I78+K78+M78+Table5[[#This Row],[Loss  of ground support]])/4</f>
        <v>29.115841742424244</v>
      </c>
      <c r="R78" s="16">
        <v>7</v>
      </c>
      <c r="S78" s="16">
        <v>3</v>
      </c>
      <c r="T78" s="16">
        <f t="shared" si="6"/>
        <v>50</v>
      </c>
      <c r="U78" s="16">
        <f>RANK(Table5[[#This Row],[Consequence]],$T$62:$T$264)</f>
        <v>1</v>
      </c>
      <c r="V78" s="16"/>
      <c r="X78" s="14">
        <f t="shared" si="7"/>
        <v>0</v>
      </c>
      <c r="Y78" s="14">
        <v>19.493670886075947</v>
      </c>
    </row>
    <row r="79" spans="1:25">
      <c r="A79" s="80" t="s">
        <v>985</v>
      </c>
      <c r="B79" s="84">
        <v>2</v>
      </c>
      <c r="C79" s="81">
        <v>67121</v>
      </c>
      <c r="D79" s="82" t="s">
        <v>260</v>
      </c>
      <c r="E79" s="57" t="e">
        <f t="shared" si="8"/>
        <v>#REF!</v>
      </c>
      <c r="F79" s="16">
        <v>1490.514684388889</v>
      </c>
      <c r="G79" s="16">
        <f>Table5[[#This Row],[Probability]]*Table5[[#This Row],[Consequence]]</f>
        <v>1455.7920871212123</v>
      </c>
      <c r="H79" s="16">
        <f>RANK(Table5[[#This Row],[Risk Score]],$G$62:$G$312)</f>
        <v>148</v>
      </c>
      <c r="I79" s="16">
        <f>VLOOKUP(C79,Table1[[#All],[RC]:[Total Internal Corrosion Score]],27,FALSE)</f>
        <v>33.333333333333329</v>
      </c>
      <c r="J79" s="16">
        <f>RANK(Table5[[#This Row],[INTERNAL CORROSION]],$I$62:$I$312)</f>
        <v>228</v>
      </c>
      <c r="K79" s="16">
        <f>VLOOKUP(C79,Ext.Mo!$C$2:$AK$326,35,FALSE)</f>
        <v>19.493670000000002</v>
      </c>
      <c r="L79" s="16">
        <f>RANK(Table5[[#This Row],[EXTERNAL CORROSION]],$K$62:$K$312)</f>
        <v>3</v>
      </c>
      <c r="M79" s="16">
        <f>VLOOKUP(Table5[[#This Row],[RC]],Table3[[RC]:[Total TPI Score10]],23,0)</f>
        <v>43.63636363636364</v>
      </c>
      <c r="N79" s="16">
        <f>RANK(Table5[[#This Row],[THIRD PARTY INTERFERENCE]],$M$62:$M$312)</f>
        <v>2</v>
      </c>
      <c r="O79" s="16">
        <f>VLOOKUP(Table5[[#This Row],[RC]],LGS_Mo.!$C$5:$P$322,14,0)</f>
        <v>20</v>
      </c>
      <c r="P79" s="16">
        <f>RANK(Table5[[#This Row],[Loss  of ground support]],$O$62:$O$312)</f>
        <v>15</v>
      </c>
      <c r="Q79" s="16">
        <f>(I79+K79+M79+Table5[[#This Row],[Loss  of ground support]])/4</f>
        <v>29.115841742424244</v>
      </c>
      <c r="R79" s="16">
        <v>7</v>
      </c>
      <c r="S79" s="16">
        <v>3</v>
      </c>
      <c r="T79" s="16">
        <f t="shared" si="6"/>
        <v>50</v>
      </c>
      <c r="U79" s="16">
        <f>RANK(Table5[[#This Row],[Consequence]],$T$62:$T$264)</f>
        <v>1</v>
      </c>
      <c r="V79" s="16"/>
      <c r="X79" s="14">
        <f t="shared" si="7"/>
        <v>0</v>
      </c>
      <c r="Y79" s="14">
        <v>19.493670886075947</v>
      </c>
    </row>
    <row r="80" spans="1:25">
      <c r="A80" s="80" t="s">
        <v>985</v>
      </c>
      <c r="B80" s="84">
        <v>2</v>
      </c>
      <c r="C80" s="81">
        <v>67121</v>
      </c>
      <c r="D80" s="82" t="s">
        <v>669</v>
      </c>
      <c r="E80" s="57" t="e">
        <f t="shared" si="8"/>
        <v>#REF!</v>
      </c>
      <c r="F80" s="16">
        <v>1490.514684388889</v>
      </c>
      <c r="G80" s="16">
        <f>Table5[[#This Row],[Probability]]*Table5[[#This Row],[Consequence]]</f>
        <v>1455.7920871212123</v>
      </c>
      <c r="H80" s="16">
        <f>RANK(Table5[[#This Row],[Risk Score]],$G$62:$G$312)</f>
        <v>148</v>
      </c>
      <c r="I80" s="16">
        <f>VLOOKUP(C80,Table1[[#All],[RC]:[Total Internal Corrosion Score]],27,FALSE)</f>
        <v>33.333333333333329</v>
      </c>
      <c r="J80" s="16">
        <f>RANK(Table5[[#This Row],[INTERNAL CORROSION]],$I$62:$I$312)</f>
        <v>228</v>
      </c>
      <c r="K80" s="16">
        <f>VLOOKUP(C80,Ext.Mo!$C$2:$AK$326,35,FALSE)</f>
        <v>19.493670000000002</v>
      </c>
      <c r="L80" s="16">
        <f>RANK(Table5[[#This Row],[EXTERNAL CORROSION]],$K$62:$K$312)</f>
        <v>3</v>
      </c>
      <c r="M80" s="16">
        <f>VLOOKUP(Table5[[#This Row],[RC]],Table3[[RC]:[Total TPI Score10]],23,0)</f>
        <v>43.63636363636364</v>
      </c>
      <c r="N80" s="16">
        <f>RANK(Table5[[#This Row],[THIRD PARTY INTERFERENCE]],$M$62:$M$312)</f>
        <v>2</v>
      </c>
      <c r="O80" s="16">
        <f>VLOOKUP(Table5[[#This Row],[RC]],LGS_Mo.!$C$5:$P$322,14,0)</f>
        <v>20</v>
      </c>
      <c r="P80" s="16">
        <f>RANK(Table5[[#This Row],[Loss  of ground support]],$O$62:$O$312)</f>
        <v>15</v>
      </c>
      <c r="Q80" s="16">
        <f>(I80+K80+M80+Table5[[#This Row],[Loss  of ground support]])/4</f>
        <v>29.115841742424244</v>
      </c>
      <c r="R80" s="16">
        <v>7</v>
      </c>
      <c r="S80" s="16">
        <v>3</v>
      </c>
      <c r="T80" s="16">
        <f t="shared" si="6"/>
        <v>50</v>
      </c>
      <c r="U80" s="16">
        <f>RANK(Table5[[#This Row],[Consequence]],$T$62:$T$264)</f>
        <v>1</v>
      </c>
      <c r="V80" s="16"/>
      <c r="X80" s="14">
        <f t="shared" si="7"/>
        <v>0</v>
      </c>
      <c r="Y80" s="14">
        <v>19.493670886075947</v>
      </c>
    </row>
    <row r="81" spans="1:25">
      <c r="A81" s="80" t="s">
        <v>985</v>
      </c>
      <c r="B81" s="84">
        <v>2</v>
      </c>
      <c r="C81" s="81">
        <v>67121</v>
      </c>
      <c r="D81" s="82" t="s">
        <v>670</v>
      </c>
      <c r="E81" s="57" t="e">
        <f t="shared" si="8"/>
        <v>#REF!</v>
      </c>
      <c r="F81" s="16">
        <v>1490.514684388889</v>
      </c>
      <c r="G81" s="16">
        <f>Table5[[#This Row],[Probability]]*Table5[[#This Row],[Consequence]]</f>
        <v>1455.7920871212123</v>
      </c>
      <c r="H81" s="16">
        <f>RANK(Table5[[#This Row],[Risk Score]],$G$62:$G$312)</f>
        <v>148</v>
      </c>
      <c r="I81" s="16">
        <f>VLOOKUP(C81,Table1[[#All],[RC]:[Total Internal Corrosion Score]],27,FALSE)</f>
        <v>33.333333333333329</v>
      </c>
      <c r="J81" s="16">
        <f>RANK(Table5[[#This Row],[INTERNAL CORROSION]],$I$62:$I$312)</f>
        <v>228</v>
      </c>
      <c r="K81" s="16">
        <f>VLOOKUP(C81,Ext.Mo!$C$2:$AK$326,35,FALSE)</f>
        <v>19.493670000000002</v>
      </c>
      <c r="L81" s="16">
        <f>RANK(Table5[[#This Row],[EXTERNAL CORROSION]],$K$62:$K$312)</f>
        <v>3</v>
      </c>
      <c r="M81" s="16">
        <f>VLOOKUP(Table5[[#This Row],[RC]],Table3[[RC]:[Total TPI Score10]],23,0)</f>
        <v>43.63636363636364</v>
      </c>
      <c r="N81" s="16">
        <f>RANK(Table5[[#This Row],[THIRD PARTY INTERFERENCE]],$M$62:$M$312)</f>
        <v>2</v>
      </c>
      <c r="O81" s="16">
        <f>VLOOKUP(Table5[[#This Row],[RC]],LGS_Mo.!$C$5:$P$322,14,0)</f>
        <v>20</v>
      </c>
      <c r="P81" s="16">
        <f>RANK(Table5[[#This Row],[Loss  of ground support]],$O$62:$O$312)</f>
        <v>15</v>
      </c>
      <c r="Q81" s="16">
        <f>(I81+K81+M81+Table5[[#This Row],[Loss  of ground support]])/4</f>
        <v>29.115841742424244</v>
      </c>
      <c r="R81" s="16">
        <v>7</v>
      </c>
      <c r="S81" s="16">
        <v>3</v>
      </c>
      <c r="T81" s="16">
        <f t="shared" si="6"/>
        <v>50</v>
      </c>
      <c r="U81" s="16">
        <f>RANK(Table5[[#This Row],[Consequence]],$T$62:$T$264)</f>
        <v>1</v>
      </c>
      <c r="V81" s="16"/>
      <c r="X81" s="14">
        <f t="shared" si="7"/>
        <v>0</v>
      </c>
      <c r="Y81" s="14">
        <v>19.493670886075947</v>
      </c>
    </row>
    <row r="82" spans="1:25">
      <c r="A82" s="80" t="s">
        <v>985</v>
      </c>
      <c r="B82" s="80">
        <v>2</v>
      </c>
      <c r="C82" s="81">
        <v>6712101</v>
      </c>
      <c r="D82" s="82" t="s">
        <v>674</v>
      </c>
      <c r="E82" s="57" t="e">
        <f t="shared" si="8"/>
        <v>#REF!</v>
      </c>
      <c r="F82" s="16">
        <v>1490.514684388889</v>
      </c>
      <c r="G82" s="16">
        <f>Table5[[#This Row],[Probability]]*Table5[[#This Row],[Consequence]]</f>
        <v>1466.2087537878788</v>
      </c>
      <c r="H82" s="16">
        <f>RANK(Table5[[#This Row],[Risk Score]],$G$62:$G$312)</f>
        <v>23</v>
      </c>
      <c r="I82" s="16">
        <f>VLOOKUP(C82,Table1[[#All],[RC]:[Total Internal Corrosion Score]],27,FALSE)</f>
        <v>34.166666666666664</v>
      </c>
      <c r="J82" s="16">
        <f>RANK(Table5[[#This Row],[INTERNAL CORROSION]],$I$62:$I$312)</f>
        <v>8</v>
      </c>
      <c r="K82" s="16">
        <f>VLOOKUP(C82,Ext.Mo!$C$2:$AK$326,35,FALSE)</f>
        <v>19.493670000000002</v>
      </c>
      <c r="L82" s="16">
        <f>RANK(Table5[[#This Row],[EXTERNAL CORROSION]],$K$62:$K$312)</f>
        <v>3</v>
      </c>
      <c r="M82" s="16">
        <f>VLOOKUP(Table5[[#This Row],[RC]],Table3[[RC]:[Total TPI Score10]],23,0)</f>
        <v>43.63636363636364</v>
      </c>
      <c r="N82" s="16">
        <f>RANK(Table5[[#This Row],[THIRD PARTY INTERFERENCE]],$M$62:$M$312)</f>
        <v>2</v>
      </c>
      <c r="O82" s="16">
        <f>VLOOKUP(Table5[[#This Row],[RC]],LGS_Mo.!$C$5:$P$322,14,0)</f>
        <v>20</v>
      </c>
      <c r="P82" s="16">
        <f>RANK(Table5[[#This Row],[Loss  of ground support]],$O$62:$O$312)</f>
        <v>15</v>
      </c>
      <c r="Q82" s="16">
        <f>(I82+K82+M82+Table5[[#This Row],[Loss  of ground support]])/4</f>
        <v>29.324175075757577</v>
      </c>
      <c r="R82" s="16">
        <v>7</v>
      </c>
      <c r="S82" s="16">
        <v>3</v>
      </c>
      <c r="T82" s="16">
        <f t="shared" si="6"/>
        <v>50</v>
      </c>
      <c r="U82" s="16">
        <f>RANK(Table5[[#This Row],[Consequence]],$T$62:$T$264)</f>
        <v>1</v>
      </c>
      <c r="V82" s="16"/>
      <c r="X82" s="14">
        <f t="shared" si="7"/>
        <v>0</v>
      </c>
      <c r="Y82" s="14">
        <v>19.493670886075947</v>
      </c>
    </row>
    <row r="83" spans="1:25">
      <c r="A83" s="80" t="s">
        <v>985</v>
      </c>
      <c r="B83" s="80">
        <v>2</v>
      </c>
      <c r="C83" s="81">
        <v>671210103</v>
      </c>
      <c r="D83" s="82" t="s">
        <v>694</v>
      </c>
      <c r="E83" s="57" t="e">
        <f t="shared" si="8"/>
        <v>#REF!</v>
      </c>
      <c r="F83" s="16">
        <v>1490.514684388889</v>
      </c>
      <c r="G83" s="16">
        <f>Table5[[#This Row],[Probability]]*Table5[[#This Row],[Consequence]]</f>
        <v>1466.2087537878788</v>
      </c>
      <c r="H83" s="16">
        <f>RANK(Table5[[#This Row],[Risk Score]],$G$62:$G$312)</f>
        <v>23</v>
      </c>
      <c r="I83" s="16">
        <f>VLOOKUP(C83,Table1[[#All],[RC]:[Total Internal Corrosion Score]],27,FALSE)</f>
        <v>34.166666666666664</v>
      </c>
      <c r="J83" s="16">
        <f>RANK(Table5[[#This Row],[INTERNAL CORROSION]],$I$62:$I$312)</f>
        <v>8</v>
      </c>
      <c r="K83" s="16">
        <f>VLOOKUP(C83,Ext.Mo!$C$2:$AK$326,35,FALSE)</f>
        <v>19.493670000000002</v>
      </c>
      <c r="L83" s="16">
        <f>RANK(Table5[[#This Row],[EXTERNAL CORROSION]],$K$62:$K$312)</f>
        <v>3</v>
      </c>
      <c r="M83" s="16">
        <f>VLOOKUP(Table5[[#This Row],[RC]],Table3[[RC]:[Total TPI Score10]],23,0)</f>
        <v>43.63636363636364</v>
      </c>
      <c r="N83" s="16">
        <f>RANK(Table5[[#This Row],[THIRD PARTY INTERFERENCE]],$M$62:$M$312)</f>
        <v>2</v>
      </c>
      <c r="O83" s="16">
        <f>VLOOKUP(Table5[[#This Row],[RC]],LGS_Mo.!$C$5:$P$322,14,0)</f>
        <v>20</v>
      </c>
      <c r="P83" s="16">
        <f>RANK(Table5[[#This Row],[Loss  of ground support]],$O$62:$O$312)</f>
        <v>15</v>
      </c>
      <c r="Q83" s="16">
        <f>(I83+K83+M83+Table5[[#This Row],[Loss  of ground support]])/4</f>
        <v>29.324175075757577</v>
      </c>
      <c r="R83" s="16">
        <v>7</v>
      </c>
      <c r="S83" s="16">
        <v>3</v>
      </c>
      <c r="T83" s="16">
        <f t="shared" si="6"/>
        <v>50</v>
      </c>
      <c r="U83" s="16">
        <f>RANK(Table5[[#This Row],[Consequence]],$T$62:$T$264)</f>
        <v>1</v>
      </c>
      <c r="V83" s="16"/>
      <c r="X83" s="14">
        <f t="shared" si="7"/>
        <v>0</v>
      </c>
      <c r="Y83" s="14">
        <v>19.493670886075947</v>
      </c>
    </row>
    <row r="84" spans="1:25">
      <c r="A84" s="80" t="s">
        <v>985</v>
      </c>
      <c r="B84" s="80">
        <v>2</v>
      </c>
      <c r="C84" s="81">
        <v>671210104</v>
      </c>
      <c r="D84" s="82" t="s">
        <v>696</v>
      </c>
      <c r="E84" s="57" t="e">
        <f t="shared" si="8"/>
        <v>#REF!</v>
      </c>
      <c r="F84" s="16">
        <v>1490.514684388889</v>
      </c>
      <c r="G84" s="16">
        <f>Table5[[#This Row],[Probability]]*Table5[[#This Row],[Consequence]]</f>
        <v>1466.2087537878788</v>
      </c>
      <c r="H84" s="16">
        <f>RANK(Table5[[#This Row],[Risk Score]],$G$62:$G$312)</f>
        <v>23</v>
      </c>
      <c r="I84" s="16">
        <f>VLOOKUP(C84,Table1[[#All],[RC]:[Total Internal Corrosion Score]],27,FALSE)</f>
        <v>34.166666666666664</v>
      </c>
      <c r="J84" s="16">
        <f>RANK(Table5[[#This Row],[INTERNAL CORROSION]],$I$62:$I$312)</f>
        <v>8</v>
      </c>
      <c r="K84" s="16">
        <f>VLOOKUP(C84,Ext.Mo!$C$2:$AK$326,35,FALSE)</f>
        <v>19.493670000000002</v>
      </c>
      <c r="L84" s="16">
        <f>RANK(Table5[[#This Row],[EXTERNAL CORROSION]],$K$62:$K$312)</f>
        <v>3</v>
      </c>
      <c r="M84" s="16">
        <f>VLOOKUP(Table5[[#This Row],[RC]],Table3[[RC]:[Total TPI Score10]],23,0)</f>
        <v>43.63636363636364</v>
      </c>
      <c r="N84" s="16">
        <f>RANK(Table5[[#This Row],[THIRD PARTY INTERFERENCE]],$M$62:$M$312)</f>
        <v>2</v>
      </c>
      <c r="O84" s="16">
        <f>VLOOKUP(Table5[[#This Row],[RC]],LGS_Mo.!$C$5:$P$322,14,0)</f>
        <v>20</v>
      </c>
      <c r="P84" s="16">
        <f>RANK(Table5[[#This Row],[Loss  of ground support]],$O$62:$O$312)</f>
        <v>15</v>
      </c>
      <c r="Q84" s="16">
        <f>(I84+K84+M84+Table5[[#This Row],[Loss  of ground support]])/4</f>
        <v>29.324175075757577</v>
      </c>
      <c r="R84" s="16">
        <v>7</v>
      </c>
      <c r="S84" s="16">
        <v>3</v>
      </c>
      <c r="T84" s="16">
        <f t="shared" si="6"/>
        <v>50</v>
      </c>
      <c r="U84" s="16">
        <f>RANK(Table5[[#This Row],[Consequence]],$T$62:$T$264)</f>
        <v>1</v>
      </c>
      <c r="V84" s="16"/>
      <c r="X84" s="14">
        <f t="shared" si="7"/>
        <v>0</v>
      </c>
      <c r="Y84" s="14">
        <v>19.493670886075947</v>
      </c>
    </row>
    <row r="85" spans="1:25">
      <c r="A85" s="80" t="s">
        <v>985</v>
      </c>
      <c r="B85" s="80">
        <v>2</v>
      </c>
      <c r="C85" s="81">
        <v>6712102</v>
      </c>
      <c r="D85" s="82"/>
      <c r="E85" s="57" t="e">
        <f t="shared" si="8"/>
        <v>#REF!</v>
      </c>
      <c r="F85" s="16">
        <v>1490.514684388889</v>
      </c>
      <c r="G85" s="16">
        <f>Table5[[#This Row],[Probability]]*Table5[[#This Row],[Consequence]]</f>
        <v>1466.2087537878788</v>
      </c>
      <c r="H85" s="16">
        <f>RANK(Table5[[#This Row],[Risk Score]],$G$62:$G$312)</f>
        <v>23</v>
      </c>
      <c r="I85" s="16">
        <f>VLOOKUP(C85,Table1[[#All],[RC]:[Total Internal Corrosion Score]],27,FALSE)</f>
        <v>34.166666666666664</v>
      </c>
      <c r="J85" s="16">
        <f>RANK(Table5[[#This Row],[INTERNAL CORROSION]],$I$62:$I$312)</f>
        <v>8</v>
      </c>
      <c r="K85" s="16">
        <f>VLOOKUP(C85,Ext.Mo!$C$2:$AK$326,35,FALSE)</f>
        <v>19.493670000000002</v>
      </c>
      <c r="L85" s="16">
        <f>RANK(Table5[[#This Row],[EXTERNAL CORROSION]],$K$62:$K$312)</f>
        <v>3</v>
      </c>
      <c r="M85" s="16">
        <f>VLOOKUP(Table5[[#This Row],[RC]],Table3[[RC]:[Total TPI Score10]],23,0)</f>
        <v>43.63636363636364</v>
      </c>
      <c r="N85" s="16">
        <f>RANK(Table5[[#This Row],[THIRD PARTY INTERFERENCE]],$M$62:$M$312)</f>
        <v>2</v>
      </c>
      <c r="O85" s="16">
        <f>VLOOKUP(Table5[[#This Row],[RC]],LGS_Mo.!$C$5:$P$322,14,0)</f>
        <v>20</v>
      </c>
      <c r="P85" s="16">
        <f>RANK(Table5[[#This Row],[Loss  of ground support]],$O$62:$O$312)</f>
        <v>15</v>
      </c>
      <c r="Q85" s="16">
        <f>(I85+K85+M85+Table5[[#This Row],[Loss  of ground support]])/4</f>
        <v>29.324175075757577</v>
      </c>
      <c r="R85" s="16">
        <v>7</v>
      </c>
      <c r="S85" s="16">
        <v>3</v>
      </c>
      <c r="T85" s="16">
        <f t="shared" si="6"/>
        <v>50</v>
      </c>
      <c r="U85" s="16">
        <f>RANK(Table5[[#This Row],[Consequence]],$T$62:$T$264)</f>
        <v>1</v>
      </c>
      <c r="V85" s="16"/>
      <c r="X85" s="14">
        <f t="shared" si="7"/>
        <v>0</v>
      </c>
      <c r="Y85" s="14">
        <v>19.493670886075947</v>
      </c>
    </row>
    <row r="86" spans="1:25">
      <c r="A86" s="80" t="s">
        <v>985</v>
      </c>
      <c r="B86" s="80">
        <v>2</v>
      </c>
      <c r="C86" s="81">
        <v>671210201</v>
      </c>
      <c r="D86" s="82" t="s">
        <v>698</v>
      </c>
      <c r="E86" s="57" t="e">
        <f t="shared" si="8"/>
        <v>#REF!</v>
      </c>
      <c r="F86" s="16">
        <v>1490.514684388889</v>
      </c>
      <c r="G86" s="16">
        <f>Table5[[#This Row],[Probability]]*Table5[[#This Row],[Consequence]]</f>
        <v>1466.2087537878788</v>
      </c>
      <c r="H86" s="16">
        <f>RANK(Table5[[#This Row],[Risk Score]],$G$62:$G$312)</f>
        <v>23</v>
      </c>
      <c r="I86" s="16">
        <f>VLOOKUP(C86,Table1[[#All],[RC]:[Total Internal Corrosion Score]],27,FALSE)</f>
        <v>34.166666666666664</v>
      </c>
      <c r="J86" s="16">
        <f>RANK(Table5[[#This Row],[INTERNAL CORROSION]],$I$62:$I$312)</f>
        <v>8</v>
      </c>
      <c r="K86" s="16">
        <f>VLOOKUP(C86,Ext.Mo!$C$2:$AK$326,35,FALSE)</f>
        <v>19.493670000000002</v>
      </c>
      <c r="L86" s="16">
        <f>RANK(Table5[[#This Row],[EXTERNAL CORROSION]],$K$62:$K$312)</f>
        <v>3</v>
      </c>
      <c r="M86" s="16">
        <f>VLOOKUP(Table5[[#This Row],[RC]],Table3[[RC]:[Total TPI Score10]],23,0)</f>
        <v>43.63636363636364</v>
      </c>
      <c r="N86" s="16">
        <f>RANK(Table5[[#This Row],[THIRD PARTY INTERFERENCE]],$M$62:$M$312)</f>
        <v>2</v>
      </c>
      <c r="O86" s="16">
        <f>VLOOKUP(Table5[[#This Row],[RC]],LGS_Mo.!$C$5:$P$322,14,0)</f>
        <v>20</v>
      </c>
      <c r="P86" s="16">
        <f>RANK(Table5[[#This Row],[Loss  of ground support]],$O$62:$O$312)</f>
        <v>15</v>
      </c>
      <c r="Q86" s="16">
        <f>(I86+K86+M86+Table5[[#This Row],[Loss  of ground support]])/4</f>
        <v>29.324175075757577</v>
      </c>
      <c r="R86" s="16">
        <v>7</v>
      </c>
      <c r="S86" s="16">
        <v>3</v>
      </c>
      <c r="T86" s="16">
        <f t="shared" si="6"/>
        <v>50</v>
      </c>
      <c r="U86" s="16">
        <f>RANK(Table5[[#This Row],[Consequence]],$T$62:$T$264)</f>
        <v>1</v>
      </c>
      <c r="V86" s="16"/>
      <c r="X86" s="14">
        <f t="shared" si="7"/>
        <v>0</v>
      </c>
      <c r="Y86" s="14">
        <v>19.493670886075947</v>
      </c>
    </row>
    <row r="87" spans="1:25">
      <c r="A87" s="80" t="s">
        <v>985</v>
      </c>
      <c r="B87" s="80">
        <v>2</v>
      </c>
      <c r="C87" s="81">
        <v>671210202</v>
      </c>
      <c r="D87" s="82" t="s">
        <v>700</v>
      </c>
      <c r="E87" s="57" t="e">
        <f t="shared" si="8"/>
        <v>#REF!</v>
      </c>
      <c r="F87" s="16">
        <v>1490.514684388889</v>
      </c>
      <c r="G87" s="16">
        <f>Table5[[#This Row],[Probability]]*Table5[[#This Row],[Consequence]]</f>
        <v>1466.2087537878788</v>
      </c>
      <c r="H87" s="16">
        <f>RANK(Table5[[#This Row],[Risk Score]],$G$62:$G$312)</f>
        <v>23</v>
      </c>
      <c r="I87" s="16">
        <f>VLOOKUP(C87,Table1[[#All],[RC]:[Total Internal Corrosion Score]],27,FALSE)</f>
        <v>34.166666666666664</v>
      </c>
      <c r="J87" s="16">
        <f>RANK(Table5[[#This Row],[INTERNAL CORROSION]],$I$62:$I$312)</f>
        <v>8</v>
      </c>
      <c r="K87" s="16">
        <f>VLOOKUP(C87,Ext.Mo!$C$2:$AK$326,35,FALSE)</f>
        <v>19.493670000000002</v>
      </c>
      <c r="L87" s="16">
        <f>RANK(Table5[[#This Row],[EXTERNAL CORROSION]],$K$62:$K$312)</f>
        <v>3</v>
      </c>
      <c r="M87" s="16">
        <f>VLOOKUP(Table5[[#This Row],[RC]],Table3[[RC]:[Total TPI Score10]],23,0)</f>
        <v>43.63636363636364</v>
      </c>
      <c r="N87" s="16">
        <f>RANK(Table5[[#This Row],[THIRD PARTY INTERFERENCE]],$M$62:$M$312)</f>
        <v>2</v>
      </c>
      <c r="O87" s="16">
        <f>VLOOKUP(Table5[[#This Row],[RC]],LGS_Mo.!$C$5:$P$322,14,0)</f>
        <v>20</v>
      </c>
      <c r="P87" s="16">
        <f>RANK(Table5[[#This Row],[Loss  of ground support]],$O$62:$O$312)</f>
        <v>15</v>
      </c>
      <c r="Q87" s="16">
        <f>(I87+K87+M87+Table5[[#This Row],[Loss  of ground support]])/4</f>
        <v>29.324175075757577</v>
      </c>
      <c r="R87" s="16">
        <v>7</v>
      </c>
      <c r="S87" s="16">
        <v>3</v>
      </c>
      <c r="T87" s="16">
        <f t="shared" si="6"/>
        <v>50</v>
      </c>
      <c r="U87" s="16">
        <f>RANK(Table5[[#This Row],[Consequence]],$T$62:$T$264)</f>
        <v>1</v>
      </c>
      <c r="V87" s="16"/>
      <c r="X87" s="14">
        <f t="shared" si="7"/>
        <v>0</v>
      </c>
      <c r="Y87" s="14">
        <v>19.493670886075947</v>
      </c>
    </row>
    <row r="88" spans="1:25">
      <c r="A88" s="80" t="s">
        <v>985</v>
      </c>
      <c r="B88" s="80">
        <v>2</v>
      </c>
      <c r="C88" s="81">
        <v>6712103</v>
      </c>
      <c r="D88" s="82"/>
      <c r="E88" s="57" t="e">
        <f t="shared" si="8"/>
        <v>#REF!</v>
      </c>
      <c r="F88" s="16">
        <v>1490.514684388889</v>
      </c>
      <c r="G88" s="16">
        <f>Table5[[#This Row],[Probability]]*Table5[[#This Row],[Consequence]]</f>
        <v>1466.2087537878788</v>
      </c>
      <c r="H88" s="16">
        <f>RANK(Table5[[#This Row],[Risk Score]],$G$62:$G$312)</f>
        <v>23</v>
      </c>
      <c r="I88" s="16">
        <f>VLOOKUP(C88,Table1[[#All],[RC]:[Total Internal Corrosion Score]],27,FALSE)</f>
        <v>34.166666666666664</v>
      </c>
      <c r="J88" s="16">
        <f>RANK(Table5[[#This Row],[INTERNAL CORROSION]],$I$62:$I$312)</f>
        <v>8</v>
      </c>
      <c r="K88" s="16">
        <f>VLOOKUP(C88,Ext.Mo!$C$2:$AK$326,35,FALSE)</f>
        <v>19.493670000000002</v>
      </c>
      <c r="L88" s="16">
        <f>RANK(Table5[[#This Row],[EXTERNAL CORROSION]],$K$62:$K$312)</f>
        <v>3</v>
      </c>
      <c r="M88" s="16">
        <f>VLOOKUP(Table5[[#This Row],[RC]],Table3[[RC]:[Total TPI Score10]],23,0)</f>
        <v>43.63636363636364</v>
      </c>
      <c r="N88" s="16">
        <f>RANK(Table5[[#This Row],[THIRD PARTY INTERFERENCE]],$M$62:$M$312)</f>
        <v>2</v>
      </c>
      <c r="O88" s="16">
        <f>VLOOKUP(Table5[[#This Row],[RC]],LGS_Mo.!$C$5:$P$322,14,0)</f>
        <v>20</v>
      </c>
      <c r="P88" s="16">
        <f>RANK(Table5[[#This Row],[Loss  of ground support]],$O$62:$O$312)</f>
        <v>15</v>
      </c>
      <c r="Q88" s="16">
        <f>(I88+K88+M88+Table5[[#This Row],[Loss  of ground support]])/4</f>
        <v>29.324175075757577</v>
      </c>
      <c r="R88" s="16">
        <v>7</v>
      </c>
      <c r="S88" s="16">
        <v>3</v>
      </c>
      <c r="T88" s="16">
        <f t="shared" si="6"/>
        <v>50</v>
      </c>
      <c r="U88" s="16">
        <f>RANK(Table5[[#This Row],[Consequence]],$T$62:$T$264)</f>
        <v>1</v>
      </c>
      <c r="V88" s="16"/>
      <c r="X88" s="14">
        <f t="shared" si="7"/>
        <v>0</v>
      </c>
      <c r="Y88" s="14">
        <v>19.493670886075947</v>
      </c>
    </row>
    <row r="89" spans="1:25">
      <c r="A89" s="80" t="s">
        <v>985</v>
      </c>
      <c r="B89" s="80">
        <v>2</v>
      </c>
      <c r="C89" s="81">
        <v>671210301</v>
      </c>
      <c r="D89" s="82" t="s">
        <v>702</v>
      </c>
      <c r="E89" s="57" t="e">
        <f t="shared" si="8"/>
        <v>#REF!</v>
      </c>
      <c r="F89" s="16">
        <v>1490.514684388889</v>
      </c>
      <c r="G89" s="16">
        <f>Table5[[#This Row],[Probability]]*Table5[[#This Row],[Consequence]]</f>
        <v>1466.2087537878788</v>
      </c>
      <c r="H89" s="16">
        <f>RANK(Table5[[#This Row],[Risk Score]],$G$62:$G$312)</f>
        <v>23</v>
      </c>
      <c r="I89" s="16">
        <f>VLOOKUP(C89,Table1[[#All],[RC]:[Total Internal Corrosion Score]],27,FALSE)</f>
        <v>34.166666666666664</v>
      </c>
      <c r="J89" s="16">
        <f>RANK(Table5[[#This Row],[INTERNAL CORROSION]],$I$62:$I$312)</f>
        <v>8</v>
      </c>
      <c r="K89" s="16">
        <f>VLOOKUP(C89,Ext.Mo!$C$2:$AK$326,35,FALSE)</f>
        <v>19.493670000000002</v>
      </c>
      <c r="L89" s="16">
        <f>RANK(Table5[[#This Row],[EXTERNAL CORROSION]],$K$62:$K$312)</f>
        <v>3</v>
      </c>
      <c r="M89" s="16">
        <f>VLOOKUP(Table5[[#This Row],[RC]],Table3[[RC]:[Total TPI Score10]],23,0)</f>
        <v>43.63636363636364</v>
      </c>
      <c r="N89" s="16">
        <f>RANK(Table5[[#This Row],[THIRD PARTY INTERFERENCE]],$M$62:$M$312)</f>
        <v>2</v>
      </c>
      <c r="O89" s="16">
        <f>VLOOKUP(Table5[[#This Row],[RC]],LGS_Mo.!$C$5:$P$322,14,0)</f>
        <v>20</v>
      </c>
      <c r="P89" s="16">
        <f>RANK(Table5[[#This Row],[Loss  of ground support]],$O$62:$O$312)</f>
        <v>15</v>
      </c>
      <c r="Q89" s="16">
        <f>(I89+K89+M89+Table5[[#This Row],[Loss  of ground support]])/4</f>
        <v>29.324175075757577</v>
      </c>
      <c r="R89" s="16">
        <f>VLOOKUP(C89,consequence!$B$2:$K$302,10,FALSE)</f>
        <v>3</v>
      </c>
      <c r="S89" s="16">
        <f>VLOOKUP(C89,consequence!B100:$K$302,9,FALSE)</f>
        <v>7</v>
      </c>
      <c r="T89" s="16">
        <f t="shared" si="6"/>
        <v>50</v>
      </c>
      <c r="U89" s="16">
        <f>RANK(Table5[[#This Row],[Consequence]],$T$62:$T$264)</f>
        <v>1</v>
      </c>
      <c r="V89" s="16"/>
      <c r="X89" s="14">
        <f t="shared" si="7"/>
        <v>0</v>
      </c>
      <c r="Y89" s="14">
        <v>19.493670886075947</v>
      </c>
    </row>
    <row r="90" spans="1:25">
      <c r="A90" s="80" t="s">
        <v>985</v>
      </c>
      <c r="B90" s="80">
        <v>2</v>
      </c>
      <c r="C90" s="81">
        <v>671210401</v>
      </c>
      <c r="D90" s="82" t="s">
        <v>704</v>
      </c>
      <c r="E90" s="57" t="e">
        <f t="shared" si="8"/>
        <v>#REF!</v>
      </c>
      <c r="F90" s="16">
        <v>1490.514684388889</v>
      </c>
      <c r="G90" s="16">
        <f>Table5[[#This Row],[Probability]]*Table5[[#This Row],[Consequence]]</f>
        <v>1466.2087537878788</v>
      </c>
      <c r="H90" s="16">
        <f>RANK(Table5[[#This Row],[Risk Score]],$G$62:$G$312)</f>
        <v>23</v>
      </c>
      <c r="I90" s="16">
        <f>VLOOKUP(C90,Table1[[#All],[RC]:[Total Internal Corrosion Score]],27,FALSE)</f>
        <v>34.166666666666664</v>
      </c>
      <c r="J90" s="16">
        <f>RANK(Table5[[#This Row],[INTERNAL CORROSION]],$I$62:$I$312)</f>
        <v>8</v>
      </c>
      <c r="K90" s="16">
        <f>VLOOKUP(C90,Ext.Mo!$C$2:$AK$326,35,FALSE)</f>
        <v>19.493670000000002</v>
      </c>
      <c r="L90" s="16">
        <f>RANK(Table5[[#This Row],[EXTERNAL CORROSION]],$K$62:$K$312)</f>
        <v>3</v>
      </c>
      <c r="M90" s="16">
        <f>VLOOKUP(Table5[[#This Row],[RC]],Table3[[RC]:[Total TPI Score10]],23,0)</f>
        <v>43.63636363636364</v>
      </c>
      <c r="N90" s="16">
        <f>RANK(Table5[[#This Row],[THIRD PARTY INTERFERENCE]],$M$62:$M$312)</f>
        <v>2</v>
      </c>
      <c r="O90" s="16">
        <f>VLOOKUP(Table5[[#This Row],[RC]],LGS_Mo.!$C$5:$P$322,14,0)</f>
        <v>20</v>
      </c>
      <c r="P90" s="16">
        <f>RANK(Table5[[#This Row],[Loss  of ground support]],$O$62:$O$312)</f>
        <v>15</v>
      </c>
      <c r="Q90" s="16">
        <f>(I90+K90+M90+Table5[[#This Row],[Loss  of ground support]])/4</f>
        <v>29.324175075757577</v>
      </c>
      <c r="R90" s="16">
        <f>VLOOKUP(C90,consequence!$B$2:$K$302,10,FALSE)</f>
        <v>3</v>
      </c>
      <c r="S90" s="16">
        <f>VLOOKUP(C90,consequence!B101:$K$302,9,FALSE)</f>
        <v>7</v>
      </c>
      <c r="T90" s="16">
        <f t="shared" si="6"/>
        <v>50</v>
      </c>
      <c r="U90" s="16">
        <f>RANK(Table5[[#This Row],[Consequence]],$T$62:$T$264)</f>
        <v>1</v>
      </c>
      <c r="V90" s="16"/>
      <c r="X90" s="14">
        <f t="shared" si="7"/>
        <v>0</v>
      </c>
      <c r="Y90" s="14">
        <v>19.493670886075947</v>
      </c>
    </row>
    <row r="91" spans="1:25">
      <c r="A91" s="80" t="s">
        <v>985</v>
      </c>
      <c r="B91" s="80">
        <v>2</v>
      </c>
      <c r="C91" s="81">
        <v>6712104</v>
      </c>
      <c r="D91" s="82" t="s">
        <v>678</v>
      </c>
      <c r="E91" s="57" t="e">
        <f t="shared" si="8"/>
        <v>#REF!</v>
      </c>
      <c r="F91" s="16">
        <v>1490.514684388889</v>
      </c>
      <c r="G91" s="16">
        <f>Table5[[#This Row],[Probability]]*Table5[[#This Row],[Consequence]]</f>
        <v>1466.2087537878788</v>
      </c>
      <c r="H91" s="16">
        <f>RANK(Table5[[#This Row],[Risk Score]],$G$62:$G$312)</f>
        <v>23</v>
      </c>
      <c r="I91" s="16">
        <f>VLOOKUP(C91,Table1[[#All],[RC]:[Total Internal Corrosion Score]],27,FALSE)</f>
        <v>34.166666666666664</v>
      </c>
      <c r="J91" s="16">
        <f>RANK(Table5[[#This Row],[INTERNAL CORROSION]],$I$62:$I$312)</f>
        <v>8</v>
      </c>
      <c r="K91" s="16">
        <f>VLOOKUP(C91,Ext.Mo!$C$2:$AK$326,35,FALSE)</f>
        <v>19.493670000000002</v>
      </c>
      <c r="L91" s="16">
        <f>RANK(Table5[[#This Row],[EXTERNAL CORROSION]],$K$62:$K$312)</f>
        <v>3</v>
      </c>
      <c r="M91" s="16">
        <f>VLOOKUP(Table5[[#This Row],[RC]],Table3[[RC]:[Total TPI Score10]],23,0)</f>
        <v>43.63636363636364</v>
      </c>
      <c r="N91" s="16">
        <f>RANK(Table5[[#This Row],[THIRD PARTY INTERFERENCE]],$M$62:$M$312)</f>
        <v>2</v>
      </c>
      <c r="O91" s="16">
        <f>VLOOKUP(Table5[[#This Row],[RC]],LGS_Mo.!$C$5:$P$322,14,0)</f>
        <v>20</v>
      </c>
      <c r="P91" s="16">
        <f>RANK(Table5[[#This Row],[Loss  of ground support]],$O$62:$O$312)</f>
        <v>15</v>
      </c>
      <c r="Q91" s="16">
        <f>(I91+K91+M91+Table5[[#This Row],[Loss  of ground support]])/4</f>
        <v>29.324175075757577</v>
      </c>
      <c r="R91" s="16">
        <f>VLOOKUP(C91,consequence!$B$2:$K$302,10,FALSE)</f>
        <v>3</v>
      </c>
      <c r="S91" s="16">
        <f>VLOOKUP(C91,consequence!B102:$K$302,9,FALSE)</f>
        <v>7</v>
      </c>
      <c r="T91" s="16">
        <f t="shared" si="6"/>
        <v>50</v>
      </c>
      <c r="U91" s="16">
        <f>RANK(Table5[[#This Row],[Consequence]],$T$62:$T$264)</f>
        <v>1</v>
      </c>
      <c r="V91" s="16"/>
      <c r="X91" s="14">
        <f t="shared" si="7"/>
        <v>0</v>
      </c>
      <c r="Y91" s="14">
        <v>19.493670886075947</v>
      </c>
    </row>
    <row r="92" spans="1:25">
      <c r="A92" s="80" t="s">
        <v>985</v>
      </c>
      <c r="B92" s="80">
        <v>2</v>
      </c>
      <c r="C92" s="81">
        <v>6712105</v>
      </c>
      <c r="D92" s="82" t="s">
        <v>267</v>
      </c>
      <c r="E92" s="57" t="e">
        <f t="shared" si="8"/>
        <v>#REF!</v>
      </c>
      <c r="F92" s="16">
        <v>1490.514684388889</v>
      </c>
      <c r="G92" s="16">
        <f>Table5[[#This Row],[Probability]]*Table5[[#This Row],[Consequence]]</f>
        <v>1466.2087537878788</v>
      </c>
      <c r="H92" s="16">
        <f>RANK(Table5[[#This Row],[Risk Score]],$G$62:$G$312)</f>
        <v>23</v>
      </c>
      <c r="I92" s="16">
        <f>VLOOKUP(C92,Table1[[#All],[RC]:[Total Internal Corrosion Score]],27,FALSE)</f>
        <v>34.166666666666664</v>
      </c>
      <c r="J92" s="16">
        <f>RANK(Table5[[#This Row],[INTERNAL CORROSION]],$I$62:$I$312)</f>
        <v>8</v>
      </c>
      <c r="K92" s="16">
        <f>VLOOKUP(C92,Ext.Mo!$C$2:$AK$326,35,FALSE)</f>
        <v>19.493670000000002</v>
      </c>
      <c r="L92" s="16">
        <f>RANK(Table5[[#This Row],[EXTERNAL CORROSION]],$K$62:$K$312)</f>
        <v>3</v>
      </c>
      <c r="M92" s="16">
        <f>VLOOKUP(Table5[[#This Row],[RC]],Table3[[RC]:[Total TPI Score10]],23,0)</f>
        <v>43.63636363636364</v>
      </c>
      <c r="N92" s="16">
        <f>RANK(Table5[[#This Row],[THIRD PARTY INTERFERENCE]],$M$62:$M$312)</f>
        <v>2</v>
      </c>
      <c r="O92" s="16">
        <f>VLOOKUP(Table5[[#This Row],[RC]],LGS_Mo.!$C$5:$P$322,14,0)</f>
        <v>20</v>
      </c>
      <c r="P92" s="16">
        <f>RANK(Table5[[#This Row],[Loss  of ground support]],$O$62:$O$312)</f>
        <v>15</v>
      </c>
      <c r="Q92" s="16">
        <f>(I92+K92+M92+Table5[[#This Row],[Loss  of ground support]])/4</f>
        <v>29.324175075757577</v>
      </c>
      <c r="R92" s="16">
        <f>VLOOKUP(C92,consequence!$B$2:$K$302,10,FALSE)</f>
        <v>3</v>
      </c>
      <c r="S92" s="16">
        <f>VLOOKUP(C92,consequence!B103:$K$302,9,FALSE)</f>
        <v>7</v>
      </c>
      <c r="T92" s="16">
        <f t="shared" si="6"/>
        <v>50</v>
      </c>
      <c r="U92" s="16">
        <f>RANK(Table5[[#This Row],[Consequence]],$T$62:$T$264)</f>
        <v>1</v>
      </c>
      <c r="V92" s="16"/>
      <c r="X92" s="14">
        <f t="shared" si="7"/>
        <v>0</v>
      </c>
      <c r="Y92" s="14">
        <v>19.493670886075947</v>
      </c>
    </row>
    <row r="93" spans="1:25">
      <c r="A93" s="80" t="s">
        <v>985</v>
      </c>
      <c r="B93" s="80">
        <v>2</v>
      </c>
      <c r="C93" s="81">
        <v>67122</v>
      </c>
      <c r="D93" s="82" t="s">
        <v>672</v>
      </c>
      <c r="E93" s="57" t="e">
        <f t="shared" si="8"/>
        <v>#REF!</v>
      </c>
      <c r="F93" s="16">
        <v>1490.514684388889</v>
      </c>
      <c r="G93" s="16">
        <f>Table5[[#This Row],[Probability]]*Table5[[#This Row],[Consequence]]</f>
        <v>1466.2087537878788</v>
      </c>
      <c r="H93" s="16">
        <f>RANK(Table5[[#This Row],[Risk Score]],$G$62:$G$312)</f>
        <v>23</v>
      </c>
      <c r="I93" s="16">
        <f>VLOOKUP(C93,Table1[[#All],[RC]:[Total Internal Corrosion Score]],27,FALSE)</f>
        <v>34.166666666666664</v>
      </c>
      <c r="J93" s="16">
        <f>RANK(Table5[[#This Row],[INTERNAL CORROSION]],$I$62:$I$312)</f>
        <v>8</v>
      </c>
      <c r="K93" s="16">
        <f>VLOOKUP(C93,Ext.Mo!$C$2:$AK$326,35,FALSE)</f>
        <v>19.493670000000002</v>
      </c>
      <c r="L93" s="16">
        <f>RANK(Table5[[#This Row],[EXTERNAL CORROSION]],$K$62:$K$312)</f>
        <v>3</v>
      </c>
      <c r="M93" s="16">
        <f>VLOOKUP(Table5[[#This Row],[RC]],Table3[[RC]:[Total TPI Score10]],23,0)</f>
        <v>43.63636363636364</v>
      </c>
      <c r="N93" s="16">
        <f>RANK(Table5[[#This Row],[THIRD PARTY INTERFERENCE]],$M$62:$M$312)</f>
        <v>2</v>
      </c>
      <c r="O93" s="16">
        <f>VLOOKUP(Table5[[#This Row],[RC]],LGS_Mo.!$C$5:$P$322,14,0)</f>
        <v>20</v>
      </c>
      <c r="P93" s="16">
        <f>RANK(Table5[[#This Row],[Loss  of ground support]],$O$62:$O$312)</f>
        <v>15</v>
      </c>
      <c r="Q93" s="16">
        <f>(I93+K93+M93+Table5[[#This Row],[Loss  of ground support]])/4</f>
        <v>29.324175075757577</v>
      </c>
      <c r="R93" s="16">
        <f>VLOOKUP(C93,consequence!$B$2:$K$302,10,FALSE)</f>
        <v>3</v>
      </c>
      <c r="S93" s="16">
        <f>VLOOKUP(C93,consequence!B104:$K$302,9,FALSE)</f>
        <v>7</v>
      </c>
      <c r="T93" s="16">
        <f t="shared" si="6"/>
        <v>50</v>
      </c>
      <c r="U93" s="16">
        <f>RANK(Table5[[#This Row],[Consequence]],$T$62:$T$264)</f>
        <v>1</v>
      </c>
      <c r="V93" s="16"/>
      <c r="X93" s="14">
        <f t="shared" si="7"/>
        <v>0</v>
      </c>
      <c r="Y93" s="14">
        <v>19.493670886075947</v>
      </c>
    </row>
    <row r="94" spans="1:25">
      <c r="A94" s="80" t="s">
        <v>985</v>
      </c>
      <c r="B94" s="84">
        <v>2</v>
      </c>
      <c r="C94" s="81">
        <v>671111</v>
      </c>
      <c r="D94" s="82" t="s">
        <v>263</v>
      </c>
      <c r="E94" s="57" t="e">
        <f>E101</f>
        <v>#REF!</v>
      </c>
      <c r="F94" s="16">
        <v>1490.514684388889</v>
      </c>
      <c r="G94" s="16">
        <f>Table5[[#This Row],[Probability]]*Table5[[#This Row],[Consequence]]</f>
        <v>1455.7920871212123</v>
      </c>
      <c r="H94" s="16">
        <f>RANK(Table5[[#This Row],[Risk Score]],$G$62:$G$312)</f>
        <v>148</v>
      </c>
      <c r="I94" s="16">
        <f>VLOOKUP(C94,Table1[[#All],[RC]:[Total Internal Corrosion Score]],27,FALSE)</f>
        <v>33.333333333333329</v>
      </c>
      <c r="J94" s="16">
        <f>RANK(Table5[[#This Row],[INTERNAL CORROSION]],$I$62:$I$312)</f>
        <v>228</v>
      </c>
      <c r="K94" s="16">
        <f>VLOOKUP(C94,Ext.Mo!$C$2:$AK$326,35,FALSE)</f>
        <v>19.493670000000002</v>
      </c>
      <c r="L94" s="16">
        <f>RANK(Table5[[#This Row],[EXTERNAL CORROSION]],$K$62:$K$312)</f>
        <v>3</v>
      </c>
      <c r="M94" s="16">
        <f>VLOOKUP(Table5[[#This Row],[RC]],Table3[[RC]:[Total TPI Score10]],23,0)</f>
        <v>43.63636363636364</v>
      </c>
      <c r="N94" s="16">
        <f>RANK(Table5[[#This Row],[THIRD PARTY INTERFERENCE]],$M$62:$M$312)</f>
        <v>2</v>
      </c>
      <c r="O94" s="16">
        <f>VLOOKUP(Table5[[#This Row],[RC]],LGS_Mo.!$C$5:$P$322,14,0)</f>
        <v>20</v>
      </c>
      <c r="P94" s="16">
        <f>RANK(Table5[[#This Row],[Loss  of ground support]],$O$62:$O$312)</f>
        <v>15</v>
      </c>
      <c r="Q94" s="16">
        <f>(I94+K94+M94+Table5[[#This Row],[Loss  of ground support]])/4</f>
        <v>29.115841742424244</v>
      </c>
      <c r="R94" s="16">
        <f>VLOOKUP(C94,consequence!$B$2:$K$302,10,FALSE)</f>
        <v>3</v>
      </c>
      <c r="S94" s="16">
        <f>VLOOKUP(C94,consequence!B109:$K$302,9,FALSE)</f>
        <v>7</v>
      </c>
      <c r="T94" s="16">
        <f t="shared" si="6"/>
        <v>50</v>
      </c>
      <c r="U94" s="16">
        <f>RANK(Table5[[#This Row],[Consequence]],$T$62:$T$264)</f>
        <v>1</v>
      </c>
      <c r="V94" s="16"/>
      <c r="X94" s="14">
        <f>J420</f>
        <v>0</v>
      </c>
      <c r="Y94" s="14">
        <v>19.493670886075947</v>
      </c>
    </row>
    <row r="95" spans="1:25">
      <c r="A95" s="80" t="s">
        <v>985</v>
      </c>
      <c r="B95" s="84">
        <v>2</v>
      </c>
      <c r="C95" s="81">
        <v>671200001</v>
      </c>
      <c r="D95" s="82" t="s">
        <v>275</v>
      </c>
      <c r="E95" s="57" t="e">
        <f>E43</f>
        <v>#REF!</v>
      </c>
      <c r="F95" s="16">
        <v>1490.514684388889</v>
      </c>
      <c r="G95" s="16">
        <f>Table5[[#This Row],[Probability]]*Table5[[#This Row],[Consequence]]</f>
        <v>1416.0193598484848</v>
      </c>
      <c r="H95" s="16">
        <f>RANK(Table5[[#This Row],[Risk Score]],$G$62:$G$312)</f>
        <v>204</v>
      </c>
      <c r="I95" s="16">
        <f>VLOOKUP(C95,Table1[[#All],[RC]:[Total Internal Corrosion Score]],27,FALSE)</f>
        <v>33.333333333333329</v>
      </c>
      <c r="J95" s="16">
        <f>RANK(Table5[[#This Row],[INTERNAL CORROSION]],$I$62:$I$312)</f>
        <v>228</v>
      </c>
      <c r="K95" s="16">
        <f>VLOOKUP(C95,Ext.Mo!$C$2:$AK$326,35,FALSE)</f>
        <v>19.493670000000002</v>
      </c>
      <c r="L95" s="16">
        <f>RANK(Table5[[#This Row],[EXTERNAL CORROSION]],$K$62:$K$312)</f>
        <v>3</v>
      </c>
      <c r="M95" s="16">
        <f>VLOOKUP(Table5[[#This Row],[RC]],Table3[[RC]:[Total TPI Score10]],23,0)</f>
        <v>40.454545454545453</v>
      </c>
      <c r="N95" s="16">
        <f>RANK(Table5[[#This Row],[THIRD PARTY INTERFERENCE]],$M$62:$M$312)</f>
        <v>224</v>
      </c>
      <c r="O95" s="16">
        <f>VLOOKUP(Table5[[#This Row],[RC]],LGS_Mo.!$C$5:$P$322,14,0)</f>
        <v>20</v>
      </c>
      <c r="P95" s="16">
        <f>RANK(Table5[[#This Row],[Loss  of ground support]],$O$62:$O$312)</f>
        <v>15</v>
      </c>
      <c r="Q95" s="16">
        <f>(I95+K95+M95+Table5[[#This Row],[Loss  of ground support]])/4</f>
        <v>28.320387196969698</v>
      </c>
      <c r="R95" s="16">
        <f>VLOOKUP(C95,consequence!$B$2:$K$302,10,FALSE)</f>
        <v>3</v>
      </c>
      <c r="S95" s="16">
        <f>VLOOKUP(C95,consequence!B151:$K$302,9,FALSE)</f>
        <v>7</v>
      </c>
      <c r="T95" s="16">
        <f t="shared" si="6"/>
        <v>50</v>
      </c>
      <c r="U95" s="16">
        <f>RANK(Table5[[#This Row],[Consequence]],$T$62:$T$264)</f>
        <v>1</v>
      </c>
      <c r="V95" s="16"/>
      <c r="X95" s="14">
        <f>J462</f>
        <v>0</v>
      </c>
      <c r="Y95" s="14">
        <v>19.493670886075947</v>
      </c>
    </row>
    <row r="96" spans="1:25">
      <c r="A96" s="80" t="s">
        <v>985</v>
      </c>
      <c r="B96" s="80">
        <v>2</v>
      </c>
      <c r="C96" s="81">
        <v>671210001</v>
      </c>
      <c r="D96" s="82" t="s">
        <v>688</v>
      </c>
      <c r="E96" s="57" t="e">
        <f>E95</f>
        <v>#REF!</v>
      </c>
      <c r="F96" s="16">
        <v>1490.514684388889</v>
      </c>
      <c r="G96" s="16">
        <f>Table5[[#This Row],[Probability]]*Table5[[#This Row],[Consequence]]</f>
        <v>1466.2087537878788</v>
      </c>
      <c r="H96" s="16">
        <f>RANK(Table5[[#This Row],[Risk Score]],$G$62:$G$312)</f>
        <v>23</v>
      </c>
      <c r="I96" s="16">
        <f>VLOOKUP(C96,Table1[[#All],[RC]:[Total Internal Corrosion Score]],27,FALSE)</f>
        <v>34.166666666666664</v>
      </c>
      <c r="J96" s="16">
        <f>RANK(Table5[[#This Row],[INTERNAL CORROSION]],$I$62:$I$312)</f>
        <v>8</v>
      </c>
      <c r="K96" s="16">
        <f>VLOOKUP(C96,Ext.Mo!$C$2:$AK$326,35,FALSE)</f>
        <v>19.493670000000002</v>
      </c>
      <c r="L96" s="16">
        <f>RANK(Table5[[#This Row],[EXTERNAL CORROSION]],$K$62:$K$312)</f>
        <v>3</v>
      </c>
      <c r="M96" s="16">
        <f>VLOOKUP(Table5[[#This Row],[RC]],Table3[[RC]:[Total TPI Score10]],23,0)</f>
        <v>43.63636363636364</v>
      </c>
      <c r="N96" s="16">
        <f>RANK(Table5[[#This Row],[THIRD PARTY INTERFERENCE]],$M$62:$M$312)</f>
        <v>2</v>
      </c>
      <c r="O96" s="16">
        <f>VLOOKUP(Table5[[#This Row],[RC]],LGS_Mo.!$C$5:$P$322,14,0)</f>
        <v>20</v>
      </c>
      <c r="P96" s="16">
        <f>RANK(Table5[[#This Row],[Loss  of ground support]],$O$62:$O$312)</f>
        <v>15</v>
      </c>
      <c r="Q96" s="16">
        <f>(I96+K96+M96+Table5[[#This Row],[Loss  of ground support]])/4</f>
        <v>29.324175075757577</v>
      </c>
      <c r="R96" s="16">
        <f>VLOOKUP(C96,consequence!$B$2:$K$302,10,FALSE)</f>
        <v>3</v>
      </c>
      <c r="S96" s="16">
        <f>VLOOKUP(C96,consequence!B152:$K$302,9,FALSE)</f>
        <v>7</v>
      </c>
      <c r="T96" s="16">
        <f t="shared" si="6"/>
        <v>50</v>
      </c>
      <c r="U96" s="16">
        <f>RANK(Table5[[#This Row],[Consequence]],$T$62:$T$264)</f>
        <v>1</v>
      </c>
      <c r="V96" s="16"/>
      <c r="X96" s="14">
        <f>J463</f>
        <v>0</v>
      </c>
      <c r="Y96" s="14">
        <v>19.493670886075947</v>
      </c>
    </row>
    <row r="97" spans="1:25">
      <c r="A97" s="80" t="s">
        <v>985</v>
      </c>
      <c r="B97" s="80">
        <v>2</v>
      </c>
      <c r="C97" s="81">
        <v>671210002</v>
      </c>
      <c r="D97" s="82" t="s">
        <v>690</v>
      </c>
      <c r="E97" s="57" t="e">
        <f>E96</f>
        <v>#REF!</v>
      </c>
      <c r="F97" s="16">
        <v>1490.514684388889</v>
      </c>
      <c r="G97" s="16">
        <f>Table5[[#This Row],[Probability]]*Table5[[#This Row],[Consequence]]</f>
        <v>1466.2087537878788</v>
      </c>
      <c r="H97" s="16">
        <f>RANK(Table5[[#This Row],[Risk Score]],$G$62:$G$312)</f>
        <v>23</v>
      </c>
      <c r="I97" s="16">
        <f>VLOOKUP(C97,Table1[[#All],[RC]:[Total Internal Corrosion Score]],27,FALSE)</f>
        <v>34.166666666666664</v>
      </c>
      <c r="J97" s="16">
        <f>RANK(Table5[[#This Row],[INTERNAL CORROSION]],$I$62:$I$312)</f>
        <v>8</v>
      </c>
      <c r="K97" s="16">
        <f>VLOOKUP(C97,Ext.Mo!$C$2:$AK$326,35,FALSE)</f>
        <v>19.493670000000002</v>
      </c>
      <c r="L97" s="16">
        <f>RANK(Table5[[#This Row],[EXTERNAL CORROSION]],$K$62:$K$312)</f>
        <v>3</v>
      </c>
      <c r="M97" s="16">
        <f>VLOOKUP(Table5[[#This Row],[RC]],Table3[[RC]:[Total TPI Score10]],23,0)</f>
        <v>43.63636363636364</v>
      </c>
      <c r="N97" s="16">
        <f>RANK(Table5[[#This Row],[THIRD PARTY INTERFERENCE]],$M$62:$M$312)</f>
        <v>2</v>
      </c>
      <c r="O97" s="16">
        <f>VLOOKUP(Table5[[#This Row],[RC]],LGS_Mo.!$C$5:$P$322,14,0)</f>
        <v>20</v>
      </c>
      <c r="P97" s="16">
        <f>RANK(Table5[[#This Row],[Loss  of ground support]],$O$62:$O$312)</f>
        <v>15</v>
      </c>
      <c r="Q97" s="16">
        <f>(I97+K97+M97+Table5[[#This Row],[Loss  of ground support]])/4</f>
        <v>29.324175075757577</v>
      </c>
      <c r="R97" s="16">
        <f>VLOOKUP(C97,consequence!$B$2:$K$302,10,FALSE)</f>
        <v>3</v>
      </c>
      <c r="S97" s="16">
        <f>VLOOKUP(C97,consequence!B153:$K$302,9,FALSE)</f>
        <v>7</v>
      </c>
      <c r="T97" s="16">
        <f t="shared" si="6"/>
        <v>50</v>
      </c>
      <c r="U97" s="16">
        <f>RANK(Table5[[#This Row],[Consequence]],$T$62:$T$264)</f>
        <v>1</v>
      </c>
      <c r="V97" s="16"/>
      <c r="X97" s="14">
        <f>J464</f>
        <v>0</v>
      </c>
      <c r="Y97" s="14">
        <v>19.493670886075947</v>
      </c>
    </row>
    <row r="98" spans="1:25" ht="25.5">
      <c r="A98" s="80" t="s">
        <v>985</v>
      </c>
      <c r="B98" s="84">
        <v>2</v>
      </c>
      <c r="C98" s="81">
        <v>671210101</v>
      </c>
      <c r="D98" s="82" t="s">
        <v>276</v>
      </c>
      <c r="E98" s="57" t="e">
        <f>E97</f>
        <v>#REF!</v>
      </c>
      <c r="F98" s="16">
        <v>1490.514684388889</v>
      </c>
      <c r="G98" s="16">
        <f>Table5[[#This Row],[Probability]]*Table5[[#This Row],[Consequence]]</f>
        <v>1455.7920871212123</v>
      </c>
      <c r="H98" s="16">
        <f>RANK(Table5[[#This Row],[Risk Score]],$G$62:$G$312)</f>
        <v>148</v>
      </c>
      <c r="I98" s="16">
        <f>VLOOKUP(C98,Table1[[#All],[RC]:[Total Internal Corrosion Score]],27,FALSE)</f>
        <v>33.333333333333329</v>
      </c>
      <c r="J98" s="16">
        <f>RANK(Table5[[#This Row],[INTERNAL CORROSION]],$I$62:$I$312)</f>
        <v>228</v>
      </c>
      <c r="K98" s="16">
        <f>VLOOKUP(C98,Ext.Mo!$C$2:$AK$326,35,FALSE)</f>
        <v>19.493670000000002</v>
      </c>
      <c r="L98" s="16">
        <f>RANK(Table5[[#This Row],[EXTERNAL CORROSION]],$K$62:$K$312)</f>
        <v>3</v>
      </c>
      <c r="M98" s="16">
        <f>VLOOKUP(Table5[[#This Row],[RC]],Table3[[RC]:[Total TPI Score10]],23,0)</f>
        <v>43.63636363636364</v>
      </c>
      <c r="N98" s="16">
        <f>RANK(Table5[[#This Row],[THIRD PARTY INTERFERENCE]],$M$62:$M$312)</f>
        <v>2</v>
      </c>
      <c r="O98" s="16">
        <f>VLOOKUP(Table5[[#This Row],[RC]],LGS_Mo.!$C$5:$P$322,14,0)</f>
        <v>20</v>
      </c>
      <c r="P98" s="16">
        <f>RANK(Table5[[#This Row],[Loss  of ground support]],$O$62:$O$312)</f>
        <v>15</v>
      </c>
      <c r="Q98" s="16">
        <f>(I98+K98+M98+Table5[[#This Row],[Loss  of ground support]])/4</f>
        <v>29.115841742424244</v>
      </c>
      <c r="R98" s="16">
        <f>VLOOKUP(C98,consequence!$B$2:$K$302,10,FALSE)</f>
        <v>3</v>
      </c>
      <c r="S98" s="16">
        <f>VLOOKUP(C98,consequence!B154:$K$302,9,FALSE)</f>
        <v>7</v>
      </c>
      <c r="T98" s="16">
        <f t="shared" si="6"/>
        <v>50</v>
      </c>
      <c r="U98" s="16">
        <f>RANK(Table5[[#This Row],[Consequence]],$T$62:$T$264)</f>
        <v>1</v>
      </c>
      <c r="V98" s="16"/>
      <c r="X98" s="14">
        <f>J465</f>
        <v>0</v>
      </c>
      <c r="Y98" s="14">
        <v>19.493670886075947</v>
      </c>
    </row>
    <row r="99" spans="1:25">
      <c r="A99" s="80" t="s">
        <v>985</v>
      </c>
      <c r="B99" s="80">
        <v>2</v>
      </c>
      <c r="C99" s="81">
        <v>671210102</v>
      </c>
      <c r="D99" s="82" t="s">
        <v>692</v>
      </c>
      <c r="E99" s="57" t="e">
        <f>E98</f>
        <v>#REF!</v>
      </c>
      <c r="F99" s="16">
        <v>1490.514684388889</v>
      </c>
      <c r="G99" s="16">
        <f>Table5[[#This Row],[Probability]]*Table5[[#This Row],[Consequence]]</f>
        <v>1466.2087537878788</v>
      </c>
      <c r="H99" s="16">
        <f>RANK(Table5[[#This Row],[Risk Score]],$G$62:$G$312)</f>
        <v>23</v>
      </c>
      <c r="I99" s="16">
        <f>VLOOKUP(C99,Table1[[#All],[RC]:[Total Internal Corrosion Score]],27,FALSE)</f>
        <v>34.166666666666664</v>
      </c>
      <c r="J99" s="16">
        <f>RANK(Table5[[#This Row],[INTERNAL CORROSION]],$I$62:$I$312)</f>
        <v>8</v>
      </c>
      <c r="K99" s="16">
        <f>VLOOKUP(C99,Ext.Mo!$C$2:$AK$326,35,FALSE)</f>
        <v>19.493670000000002</v>
      </c>
      <c r="L99" s="16">
        <f>RANK(Table5[[#This Row],[EXTERNAL CORROSION]],$K$62:$K$312)</f>
        <v>3</v>
      </c>
      <c r="M99" s="16">
        <f>VLOOKUP(Table5[[#This Row],[RC]],Table3[[RC]:[Total TPI Score10]],23,0)</f>
        <v>43.63636363636364</v>
      </c>
      <c r="N99" s="16">
        <f>RANK(Table5[[#This Row],[THIRD PARTY INTERFERENCE]],$M$62:$M$312)</f>
        <v>2</v>
      </c>
      <c r="O99" s="16">
        <f>VLOOKUP(Table5[[#This Row],[RC]],LGS_Mo.!$C$5:$P$322,14,0)</f>
        <v>20</v>
      </c>
      <c r="P99" s="16">
        <f>RANK(Table5[[#This Row],[Loss  of ground support]],$O$62:$O$312)</f>
        <v>15</v>
      </c>
      <c r="Q99" s="16">
        <f>(I99+K99+M99+Table5[[#This Row],[Loss  of ground support]])/4</f>
        <v>29.324175075757577</v>
      </c>
      <c r="R99" s="16">
        <f>VLOOKUP(C99,consequence!$B$2:$K$302,10,FALSE)</f>
        <v>3</v>
      </c>
      <c r="S99" s="16">
        <f>VLOOKUP(C99,consequence!B155:$K$302,9,FALSE)</f>
        <v>7</v>
      </c>
      <c r="T99" s="16">
        <f t="shared" si="6"/>
        <v>50</v>
      </c>
      <c r="U99" s="16">
        <f>RANK(Table5[[#This Row],[Consequence]],$T$62:$T$264)</f>
        <v>1</v>
      </c>
      <c r="V99" s="16"/>
      <c r="X99" s="14">
        <f>J466</f>
        <v>0</v>
      </c>
      <c r="Y99" s="14">
        <v>19.493670886075947</v>
      </c>
    </row>
    <row r="100" spans="1:25">
      <c r="A100" s="80" t="s">
        <v>985</v>
      </c>
      <c r="B100" s="84">
        <v>2</v>
      </c>
      <c r="C100" s="81">
        <v>6921101</v>
      </c>
      <c r="D100" s="82" t="s">
        <v>269</v>
      </c>
      <c r="E100" s="57" t="e">
        <f>E221</f>
        <v>#REF!</v>
      </c>
      <c r="F100" s="16">
        <v>1490.514684388889</v>
      </c>
      <c r="G100" s="16">
        <f>Table5[[#This Row],[Probability]]*Table5[[#This Row],[Consequence]]</f>
        <v>1455.7920871212123</v>
      </c>
      <c r="H100" s="16">
        <f>RANK(Table5[[#This Row],[Risk Score]],$G$62:$G$312)</f>
        <v>148</v>
      </c>
      <c r="I100" s="16">
        <f>VLOOKUP(C100,Table1[[#All],[RC]:[Total Internal Corrosion Score]],27,FALSE)</f>
        <v>33.333333333333329</v>
      </c>
      <c r="J100" s="16">
        <f>RANK(Table5[[#This Row],[INTERNAL CORROSION]],$I$62:$I$312)</f>
        <v>228</v>
      </c>
      <c r="K100" s="16">
        <f>VLOOKUP(C100,Ext.Mo!$C$2:$AK$326,35,FALSE)</f>
        <v>19.493670000000002</v>
      </c>
      <c r="L100" s="16">
        <f>RANK(Table5[[#This Row],[EXTERNAL CORROSION]],$K$62:$K$312)</f>
        <v>3</v>
      </c>
      <c r="M100" s="16">
        <f>VLOOKUP(Table5[[#This Row],[RC]],Table3[[RC]:[Total TPI Score10]],23,0)</f>
        <v>43.63636363636364</v>
      </c>
      <c r="N100" s="16">
        <f>RANK(Table5[[#This Row],[THIRD PARTY INTERFERENCE]],$M$62:$M$312)</f>
        <v>2</v>
      </c>
      <c r="O100" s="16">
        <f>VLOOKUP(Table5[[#This Row],[RC]],LGS_Mo.!$C$5:$P$322,14,0)</f>
        <v>20</v>
      </c>
      <c r="P100" s="16">
        <f>RANK(Table5[[#This Row],[Loss  of ground support]],$O$62:$O$312)</f>
        <v>15</v>
      </c>
      <c r="Q100" s="16">
        <f>(I100+K100+M100+Table5[[#This Row],[Loss  of ground support]])/4</f>
        <v>29.115841742424244</v>
      </c>
      <c r="R100" s="16">
        <f>VLOOKUP(C100,consequence!$B$2:$K$302,10,FALSE)</f>
        <v>3</v>
      </c>
      <c r="S100" s="16">
        <f>VLOOKUP(C100,consequence!B145:$K$302,9,FALSE)</f>
        <v>7</v>
      </c>
      <c r="T100" s="16">
        <f t="shared" si="6"/>
        <v>50</v>
      </c>
      <c r="U100" s="16">
        <f>RANK(Table5[[#This Row],[Consequence]],$T$62:$T$264)</f>
        <v>1</v>
      </c>
      <c r="V100" s="16"/>
      <c r="X100" s="14">
        <f>J456</f>
        <v>0</v>
      </c>
      <c r="Y100" s="14">
        <v>19.493670886075947</v>
      </c>
    </row>
    <row r="101" spans="1:25" ht="25.5">
      <c r="A101" s="80" t="s">
        <v>985</v>
      </c>
      <c r="B101" s="84">
        <v>2</v>
      </c>
      <c r="C101" s="81">
        <v>69211</v>
      </c>
      <c r="D101" s="82" t="s">
        <v>262</v>
      </c>
      <c r="E101" s="57" t="e">
        <f>E219</f>
        <v>#REF!</v>
      </c>
      <c r="F101" s="16">
        <v>1490.514684388889</v>
      </c>
      <c r="G101" s="16">
        <f>Table5[[#This Row],[Probability]]*Table5[[#This Row],[Consequence]]</f>
        <v>1455.7920871212123</v>
      </c>
      <c r="H101" s="16">
        <f>RANK(Table5[[#This Row],[Risk Score]],$G$62:$G$312)</f>
        <v>148</v>
      </c>
      <c r="I101" s="16">
        <f>VLOOKUP(C101,Table1[[#All],[RC]:[Total Internal Corrosion Score]],27,FALSE)</f>
        <v>33.333333333333329</v>
      </c>
      <c r="J101" s="16">
        <f>RANK(Table5[[#This Row],[INTERNAL CORROSION]],$I$62:$I$312)</f>
        <v>228</v>
      </c>
      <c r="K101" s="16">
        <f>VLOOKUP(C101,Ext.Mo!$C$2:$AK$326,35,FALSE)</f>
        <v>19.493670000000002</v>
      </c>
      <c r="L101" s="16">
        <f>RANK(Table5[[#This Row],[EXTERNAL CORROSION]],$K$62:$K$312)</f>
        <v>3</v>
      </c>
      <c r="M101" s="16">
        <f>VLOOKUP(Table5[[#This Row],[RC]],Table3[[RC]:[Total TPI Score10]],23,0)</f>
        <v>43.63636363636364</v>
      </c>
      <c r="N101" s="16">
        <f>RANK(Table5[[#This Row],[THIRD PARTY INTERFERENCE]],$M$62:$M$312)</f>
        <v>2</v>
      </c>
      <c r="O101" s="16">
        <f>VLOOKUP(Table5[[#This Row],[RC]],LGS_Mo.!$C$5:$P$322,14,0)</f>
        <v>20</v>
      </c>
      <c r="P101" s="16">
        <f>RANK(Table5[[#This Row],[Loss  of ground support]],$O$62:$O$312)</f>
        <v>15</v>
      </c>
      <c r="Q101" s="16">
        <f>(I101+K101+M101+Table5[[#This Row],[Loss  of ground support]])/4</f>
        <v>29.115841742424244</v>
      </c>
      <c r="R101" s="16">
        <f>VLOOKUP(C101,consequence!$B$2:$K$302,10,FALSE)</f>
        <v>3</v>
      </c>
      <c r="S101" s="16">
        <f>VLOOKUP(C101,consequence!B108:$K$302,9,FALSE)</f>
        <v>7</v>
      </c>
      <c r="T101" s="16">
        <f t="shared" si="6"/>
        <v>50</v>
      </c>
      <c r="U101" s="16">
        <f>RANK(Table5[[#This Row],[Consequence]],$T$62:$T$264)</f>
        <v>1</v>
      </c>
      <c r="V101" s="16"/>
      <c r="X101" s="14">
        <f>J419</f>
        <v>0</v>
      </c>
      <c r="Y101" s="14">
        <v>19.493670886075947</v>
      </c>
    </row>
    <row r="102" spans="1:25">
      <c r="A102" s="84">
        <v>26</v>
      </c>
      <c r="B102" s="84">
        <v>2</v>
      </c>
      <c r="C102" s="81">
        <v>692110101</v>
      </c>
      <c r="D102" s="82" t="s">
        <v>712</v>
      </c>
      <c r="E102" s="57" t="e">
        <f>E238</f>
        <v>#REF!</v>
      </c>
      <c r="F102" s="16">
        <v>1490.514684388889</v>
      </c>
      <c r="G102" s="16">
        <f>Table5[[#This Row],[Probability]]*Table5[[#This Row],[Consequence]]</f>
        <v>1455.7920871212123</v>
      </c>
      <c r="H102" s="16">
        <f>RANK(Table5[[#This Row],[Risk Score]],$G$62:$G$312)</f>
        <v>148</v>
      </c>
      <c r="I102" s="16">
        <f>VLOOKUP(C102,Table1[[#All],[RC]:[Total Internal Corrosion Score]],27,FALSE)</f>
        <v>33.333333333333329</v>
      </c>
      <c r="J102" s="16">
        <f>RANK(Table5[[#This Row],[INTERNAL CORROSION]],$I$62:$I$312)</f>
        <v>228</v>
      </c>
      <c r="K102" s="16">
        <f>VLOOKUP(C102,Ext.Mo!$C$2:$AK$326,35,FALSE)</f>
        <v>19.493670000000002</v>
      </c>
      <c r="L102" s="16">
        <f>RANK(Table5[[#This Row],[EXTERNAL CORROSION]],$K$62:$K$312)</f>
        <v>3</v>
      </c>
      <c r="M102" s="16">
        <f>VLOOKUP(Table5[[#This Row],[RC]],Table3[[RC]:[Total TPI Score10]],23,0)</f>
        <v>43.63636363636364</v>
      </c>
      <c r="N102" s="16">
        <f>RANK(Table5[[#This Row],[THIRD PARTY INTERFERENCE]],$M$62:$M$312)</f>
        <v>2</v>
      </c>
      <c r="O102" s="16">
        <f>VLOOKUP(Table5[[#This Row],[RC]],LGS_Mo.!$C$5:$P$322,14,0)</f>
        <v>20</v>
      </c>
      <c r="P102" s="16">
        <f>RANK(Table5[[#This Row],[Loss  of ground support]],$O$62:$O$312)</f>
        <v>15</v>
      </c>
      <c r="Q102" s="16">
        <f>(I102+K102+M102+Table5[[#This Row],[Loss  of ground support]])/4</f>
        <v>29.115841742424244</v>
      </c>
      <c r="R102" s="16">
        <f>VLOOKUP(C102,consequence!$B$2:$K$302,10,FALSE)</f>
        <v>3</v>
      </c>
      <c r="S102" s="16">
        <f>VLOOKUP(C102,consequence!B169:$K$302,9,FALSE)</f>
        <v>7</v>
      </c>
      <c r="T102" s="16">
        <f t="shared" si="6"/>
        <v>50</v>
      </c>
      <c r="U102" s="16">
        <f>RANK(Table5[[#This Row],[Consequence]],$T$62:$T$264)</f>
        <v>1</v>
      </c>
      <c r="V102" s="16"/>
      <c r="X102" s="14">
        <f>J480</f>
        <v>0</v>
      </c>
      <c r="Y102" s="14">
        <v>19.493670886075947</v>
      </c>
    </row>
    <row r="103" spans="1:25">
      <c r="A103" s="84">
        <v>26</v>
      </c>
      <c r="B103" s="84">
        <v>2</v>
      </c>
      <c r="C103" s="81">
        <v>692110103</v>
      </c>
      <c r="D103" s="82" t="s">
        <v>289</v>
      </c>
      <c r="E103" s="57" t="e">
        <f>E102</f>
        <v>#REF!</v>
      </c>
      <c r="F103" s="16">
        <v>1490.514684388889</v>
      </c>
      <c r="G103" s="16">
        <f>Table5[[#This Row],[Probability]]*Table5[[#This Row],[Consequence]]</f>
        <v>1466.2087537878788</v>
      </c>
      <c r="H103" s="16">
        <f>RANK(Table5[[#This Row],[Risk Score]],$G$62:$G$312)</f>
        <v>23</v>
      </c>
      <c r="I103" s="16">
        <f>VLOOKUP(C103,Table1[[#All],[RC]:[Total Internal Corrosion Score]],27,FALSE)</f>
        <v>34.166666666666664</v>
      </c>
      <c r="J103" s="16">
        <f>RANK(Table5[[#This Row],[INTERNAL CORROSION]],$I$62:$I$312)</f>
        <v>8</v>
      </c>
      <c r="K103" s="16">
        <f>VLOOKUP(C103,Ext.Mo!$C$2:$AK$326,35,FALSE)</f>
        <v>19.493670000000002</v>
      </c>
      <c r="L103" s="16">
        <f>RANK(Table5[[#This Row],[EXTERNAL CORROSION]],$K$62:$K$312)</f>
        <v>3</v>
      </c>
      <c r="M103" s="16">
        <f>VLOOKUP(Table5[[#This Row],[RC]],Table3[[RC]:[Total TPI Score10]],23,0)</f>
        <v>43.63636363636364</v>
      </c>
      <c r="N103" s="16">
        <f>RANK(Table5[[#This Row],[THIRD PARTY INTERFERENCE]],$M$62:$M$312)</f>
        <v>2</v>
      </c>
      <c r="O103" s="16">
        <f>VLOOKUP(Table5[[#This Row],[RC]],LGS_Mo.!$C$5:$P$322,14,0)</f>
        <v>20</v>
      </c>
      <c r="P103" s="16">
        <f>RANK(Table5[[#This Row],[Loss  of ground support]],$O$62:$O$312)</f>
        <v>15</v>
      </c>
      <c r="Q103" s="16">
        <f>(I103+K103+M103+Table5[[#This Row],[Loss  of ground support]])/4</f>
        <v>29.324175075757577</v>
      </c>
      <c r="R103" s="16">
        <f>VLOOKUP(C103,consequence!$B$2:$K$302,10,FALSE)</f>
        <v>3</v>
      </c>
      <c r="S103" s="16">
        <f>VLOOKUP(C103,consequence!B170:$K$302,9,FALSE)</f>
        <v>7</v>
      </c>
      <c r="T103" s="16">
        <f t="shared" si="6"/>
        <v>50</v>
      </c>
      <c r="U103" s="16">
        <f>RANK(Table5[[#This Row],[Consequence]],$T$62:$T$264)</f>
        <v>1</v>
      </c>
      <c r="V103" s="16"/>
      <c r="X103" s="14">
        <f>J481</f>
        <v>0</v>
      </c>
      <c r="Y103" s="14">
        <v>19.493670886075947</v>
      </c>
    </row>
    <row r="104" spans="1:25">
      <c r="A104" s="84">
        <v>27</v>
      </c>
      <c r="B104" s="84">
        <v>3</v>
      </c>
      <c r="C104" s="81">
        <v>3402105</v>
      </c>
      <c r="D104" s="82" t="s">
        <v>761</v>
      </c>
      <c r="E104" s="105">
        <f>F394</f>
        <v>0</v>
      </c>
      <c r="F104" s="16">
        <v>1490.514684388889</v>
      </c>
      <c r="G104" s="70">
        <f>Table5[[#This Row],[Probability]]*Table5[[#This Row],[Consequence]]</f>
        <v>1426.4360265151515</v>
      </c>
      <c r="H104" s="16">
        <f>RANK(Table5[[#This Row],[Risk Score]],$G$62:$G$312)</f>
        <v>191</v>
      </c>
      <c r="I104" s="16">
        <f>VLOOKUP(C104,Table1[[#All],[RC]:[Total Internal Corrosion Score]],27,FALSE)</f>
        <v>34.166666666666664</v>
      </c>
      <c r="J104" s="16">
        <f>RANK(Table5[[#This Row],[INTERNAL CORROSION]],$I$62:$I$312)</f>
        <v>8</v>
      </c>
      <c r="K104" s="16">
        <f>VLOOKUP(C104,Ext.Mo!$C$2:$AK$326,35,FALSE)</f>
        <v>19.493670000000002</v>
      </c>
      <c r="L104" s="16">
        <f>RANK(Table5[[#This Row],[EXTERNAL CORROSION]],$K$62:$K$312)</f>
        <v>3</v>
      </c>
      <c r="M104" s="16">
        <f>VLOOKUP(Table5[[#This Row],[RC]],Table3[[RC]:[Total TPI Score10]],23,0)</f>
        <v>40.454545454545453</v>
      </c>
      <c r="N104" s="16">
        <f>RANK(Table5[[#This Row],[THIRD PARTY INTERFERENCE]],$M$62:$M$312)</f>
        <v>224</v>
      </c>
      <c r="O104" s="16">
        <f>VLOOKUP(Table5[[#This Row],[RC]],LGS_Mo.!$C$5:$P$322,14,0)</f>
        <v>20</v>
      </c>
      <c r="P104" s="16">
        <f>RANK(Table5[[#This Row],[Loss  of ground support]],$O$62:$O$312)</f>
        <v>15</v>
      </c>
      <c r="Q104" s="16">
        <f>(I104+K104+M104+Table5[[#This Row],[Loss  of ground support]])/4</f>
        <v>28.52872053030303</v>
      </c>
      <c r="R104" s="16">
        <f>VLOOKUP(C104,consequence!$B$2:$K$302,10,FALSE)</f>
        <v>3</v>
      </c>
      <c r="S104" s="16">
        <f>VLOOKUP(C104,consequence!B202:$K$302,9,FALSE)</f>
        <v>7</v>
      </c>
      <c r="T104" s="63">
        <f t="shared" si="6"/>
        <v>50</v>
      </c>
      <c r="U104" s="69">
        <f>RANK(Table5[[#This Row],[Consequence]],$T$62:$T$264)</f>
        <v>1</v>
      </c>
      <c r="V104" s="16"/>
      <c r="X104" s="14">
        <f>J513</f>
        <v>0</v>
      </c>
      <c r="Y104" s="14">
        <v>19.493670886075947</v>
      </c>
    </row>
    <row r="105" spans="1:25" s="120" customFormat="1">
      <c r="A105" s="84" t="s">
        <v>986</v>
      </c>
      <c r="B105" s="84">
        <v>3</v>
      </c>
      <c r="C105" s="81">
        <v>3402103</v>
      </c>
      <c r="D105" s="82" t="s">
        <v>300</v>
      </c>
      <c r="E105" s="105">
        <f>F392</f>
        <v>0</v>
      </c>
      <c r="F105" s="16">
        <v>1490.514684388889</v>
      </c>
      <c r="G105" s="70">
        <f>Table5[[#This Row],[Probability]]*Table5[[#This Row],[Consequence]]</f>
        <v>1466.2087537878788</v>
      </c>
      <c r="H105" s="16">
        <f>RANK(Table5[[#This Row],[Risk Score]],$G$62:$G$312)</f>
        <v>23</v>
      </c>
      <c r="I105" s="16">
        <f>VLOOKUP(C105,Table1[[#All],[RC]:[Total Internal Corrosion Score]],27,FALSE)</f>
        <v>34.166666666666664</v>
      </c>
      <c r="J105" s="16">
        <f>RANK(Table5[[#This Row],[INTERNAL CORROSION]],$I$62:$I$312)</f>
        <v>8</v>
      </c>
      <c r="K105" s="16">
        <f>VLOOKUP(C105,Ext.Mo!$C$2:$AK$326,35,FALSE)</f>
        <v>19.493670000000002</v>
      </c>
      <c r="L105" s="16">
        <f>RANK(Table5[[#This Row],[EXTERNAL CORROSION]],$K$62:$K$312)</f>
        <v>3</v>
      </c>
      <c r="M105" s="16">
        <f>VLOOKUP(Table5[[#This Row],[RC]],Table3[[RC]:[Total TPI Score10]],23,0)</f>
        <v>43.63636363636364</v>
      </c>
      <c r="N105" s="120">
        <f>RANK(Table5[[#This Row],[THIRD PARTY INTERFERENCE]],$M$62:$M$312)</f>
        <v>2</v>
      </c>
      <c r="O105" s="120">
        <f>VLOOKUP(Table5[[#This Row],[RC]],LGS_Mo.!$C$5:$P$322,14,0)</f>
        <v>20</v>
      </c>
      <c r="P105" s="120">
        <f>RANK(Table5[[#This Row],[Loss  of ground support]],$O$62:$O$312)</f>
        <v>15</v>
      </c>
      <c r="Q105" s="120">
        <f>(I105+K105+M105+Table5[[#This Row],[Loss  of ground support]])/4</f>
        <v>29.324175075757577</v>
      </c>
      <c r="R105" s="120">
        <f>VLOOKUP(C105,consequence!$B$2:$K$302,10,FALSE)</f>
        <v>3</v>
      </c>
      <c r="S105" s="120">
        <f>VLOOKUP(C105,consequence!B200:$K$302,9,FALSE)</f>
        <v>7</v>
      </c>
      <c r="T105" s="121">
        <f t="shared" si="6"/>
        <v>50</v>
      </c>
      <c r="U105" s="122">
        <f>RANK(Table5[[#This Row],[Consequence]],$T$62:$T$264)</f>
        <v>1</v>
      </c>
      <c r="X105" s="14">
        <f>J511</f>
        <v>0</v>
      </c>
      <c r="Y105" s="14">
        <v>19.493670886075947</v>
      </c>
    </row>
    <row r="106" spans="1:25" s="120" customFormat="1">
      <c r="A106" s="84">
        <v>30</v>
      </c>
      <c r="B106" s="84">
        <v>3</v>
      </c>
      <c r="C106" s="81">
        <v>3402101</v>
      </c>
      <c r="D106" s="82" t="s">
        <v>298</v>
      </c>
      <c r="E106" s="105">
        <f>F390</f>
        <v>0</v>
      </c>
      <c r="F106" s="16">
        <v>1490.514684388889</v>
      </c>
      <c r="G106" s="70">
        <f>Table5[[#This Row],[Probability]]*Table5[[#This Row],[Consequence]]</f>
        <v>1466.2087537878788</v>
      </c>
      <c r="H106" s="16">
        <f>RANK(Table5[[#This Row],[Risk Score]],$G$62:$G$312)</f>
        <v>23</v>
      </c>
      <c r="I106" s="16">
        <f>VLOOKUP(C106,Table1[[#All],[RC]:[Total Internal Corrosion Score]],27,FALSE)</f>
        <v>34.166666666666664</v>
      </c>
      <c r="J106" s="16">
        <f>RANK(Table5[[#This Row],[INTERNAL CORROSION]],$I$62:$I$312)</f>
        <v>8</v>
      </c>
      <c r="K106" s="16">
        <f>VLOOKUP(C106,Ext.Mo!$C$2:$AK$326,35,FALSE)</f>
        <v>19.493670000000002</v>
      </c>
      <c r="L106" s="16">
        <f>RANK(Table5[[#This Row],[EXTERNAL CORROSION]],$K$62:$K$312)</f>
        <v>3</v>
      </c>
      <c r="M106" s="16">
        <f>VLOOKUP(Table5[[#This Row],[RC]],Table3[[RC]:[Total TPI Score10]],23,0)</f>
        <v>43.63636363636364</v>
      </c>
      <c r="N106" s="120">
        <f>RANK(Table5[[#This Row],[THIRD PARTY INTERFERENCE]],$M$62:$M$312)</f>
        <v>2</v>
      </c>
      <c r="O106" s="120">
        <f>VLOOKUP(Table5[[#This Row],[RC]],LGS_Mo.!$C$5:$P$322,14,0)</f>
        <v>20</v>
      </c>
      <c r="P106" s="120">
        <f>RANK(Table5[[#This Row],[Loss  of ground support]],$O$62:$O$312)</f>
        <v>15</v>
      </c>
      <c r="Q106" s="120">
        <f>(I106+K106+M106+Table5[[#This Row],[Loss  of ground support]])/4</f>
        <v>29.324175075757577</v>
      </c>
      <c r="R106" s="120">
        <f>VLOOKUP(C106,consequence!$B$2:$K$302,10,FALSE)</f>
        <v>3</v>
      </c>
      <c r="S106" s="120">
        <f>VLOOKUP(C106,consequence!B198:$K$302,9,FALSE)</f>
        <v>7</v>
      </c>
      <c r="T106" s="121">
        <f t="shared" si="6"/>
        <v>50</v>
      </c>
      <c r="U106" s="122">
        <f>RANK(Table5[[#This Row],[Consequence]],$T$62:$T$264)</f>
        <v>1</v>
      </c>
      <c r="X106" s="14">
        <f>J509</f>
        <v>0</v>
      </c>
      <c r="Y106" s="14">
        <v>19.493670886075947</v>
      </c>
    </row>
    <row r="107" spans="1:25" ht="25.5">
      <c r="A107" s="84">
        <v>31</v>
      </c>
      <c r="B107" s="84">
        <v>1</v>
      </c>
      <c r="C107" s="81">
        <v>402210001</v>
      </c>
      <c r="D107" s="82" t="s">
        <v>243</v>
      </c>
      <c r="E107" s="57">
        <f>E63</f>
        <v>0</v>
      </c>
      <c r="F107" s="16">
        <v>1490.514684388889</v>
      </c>
      <c r="G107" s="16">
        <f>Table5[[#This Row],[Probability]]*Table5[[#This Row],[Consequence]]</f>
        <v>1466.2087537878788</v>
      </c>
      <c r="H107" s="16">
        <f>RANK(Table5[[#This Row],[Risk Score]],$G$62:$G$312)</f>
        <v>23</v>
      </c>
      <c r="I107" s="16">
        <f>VLOOKUP(C107,Table1[[#All],[RC]:[Total Internal Corrosion Score]],27,FALSE)</f>
        <v>34.166666666666664</v>
      </c>
      <c r="J107" s="16">
        <f>RANK(Table5[[#This Row],[INTERNAL CORROSION]],$I$62:$I$312)</f>
        <v>8</v>
      </c>
      <c r="K107" s="16">
        <f>VLOOKUP(C107,Ext.Mo!$C$2:$AK$326,35,FALSE)</f>
        <v>19.493670000000002</v>
      </c>
      <c r="L107" s="16">
        <f>RANK(Table5[[#This Row],[EXTERNAL CORROSION]],$K$62:$K$312)</f>
        <v>3</v>
      </c>
      <c r="M107" s="16">
        <f>VLOOKUP(Table5[[#This Row],[RC]],Table3[[RC]:[Total TPI Score10]],23,0)</f>
        <v>43.63636363636364</v>
      </c>
      <c r="N107" s="16">
        <f>RANK(Table5[[#This Row],[THIRD PARTY INTERFERENCE]],$M$62:$M$312)</f>
        <v>2</v>
      </c>
      <c r="O107" s="16">
        <f>VLOOKUP(Table5[[#This Row],[RC]],LGS_Mo.!$C$5:$P$322,14,0)</f>
        <v>20</v>
      </c>
      <c r="P107" s="16">
        <f>RANK(Table5[[#This Row],[Loss  of ground support]],$O$62:$O$312)</f>
        <v>15</v>
      </c>
      <c r="Q107" s="16">
        <f>(I107+K107+M107+Table5[[#This Row],[Loss  of ground support]])/4</f>
        <v>29.324175075757577</v>
      </c>
      <c r="R107" s="16">
        <v>7</v>
      </c>
      <c r="S107" s="16">
        <v>3</v>
      </c>
      <c r="T107" s="16">
        <f t="shared" si="6"/>
        <v>50</v>
      </c>
      <c r="U107" s="16">
        <f>RANK(Table5[[#This Row],[Consequence]],$T$62:$T$264)</f>
        <v>1</v>
      </c>
      <c r="V107" s="16"/>
      <c r="X107" s="14">
        <f>J355</f>
        <v>0</v>
      </c>
      <c r="Y107" s="14">
        <v>19.493670886075947</v>
      </c>
    </row>
    <row r="108" spans="1:25">
      <c r="A108" s="84">
        <v>31</v>
      </c>
      <c r="B108" s="84">
        <v>1</v>
      </c>
      <c r="C108" s="81">
        <v>402210003</v>
      </c>
      <c r="D108" s="82" t="s">
        <v>244</v>
      </c>
      <c r="E108" s="57">
        <f>E107</f>
        <v>0</v>
      </c>
      <c r="F108" s="16">
        <v>1490.514684388889</v>
      </c>
      <c r="G108" s="16">
        <f>Table5[[#This Row],[Probability]]*Table5[[#This Row],[Consequence]]</f>
        <v>1466.2087537878788</v>
      </c>
      <c r="H108" s="16">
        <f>RANK(Table5[[#This Row],[Risk Score]],$G$62:$G$312)</f>
        <v>23</v>
      </c>
      <c r="I108" s="16">
        <f>VLOOKUP(C108,Table1[[#All],[RC]:[Total Internal Corrosion Score]],27,FALSE)</f>
        <v>34.166666666666664</v>
      </c>
      <c r="J108" s="16">
        <f>RANK(Table5[[#This Row],[INTERNAL CORROSION]],$I$62:$I$312)</f>
        <v>8</v>
      </c>
      <c r="K108" s="16">
        <f>VLOOKUP(C108,Ext.Mo!$C$2:$AK$326,35,FALSE)</f>
        <v>19.493670000000002</v>
      </c>
      <c r="L108" s="16">
        <f>RANK(Table5[[#This Row],[EXTERNAL CORROSION]],$K$62:$K$312)</f>
        <v>3</v>
      </c>
      <c r="M108" s="16">
        <f>VLOOKUP(Table5[[#This Row],[RC]],Table3[[RC]:[Total TPI Score10]],23,0)</f>
        <v>43.63636363636364</v>
      </c>
      <c r="N108" s="16">
        <f>RANK(Table5[[#This Row],[THIRD PARTY INTERFERENCE]],$M$62:$M$312)</f>
        <v>2</v>
      </c>
      <c r="O108" s="16">
        <f>VLOOKUP(Table5[[#This Row],[RC]],LGS_Mo.!$C$5:$P$322,14,0)</f>
        <v>20</v>
      </c>
      <c r="P108" s="16">
        <f>RANK(Table5[[#This Row],[Loss  of ground support]],$O$62:$O$312)</f>
        <v>15</v>
      </c>
      <c r="Q108" s="16">
        <f>(I108+K108+M108+Table5[[#This Row],[Loss  of ground support]])/4</f>
        <v>29.324175075757577</v>
      </c>
      <c r="R108" s="16">
        <v>7</v>
      </c>
      <c r="S108" s="16">
        <v>3</v>
      </c>
      <c r="T108" s="16">
        <f t="shared" si="6"/>
        <v>50</v>
      </c>
      <c r="U108" s="16">
        <f>RANK(Table5[[#This Row],[Consequence]],$T$62:$T$264)</f>
        <v>1</v>
      </c>
      <c r="V108" s="16"/>
      <c r="X108" s="14">
        <f>J356</f>
        <v>0</v>
      </c>
      <c r="Y108" s="14">
        <v>19.493670886075947</v>
      </c>
    </row>
    <row r="109" spans="1:25">
      <c r="A109" s="80">
        <v>32</v>
      </c>
      <c r="B109" s="80">
        <v>1</v>
      </c>
      <c r="C109" s="81">
        <v>4030301</v>
      </c>
      <c r="D109" s="82" t="s">
        <v>578</v>
      </c>
      <c r="E109" s="57">
        <f>E108</f>
        <v>0</v>
      </c>
      <c r="F109" s="16">
        <v>1490.514684388889</v>
      </c>
      <c r="G109" s="16">
        <f>Table5[[#This Row],[Probability]]*Table5[[#This Row],[Consequence]]</f>
        <v>1426.4360265151515</v>
      </c>
      <c r="H109" s="16">
        <f>RANK(Table5[[#This Row],[Risk Score]],$G$62:$G$312)</f>
        <v>191</v>
      </c>
      <c r="I109" s="16">
        <f>VLOOKUP(C109,Table1[[#All],[RC]:[Total Internal Corrosion Score]],27,FALSE)</f>
        <v>34.166666666666664</v>
      </c>
      <c r="J109" s="16">
        <f>RANK(Table5[[#This Row],[INTERNAL CORROSION]],$I$62:$I$312)</f>
        <v>8</v>
      </c>
      <c r="K109" s="16">
        <f>VLOOKUP(C109,Ext.Mo!$C$2:$AK$326,35,FALSE)</f>
        <v>19.493670000000002</v>
      </c>
      <c r="L109" s="16">
        <f>RANK(Table5[[#This Row],[EXTERNAL CORROSION]],$K$62:$K$312)</f>
        <v>3</v>
      </c>
      <c r="M109" s="16">
        <f>VLOOKUP(Table5[[#This Row],[RC]],Table3[[RC]:[Total TPI Score10]],23,0)</f>
        <v>40.454545454545453</v>
      </c>
      <c r="N109" s="16">
        <f>RANK(Table5[[#This Row],[THIRD PARTY INTERFERENCE]],$M$62:$M$312)</f>
        <v>224</v>
      </c>
      <c r="O109" s="16">
        <f>VLOOKUP(Table5[[#This Row],[RC]],LGS_Mo.!$C$5:$P$322,14,0)</f>
        <v>20</v>
      </c>
      <c r="P109" s="16">
        <f>RANK(Table5[[#This Row],[Loss  of ground support]],$O$62:$O$312)</f>
        <v>15</v>
      </c>
      <c r="Q109" s="16">
        <f>(I109+K109+M109+Table5[[#This Row],[Loss  of ground support]])/4</f>
        <v>28.52872053030303</v>
      </c>
      <c r="R109" s="16">
        <v>7</v>
      </c>
      <c r="S109" s="16">
        <v>3</v>
      </c>
      <c r="T109" s="16">
        <f t="shared" si="6"/>
        <v>50</v>
      </c>
      <c r="U109" s="16">
        <f>RANK(Table5[[#This Row],[Consequence]],$T$62:$T$264)</f>
        <v>1</v>
      </c>
      <c r="V109" s="16"/>
      <c r="X109" s="14">
        <f>J357</f>
        <v>0</v>
      </c>
      <c r="Y109" s="14">
        <v>19.493670886075947</v>
      </c>
    </row>
    <row r="110" spans="1:25">
      <c r="A110" s="80">
        <v>32</v>
      </c>
      <c r="B110" s="80">
        <v>1</v>
      </c>
      <c r="C110" s="81">
        <v>4052</v>
      </c>
      <c r="D110" s="82" t="s">
        <v>611</v>
      </c>
      <c r="E110" s="57">
        <f>E178</f>
        <v>0</v>
      </c>
      <c r="F110" s="16">
        <v>1490.514684388889</v>
      </c>
      <c r="G110" s="16">
        <f>Table5[[#This Row],[Probability]]*Table5[[#This Row],[Consequence]]</f>
        <v>1466.2087537878788</v>
      </c>
      <c r="H110" s="16">
        <f>RANK(Table5[[#This Row],[Risk Score]],$G$62:$G$312)</f>
        <v>23</v>
      </c>
      <c r="I110" s="16">
        <f>VLOOKUP(C110,Table1[[#All],[RC]:[Total Internal Corrosion Score]],27,FALSE)</f>
        <v>34.166666666666664</v>
      </c>
      <c r="J110" s="16">
        <f>RANK(Table5[[#This Row],[INTERNAL CORROSION]],$I$62:$I$312)</f>
        <v>8</v>
      </c>
      <c r="K110" s="16">
        <f>VLOOKUP(C110,Ext.Mo!$C$2:$AK$326,35,FALSE)</f>
        <v>19.493670000000002</v>
      </c>
      <c r="L110" s="16">
        <f>RANK(Table5[[#This Row],[EXTERNAL CORROSION]],$K$62:$K$312)</f>
        <v>3</v>
      </c>
      <c r="M110" s="16">
        <f>VLOOKUP(Table5[[#This Row],[RC]],Table3[[RC]:[Total TPI Score10]],23,0)</f>
        <v>43.63636363636364</v>
      </c>
      <c r="N110" s="16">
        <f>RANK(Table5[[#This Row],[THIRD PARTY INTERFERENCE]],$M$62:$M$312)</f>
        <v>2</v>
      </c>
      <c r="O110" s="16">
        <f>VLOOKUP(Table5[[#This Row],[RC]],LGS_Mo.!$C$5:$P$322,14,0)</f>
        <v>20</v>
      </c>
      <c r="P110" s="16">
        <f>RANK(Table5[[#This Row],[Loss  of ground support]],$O$62:$O$312)</f>
        <v>15</v>
      </c>
      <c r="Q110" s="16">
        <f>(I110+K110+M110+Table5[[#This Row],[Loss  of ground support]])/4</f>
        <v>29.324175075757577</v>
      </c>
      <c r="R110" s="16">
        <v>7</v>
      </c>
      <c r="S110" s="16">
        <v>3</v>
      </c>
      <c r="T110" s="16">
        <f t="shared" si="6"/>
        <v>50</v>
      </c>
      <c r="U110" s="16">
        <f>RANK(Table5[[#This Row],[Consequence]],$T$62:$T$264)</f>
        <v>1</v>
      </c>
      <c r="V110" s="16"/>
      <c r="X110" s="14">
        <f>J359</f>
        <v>0</v>
      </c>
      <c r="Y110" s="14">
        <v>19.493670886075947</v>
      </c>
    </row>
    <row r="111" spans="1:25">
      <c r="A111" s="80">
        <v>32</v>
      </c>
      <c r="B111" s="80">
        <v>1</v>
      </c>
      <c r="C111" s="81">
        <v>56051101</v>
      </c>
      <c r="D111" s="82" t="s">
        <v>576</v>
      </c>
      <c r="E111" s="57" t="e">
        <f>E207</f>
        <v>#REF!</v>
      </c>
      <c r="F111" s="16">
        <v>1490.514684388889</v>
      </c>
      <c r="G111" s="16">
        <f>Table5[[#This Row],[Probability]]*Table5[[#This Row],[Consequence]]</f>
        <v>1466.2087537878788</v>
      </c>
      <c r="H111" s="16">
        <f>RANK(Table5[[#This Row],[Risk Score]],$G$62:$G$312)</f>
        <v>23</v>
      </c>
      <c r="I111" s="16">
        <f>VLOOKUP(C111,Table1[[#All],[RC]:[Total Internal Corrosion Score]],27,FALSE)</f>
        <v>34.166666666666664</v>
      </c>
      <c r="J111" s="16">
        <f>RANK(Table5[[#This Row],[INTERNAL CORROSION]],$I$62:$I$312)</f>
        <v>8</v>
      </c>
      <c r="K111" s="16">
        <f>VLOOKUP(C111,Ext.Mo!$C$2:$AK$326,35,FALSE)</f>
        <v>19.493670000000002</v>
      </c>
      <c r="L111" s="16">
        <f>RANK(Table5[[#This Row],[EXTERNAL CORROSION]],$K$62:$K$312)</f>
        <v>3</v>
      </c>
      <c r="M111" s="16">
        <f>VLOOKUP(Table5[[#This Row],[RC]],Table3[[RC]:[Total TPI Score10]],23,0)</f>
        <v>43.63636363636364</v>
      </c>
      <c r="N111" s="16">
        <f>RANK(Table5[[#This Row],[THIRD PARTY INTERFERENCE]],$M$62:$M$312)</f>
        <v>2</v>
      </c>
      <c r="O111" s="16">
        <f>VLOOKUP(Table5[[#This Row],[RC]],LGS_Mo.!$C$5:$P$322,14,0)</f>
        <v>20</v>
      </c>
      <c r="P111" s="16">
        <f>RANK(Table5[[#This Row],[Loss  of ground support]],$O$62:$O$312)</f>
        <v>15</v>
      </c>
      <c r="Q111" s="16">
        <f>(I111+K111+M111+Table5[[#This Row],[Loss  of ground support]])/4</f>
        <v>29.324175075757577</v>
      </c>
      <c r="R111" s="16">
        <v>7</v>
      </c>
      <c r="S111" s="16">
        <v>3</v>
      </c>
      <c r="T111" s="16">
        <f t="shared" si="6"/>
        <v>50</v>
      </c>
      <c r="U111" s="16">
        <f>RANK(Table5[[#This Row],[Consequence]],$T$62:$T$264)</f>
        <v>1</v>
      </c>
      <c r="V111" s="16"/>
      <c r="X111" s="14">
        <f>J373</f>
        <v>0</v>
      </c>
      <c r="Y111" s="14">
        <v>19.493670886075947</v>
      </c>
    </row>
    <row r="112" spans="1:25">
      <c r="A112" s="84">
        <v>33</v>
      </c>
      <c r="B112" s="84">
        <v>9</v>
      </c>
      <c r="C112" s="81">
        <v>6531</v>
      </c>
      <c r="D112" s="82" t="s">
        <v>344</v>
      </c>
      <c r="E112" s="105">
        <f t="shared" ref="E112:E134" si="9">F471</f>
        <v>0</v>
      </c>
      <c r="F112" s="16">
        <v>1490.514684388889</v>
      </c>
      <c r="G112" s="70">
        <f>Table5[[#This Row],[Probability]]*Table5[[#This Row],[Consequence]]</f>
        <v>1642.0214806290755</v>
      </c>
      <c r="H112" s="16">
        <f>RANK(Table5[[#This Row],[Risk Score]],$G$62:$G$312)</f>
        <v>15</v>
      </c>
      <c r="I112" s="16">
        <f>VLOOKUP(C112,Table1[[#All],[RC]:[Total Internal Corrosion Score]],27,FALSE)</f>
        <v>34.166666666666664</v>
      </c>
      <c r="J112" s="16">
        <f>RANK(Table5[[#This Row],[INTERNAL CORROSION]],$I$62:$I$312)</f>
        <v>8</v>
      </c>
      <c r="K112" s="16">
        <f>VLOOKUP(C112,Ext.Mo!$C$2:$AK$326,35,FALSE)</f>
        <v>36.74050632911392</v>
      </c>
      <c r="L112" s="16">
        <f>RANK(Table5[[#This Row],[EXTERNAL CORROSION]],$K$62:$K$312)</f>
        <v>1</v>
      </c>
      <c r="M112" s="16">
        <f>VLOOKUP(Table5[[#This Row],[RC]],Table3[[RC]:[Total TPI Score10]],23,0)</f>
        <v>40.454545454545453</v>
      </c>
      <c r="N112" s="9">
        <f>RANK(Table5[[#This Row],[THIRD PARTY INTERFERENCE]],$M$62:$M$312)</f>
        <v>224</v>
      </c>
      <c r="O112" s="9">
        <f>VLOOKUP(Table5[[#This Row],[RC]],LGS_Mo.!$C$5:$P$322,14,0)</f>
        <v>20</v>
      </c>
      <c r="P112" s="9">
        <f>RANK(Table5[[#This Row],[Loss  of ground support]],$O$62:$O$312)</f>
        <v>15</v>
      </c>
      <c r="Q112" s="9">
        <f>(I112+K112+M112+Table5[[#This Row],[Loss  of ground support]])/4</f>
        <v>32.840429612581509</v>
      </c>
      <c r="R112" s="9">
        <f>VLOOKUP(C112,consequence!$B$2:$K$302,10,FALSE)</f>
        <v>3</v>
      </c>
      <c r="S112" s="9">
        <f>VLOOKUP(C112,consequence!B261:$K$302,9,FALSE)</f>
        <v>7</v>
      </c>
      <c r="T112" s="9">
        <f t="shared" si="6"/>
        <v>50</v>
      </c>
      <c r="U112" s="116">
        <f>RANK(Table5[[#This Row],[Consequence]],$T$62:$T$264)</f>
        <v>1</v>
      </c>
      <c r="V112" s="9"/>
      <c r="X112" s="14">
        <f t="shared" ref="X112:X134" si="10">J590</f>
        <v>0</v>
      </c>
      <c r="Y112" s="14">
        <v>19.493670886075947</v>
      </c>
    </row>
    <row r="113" spans="1:25" s="9" customFormat="1">
      <c r="A113" s="84">
        <v>33</v>
      </c>
      <c r="B113" s="80">
        <v>9</v>
      </c>
      <c r="C113" s="81">
        <v>653100001</v>
      </c>
      <c r="D113" s="82"/>
      <c r="E113" s="105">
        <f t="shared" si="9"/>
        <v>0</v>
      </c>
      <c r="F113" s="16">
        <v>1490.514684388889</v>
      </c>
      <c r="G113" s="70">
        <f>Table5[[#This Row],[Probability]]*Table5[[#This Row],[Consequence]]</f>
        <v>1444.4524357499042</v>
      </c>
      <c r="H113" s="16">
        <f>RANK(Table5[[#This Row],[Risk Score]],$G$62:$G$312)</f>
        <v>169</v>
      </c>
      <c r="I113" s="16">
        <f>VLOOKUP(C113,Table1[[#All],[RC]:[Total Internal Corrosion Score]],27,FALSE)</f>
        <v>34.166666666666664</v>
      </c>
      <c r="J113" s="16">
        <f>RANK(Table5[[#This Row],[INTERNAL CORROSION]],$I$62:$I$312)</f>
        <v>8</v>
      </c>
      <c r="K113" s="16">
        <f>VLOOKUP(C113,Ext.Mo!$C$2:$AK$326,35,FALSE)</f>
        <v>17.753164556962023</v>
      </c>
      <c r="L113" s="16">
        <f>RANK(Table5[[#This Row],[EXTERNAL CORROSION]],$K$62:$K$312)</f>
        <v>172</v>
      </c>
      <c r="M113" s="16">
        <f>VLOOKUP(Table5[[#This Row],[RC]],Table3[[RC]:[Total TPI Score10]],23,0)</f>
        <v>43.63636363636364</v>
      </c>
      <c r="N113" s="16">
        <f>RANK(Table5[[#This Row],[THIRD PARTY INTERFERENCE]],$M$62:$M$312)</f>
        <v>2</v>
      </c>
      <c r="O113" s="16">
        <f>VLOOKUP(Table5[[#This Row],[RC]],LGS_Mo.!$C$5:$P$322,14,0)</f>
        <v>20</v>
      </c>
      <c r="P113" s="16">
        <f>RANK(Table5[[#This Row],[Loss  of ground support]],$O$62:$O$312)</f>
        <v>15</v>
      </c>
      <c r="Q113" s="16">
        <f>(I113+K113+M113+Table5[[#This Row],[Loss  of ground support]])/4</f>
        <v>28.889048714998083</v>
      </c>
      <c r="R113" s="16">
        <f>VLOOKUP(C113,consequence!$B$2:$K$302,10,FALSE)</f>
        <v>3</v>
      </c>
      <c r="S113" s="16">
        <f>VLOOKUP(C113,consequence!B262:$K$302,9,FALSE)</f>
        <v>7</v>
      </c>
      <c r="T113" s="63">
        <f t="shared" si="6"/>
        <v>50</v>
      </c>
      <c r="U113" s="69">
        <f>RANK(Table5[[#This Row],[Consequence]],$T$62:$T$264)</f>
        <v>1</v>
      </c>
      <c r="V113" s="16"/>
      <c r="X113" s="14">
        <f t="shared" si="10"/>
        <v>0</v>
      </c>
      <c r="Y113" s="14">
        <v>19.493670886075947</v>
      </c>
    </row>
    <row r="114" spans="1:25">
      <c r="A114" s="84">
        <v>33</v>
      </c>
      <c r="B114" s="80">
        <v>9</v>
      </c>
      <c r="C114" s="81">
        <v>65311</v>
      </c>
      <c r="D114" s="82" t="s">
        <v>817</v>
      </c>
      <c r="E114" s="105">
        <f t="shared" si="9"/>
        <v>0</v>
      </c>
      <c r="F114" s="16">
        <v>1490.514684388889</v>
      </c>
      <c r="G114" s="70">
        <f>Table5[[#This Row],[Probability]]*Table5[[#This Row],[Consequence]]</f>
        <v>1404.6797084771767</v>
      </c>
      <c r="H114" s="16">
        <f>RANK(Table5[[#This Row],[Risk Score]],$G$62:$G$312)</f>
        <v>241</v>
      </c>
      <c r="I114" s="16">
        <f>VLOOKUP(C114,Table1[[#All],[RC]:[Total Internal Corrosion Score]],27,FALSE)</f>
        <v>34.166666666666664</v>
      </c>
      <c r="J114" s="16">
        <f>RANK(Table5[[#This Row],[INTERNAL CORROSION]],$I$62:$I$312)</f>
        <v>8</v>
      </c>
      <c r="K114" s="16">
        <f>VLOOKUP(C114,Ext.Mo!$C$2:$AK$326,35,FALSE)</f>
        <v>17.753164556962023</v>
      </c>
      <c r="L114" s="16">
        <f>RANK(Table5[[#This Row],[EXTERNAL CORROSION]],$K$62:$K$312)</f>
        <v>172</v>
      </c>
      <c r="M114" s="16">
        <f>VLOOKUP(Table5[[#This Row],[RC]],Table3[[RC]:[Total TPI Score10]],23,0)</f>
        <v>40.454545454545453</v>
      </c>
      <c r="N114" s="9">
        <f>RANK(Table5[[#This Row],[THIRD PARTY INTERFERENCE]],$M$62:$M$312)</f>
        <v>224</v>
      </c>
      <c r="O114" s="9">
        <f>VLOOKUP(Table5[[#This Row],[RC]],LGS_Mo.!$C$5:$P$322,14,0)</f>
        <v>20</v>
      </c>
      <c r="P114" s="9">
        <f>RANK(Table5[[#This Row],[Loss  of ground support]],$O$62:$O$312)</f>
        <v>15</v>
      </c>
      <c r="Q114" s="9">
        <f>(I114+K114+M114+Table5[[#This Row],[Loss  of ground support]])/4</f>
        <v>28.093594169543536</v>
      </c>
      <c r="R114" s="9">
        <f>VLOOKUP(C114,consequence!$B$2:$K$302,10,FALSE)</f>
        <v>3</v>
      </c>
      <c r="S114" s="9">
        <f>VLOOKUP(C114,consequence!B263:$K$302,9,FALSE)</f>
        <v>7</v>
      </c>
      <c r="T114" s="9">
        <f t="shared" si="6"/>
        <v>50</v>
      </c>
      <c r="U114" s="116">
        <f>RANK(Table5[[#This Row],[Consequence]],$T$62:$T$264)</f>
        <v>1</v>
      </c>
      <c r="V114" s="9"/>
      <c r="X114" s="14">
        <f t="shared" si="10"/>
        <v>0</v>
      </c>
      <c r="Y114" s="14">
        <v>19.493670886075947</v>
      </c>
    </row>
    <row r="115" spans="1:25">
      <c r="A115" s="84">
        <v>33</v>
      </c>
      <c r="B115" s="80">
        <v>9</v>
      </c>
      <c r="C115" s="81">
        <v>653110101</v>
      </c>
      <c r="D115" s="82" t="s">
        <v>823</v>
      </c>
      <c r="E115" s="105">
        <f t="shared" si="9"/>
        <v>0</v>
      </c>
      <c r="F115" s="16">
        <v>1490.514684388889</v>
      </c>
      <c r="G115" s="70">
        <f>Table5[[#This Row],[Probability]]*Table5[[#This Row],[Consequence]]</f>
        <v>1819.4524357499042</v>
      </c>
      <c r="H115" s="16">
        <f>RANK(Table5[[#This Row],[Risk Score]],$G$62:$G$312)</f>
        <v>2</v>
      </c>
      <c r="I115" s="16">
        <f>VLOOKUP(C115,Table1[[#All],[RC]:[Total Internal Corrosion Score]],27,FALSE)</f>
        <v>34.166666666666664</v>
      </c>
      <c r="J115" s="16">
        <f>RANK(Table5[[#This Row],[INTERNAL CORROSION]],$I$62:$I$312)</f>
        <v>8</v>
      </c>
      <c r="K115" s="16">
        <f>VLOOKUP(C115,Ext.Mo!$C$2:$AK$326,35,FALSE)</f>
        <v>17.753164556962023</v>
      </c>
      <c r="L115" s="16">
        <f>RANK(Table5[[#This Row],[EXTERNAL CORROSION]],$K$62:$K$312)</f>
        <v>172</v>
      </c>
      <c r="M115" s="16">
        <f>VLOOKUP(Table5[[#This Row],[RC]],Table3[[RC]:[Total TPI Score10]],23,0)</f>
        <v>43.63636363636364</v>
      </c>
      <c r="N115" s="9">
        <f>RANK(Table5[[#This Row],[THIRD PARTY INTERFERENCE]],$M$62:$M$312)</f>
        <v>2</v>
      </c>
      <c r="O115" s="9">
        <f>VLOOKUP(Table5[[#This Row],[RC]],LGS_Mo.!$C$5:$P$322,14,0)</f>
        <v>50</v>
      </c>
      <c r="P115" s="9">
        <f>RANK(Table5[[#This Row],[Loss  of ground support]],$O$62:$O$312)</f>
        <v>1</v>
      </c>
      <c r="Q115" s="9">
        <f>(I115+K115+M115+Table5[[#This Row],[Loss  of ground support]])/4</f>
        <v>36.389048714998083</v>
      </c>
      <c r="R115" s="9">
        <f>VLOOKUP(C115,consequence!$B$2:$K$302,10,FALSE)</f>
        <v>3</v>
      </c>
      <c r="S115" s="9">
        <f>VLOOKUP(C115,consequence!B264:$K$302,9,FALSE)</f>
        <v>7</v>
      </c>
      <c r="T115" s="115">
        <f t="shared" si="6"/>
        <v>50</v>
      </c>
      <c r="U115" s="116">
        <f>RANK(Table5[[#This Row],[Consequence]],$T$62:$T$264)</f>
        <v>1</v>
      </c>
      <c r="V115" s="9"/>
      <c r="X115" s="14">
        <f t="shared" si="10"/>
        <v>0</v>
      </c>
      <c r="Y115" s="14">
        <v>19.493670886075947</v>
      </c>
    </row>
    <row r="116" spans="1:25">
      <c r="A116" s="84">
        <v>33</v>
      </c>
      <c r="B116" s="80">
        <v>9</v>
      </c>
      <c r="C116" s="81">
        <v>653110103</v>
      </c>
      <c r="D116" s="82" t="s">
        <v>826</v>
      </c>
      <c r="E116" s="105">
        <f t="shared" si="9"/>
        <v>0</v>
      </c>
      <c r="F116" s="16">
        <v>1490.514684388889</v>
      </c>
      <c r="G116" s="70">
        <f>Table5[[#This Row],[Probability]]*Table5[[#This Row],[Consequence]]</f>
        <v>1444.4524357499042</v>
      </c>
      <c r="H116" s="16">
        <f>RANK(Table5[[#This Row],[Risk Score]],$G$62:$G$312)</f>
        <v>169</v>
      </c>
      <c r="I116" s="16">
        <f>VLOOKUP(C116,Table1[[#All],[RC]:[Total Internal Corrosion Score]],27,FALSE)</f>
        <v>34.166666666666664</v>
      </c>
      <c r="J116" s="16">
        <f>RANK(Table5[[#This Row],[INTERNAL CORROSION]],$I$62:$I$312)</f>
        <v>8</v>
      </c>
      <c r="K116" s="16">
        <f>VLOOKUP(C116,Ext.Mo!$C$2:$AK$326,35,FALSE)</f>
        <v>17.753164556962023</v>
      </c>
      <c r="L116" s="16">
        <f>RANK(Table5[[#This Row],[EXTERNAL CORROSION]],$K$62:$K$312)</f>
        <v>172</v>
      </c>
      <c r="M116" s="16">
        <f>VLOOKUP(Table5[[#This Row],[RC]],Table3[[RC]:[Total TPI Score10]],23,0)</f>
        <v>43.63636363636364</v>
      </c>
      <c r="N116" s="16">
        <f>RANK(Table5[[#This Row],[THIRD PARTY INTERFERENCE]],$M$62:$M$312)</f>
        <v>2</v>
      </c>
      <c r="O116" s="16">
        <f>VLOOKUP(Table5[[#This Row],[RC]],LGS_Mo.!$C$5:$P$322,14,0)</f>
        <v>20</v>
      </c>
      <c r="P116" s="16">
        <f>RANK(Table5[[#This Row],[Loss  of ground support]],$O$62:$O$312)</f>
        <v>15</v>
      </c>
      <c r="Q116" s="16">
        <f>(I116+K116+M116+Table5[[#This Row],[Loss  of ground support]])/4</f>
        <v>28.889048714998083</v>
      </c>
      <c r="R116" s="16">
        <f>VLOOKUP(C116,consequence!$B$2:$K$302,10,FALSE)</f>
        <v>3</v>
      </c>
      <c r="S116" s="16">
        <f>VLOOKUP(C116,consequence!B265:$K$302,9,FALSE)</f>
        <v>7</v>
      </c>
      <c r="T116" s="16">
        <f t="shared" si="6"/>
        <v>50</v>
      </c>
      <c r="U116" s="69">
        <f>RANK(Table5[[#This Row],[Consequence]],$T$62:$T$264)</f>
        <v>1</v>
      </c>
      <c r="V116" s="16"/>
      <c r="X116" s="14">
        <f t="shared" si="10"/>
        <v>0</v>
      </c>
      <c r="Y116" s="14">
        <v>19.493670886075947</v>
      </c>
    </row>
    <row r="117" spans="1:25">
      <c r="A117" s="84">
        <v>33</v>
      </c>
      <c r="B117" s="80">
        <v>9</v>
      </c>
      <c r="C117" s="81">
        <v>653110104</v>
      </c>
      <c r="D117" s="82" t="s">
        <v>828</v>
      </c>
      <c r="E117" s="105">
        <f t="shared" si="9"/>
        <v>0</v>
      </c>
      <c r="F117" s="16">
        <v>1490.514684388889</v>
      </c>
      <c r="G117" s="70">
        <f>Table5[[#This Row],[Probability]]*Table5[[#This Row],[Consequence]]</f>
        <v>1444.4524357499042</v>
      </c>
      <c r="H117" s="16">
        <f>RANK(Table5[[#This Row],[Risk Score]],$G$62:$G$312)</f>
        <v>169</v>
      </c>
      <c r="I117" s="16">
        <f>VLOOKUP(C117,Table1[[#All],[RC]:[Total Internal Corrosion Score]],27,FALSE)</f>
        <v>34.166666666666664</v>
      </c>
      <c r="J117" s="16">
        <f>RANK(Table5[[#This Row],[INTERNAL CORROSION]],$I$62:$I$312)</f>
        <v>8</v>
      </c>
      <c r="K117" s="16">
        <f>VLOOKUP(C117,Ext.Mo!$C$2:$AK$326,35,FALSE)</f>
        <v>17.753164556962023</v>
      </c>
      <c r="L117" s="16">
        <f>RANK(Table5[[#This Row],[EXTERNAL CORROSION]],$K$62:$K$312)</f>
        <v>172</v>
      </c>
      <c r="M117" s="16">
        <f>VLOOKUP(Table5[[#This Row],[RC]],Table3[[RC]:[Total TPI Score10]],23,0)</f>
        <v>43.63636363636364</v>
      </c>
      <c r="N117" s="16">
        <f>RANK(Table5[[#This Row],[THIRD PARTY INTERFERENCE]],$M$62:$M$312)</f>
        <v>2</v>
      </c>
      <c r="O117" s="16">
        <f>VLOOKUP(Table5[[#This Row],[RC]],LGS_Mo.!$C$5:$P$322,14,0)</f>
        <v>20</v>
      </c>
      <c r="P117" s="16">
        <f>RANK(Table5[[#This Row],[Loss  of ground support]],$O$62:$O$312)</f>
        <v>15</v>
      </c>
      <c r="Q117" s="16">
        <f>(I117+K117+M117+Table5[[#This Row],[Loss  of ground support]])/4</f>
        <v>28.889048714998083</v>
      </c>
      <c r="R117" s="16">
        <f>VLOOKUP(C117,consequence!$B$2:$K$302,10,FALSE)</f>
        <v>3</v>
      </c>
      <c r="S117" s="16">
        <f>VLOOKUP(C117,consequence!B266:$K$302,9,FALSE)</f>
        <v>7</v>
      </c>
      <c r="T117" s="63">
        <f t="shared" si="6"/>
        <v>50</v>
      </c>
      <c r="U117" s="69">
        <f>RANK(Table5[[#This Row],[Consequence]],$T$62:$T$264)</f>
        <v>1</v>
      </c>
      <c r="V117" s="16"/>
      <c r="X117" s="14">
        <f t="shared" si="10"/>
        <v>0</v>
      </c>
      <c r="Y117" s="14">
        <v>19.493670886075947</v>
      </c>
    </row>
    <row r="118" spans="1:25">
      <c r="A118" s="84">
        <v>33</v>
      </c>
      <c r="B118" s="80">
        <v>9</v>
      </c>
      <c r="C118" s="81">
        <v>653110105</v>
      </c>
      <c r="D118" s="82" t="s">
        <v>830</v>
      </c>
      <c r="E118" s="105">
        <f t="shared" si="9"/>
        <v>0</v>
      </c>
      <c r="F118" s="16">
        <v>1490.514684388889</v>
      </c>
      <c r="G118" s="70">
        <f>Table5[[#This Row],[Probability]]*Table5[[#This Row],[Consequence]]</f>
        <v>1819.4524357499042</v>
      </c>
      <c r="H118" s="16">
        <f>RANK(Table5[[#This Row],[Risk Score]],$G$62:$G$312)</f>
        <v>2</v>
      </c>
      <c r="I118" s="16">
        <f>VLOOKUP(C118,Table1[[#All],[RC]:[Total Internal Corrosion Score]],27,FALSE)</f>
        <v>34.166666666666664</v>
      </c>
      <c r="J118" s="16">
        <f>RANK(Table5[[#This Row],[INTERNAL CORROSION]],$I$62:$I$312)</f>
        <v>8</v>
      </c>
      <c r="K118" s="16">
        <f>VLOOKUP(C118,Ext.Mo!$C$2:$AK$326,35,FALSE)</f>
        <v>17.753164556962023</v>
      </c>
      <c r="L118" s="16">
        <f>RANK(Table5[[#This Row],[EXTERNAL CORROSION]],$K$62:$K$312)</f>
        <v>172</v>
      </c>
      <c r="M118" s="16">
        <f>VLOOKUP(Table5[[#This Row],[RC]],Table3[[RC]:[Total TPI Score10]],23,0)</f>
        <v>43.63636363636364</v>
      </c>
      <c r="N118" s="16">
        <f>RANK(Table5[[#This Row],[THIRD PARTY INTERFERENCE]],$M$62:$M$312)</f>
        <v>2</v>
      </c>
      <c r="O118" s="16">
        <f>VLOOKUP(Table5[[#This Row],[RC]],LGS_Mo.!$C$5:$P$322,14,0)</f>
        <v>50</v>
      </c>
      <c r="P118" s="16">
        <f>RANK(Table5[[#This Row],[Loss  of ground support]],$O$62:$O$312)</f>
        <v>1</v>
      </c>
      <c r="Q118" s="16">
        <f>(I118+K118+M118+Table5[[#This Row],[Loss  of ground support]])/4</f>
        <v>36.389048714998083</v>
      </c>
      <c r="R118" s="16">
        <f>VLOOKUP(C118,consequence!$B$2:$K$302,10,FALSE)</f>
        <v>3</v>
      </c>
      <c r="S118" s="16">
        <f>VLOOKUP(C118,consequence!B267:$K$302,9,FALSE)</f>
        <v>7</v>
      </c>
      <c r="T118" s="16">
        <f t="shared" si="6"/>
        <v>50</v>
      </c>
      <c r="U118" s="69">
        <f>RANK(Table5[[#This Row],[Consequence]],$T$62:$T$264)</f>
        <v>1</v>
      </c>
      <c r="V118" s="16"/>
      <c r="X118" s="14">
        <f t="shared" si="10"/>
        <v>0</v>
      </c>
      <c r="Y118" s="14">
        <v>19.493670886075947</v>
      </c>
    </row>
    <row r="119" spans="1:25">
      <c r="A119" s="84">
        <v>33</v>
      </c>
      <c r="B119" s="80">
        <v>9</v>
      </c>
      <c r="C119" s="81">
        <v>653110106</v>
      </c>
      <c r="D119" s="82" t="s">
        <v>832</v>
      </c>
      <c r="E119" s="105">
        <f t="shared" si="9"/>
        <v>0</v>
      </c>
      <c r="F119" s="16">
        <v>1490.514684388889</v>
      </c>
      <c r="G119" s="70">
        <f>Table5[[#This Row],[Probability]]*Table5[[#This Row],[Consequence]]</f>
        <v>1819.4524357499042</v>
      </c>
      <c r="H119" s="16">
        <f>RANK(Table5[[#This Row],[Risk Score]],$G$62:$G$312)</f>
        <v>2</v>
      </c>
      <c r="I119" s="16">
        <f>VLOOKUP(C119,Table1[[#All],[RC]:[Total Internal Corrosion Score]],27,FALSE)</f>
        <v>34.166666666666664</v>
      </c>
      <c r="J119" s="16">
        <f>RANK(Table5[[#This Row],[INTERNAL CORROSION]],$I$62:$I$312)</f>
        <v>8</v>
      </c>
      <c r="K119" s="16">
        <f>VLOOKUP(C119,Ext.Mo!$C$2:$AK$326,35,FALSE)</f>
        <v>17.753164556962023</v>
      </c>
      <c r="L119" s="16">
        <f>RANK(Table5[[#This Row],[EXTERNAL CORROSION]],$K$62:$K$312)</f>
        <v>172</v>
      </c>
      <c r="M119" s="16">
        <f>VLOOKUP(Table5[[#This Row],[RC]],Table3[[RC]:[Total TPI Score10]],23,0)</f>
        <v>43.63636363636364</v>
      </c>
      <c r="N119" s="9">
        <f>RANK(Table5[[#This Row],[THIRD PARTY INTERFERENCE]],$M$62:$M$312)</f>
        <v>2</v>
      </c>
      <c r="O119" s="9">
        <f>VLOOKUP(Table5[[#This Row],[RC]],LGS_Mo.!$C$5:$P$322,14,0)</f>
        <v>50</v>
      </c>
      <c r="P119" s="9">
        <f>RANK(Table5[[#This Row],[Loss  of ground support]],$O$62:$O$312)</f>
        <v>1</v>
      </c>
      <c r="Q119" s="9">
        <f>(I119+K119+M119+Table5[[#This Row],[Loss  of ground support]])/4</f>
        <v>36.389048714998083</v>
      </c>
      <c r="R119" s="9">
        <f>VLOOKUP(C119,consequence!$B$2:$K$302,10,FALSE)</f>
        <v>3</v>
      </c>
      <c r="S119" s="9">
        <f>VLOOKUP(C119,consequence!B268:$K$302,9,FALSE)</f>
        <v>7</v>
      </c>
      <c r="T119" s="115">
        <f t="shared" si="6"/>
        <v>50</v>
      </c>
      <c r="U119" s="116">
        <f>RANK(Table5[[#This Row],[Consequence]],$T$62:$T$264)</f>
        <v>1</v>
      </c>
      <c r="V119" s="9"/>
      <c r="X119" s="14">
        <f t="shared" si="10"/>
        <v>0</v>
      </c>
      <c r="Y119" s="14">
        <v>19.493670886075947</v>
      </c>
    </row>
    <row r="120" spans="1:25">
      <c r="A120" s="84">
        <v>33</v>
      </c>
      <c r="B120" s="80">
        <v>9</v>
      </c>
      <c r="C120" s="81">
        <v>653110108</v>
      </c>
      <c r="D120" s="82" t="s">
        <v>834</v>
      </c>
      <c r="E120" s="105">
        <f t="shared" si="9"/>
        <v>0</v>
      </c>
      <c r="F120" s="16">
        <v>1490.514684388889</v>
      </c>
      <c r="G120" s="70">
        <f>Table5[[#This Row],[Probability]]*Table5[[#This Row],[Consequence]]</f>
        <v>1819.4524357499042</v>
      </c>
      <c r="H120" s="16">
        <f>RANK(Table5[[#This Row],[Risk Score]],$G$62:$G$312)</f>
        <v>2</v>
      </c>
      <c r="I120" s="16">
        <f>VLOOKUP(C120,Table1[[#All],[RC]:[Total Internal Corrosion Score]],27,FALSE)</f>
        <v>34.166666666666664</v>
      </c>
      <c r="J120" s="16">
        <f>RANK(Table5[[#This Row],[INTERNAL CORROSION]],$I$62:$I$312)</f>
        <v>8</v>
      </c>
      <c r="K120" s="16">
        <f>VLOOKUP(C120,Ext.Mo!$C$2:$AK$326,35,FALSE)</f>
        <v>17.753164556962023</v>
      </c>
      <c r="L120" s="16">
        <f>RANK(Table5[[#This Row],[EXTERNAL CORROSION]],$K$62:$K$312)</f>
        <v>172</v>
      </c>
      <c r="M120" s="16">
        <f>VLOOKUP(Table5[[#This Row],[RC]],Table3[[RC]:[Total TPI Score10]],23,0)</f>
        <v>43.63636363636364</v>
      </c>
      <c r="N120" s="16">
        <f>RANK(Table5[[#This Row],[THIRD PARTY INTERFERENCE]],$M$62:$M$312)</f>
        <v>2</v>
      </c>
      <c r="O120" s="16">
        <f>VLOOKUP(Table5[[#This Row],[RC]],LGS_Mo.!$C$5:$P$322,14,0)</f>
        <v>50</v>
      </c>
      <c r="P120" s="16">
        <f>RANK(Table5[[#This Row],[Loss  of ground support]],$O$62:$O$312)</f>
        <v>1</v>
      </c>
      <c r="Q120" s="16">
        <f>(I120+K120+M120+Table5[[#This Row],[Loss  of ground support]])/4</f>
        <v>36.389048714998083</v>
      </c>
      <c r="R120" s="16">
        <f>VLOOKUP(C120,consequence!$B$2:$K$302,10,FALSE)</f>
        <v>3</v>
      </c>
      <c r="S120" s="16">
        <f>VLOOKUP(C120,consequence!B269:$K$302,9,FALSE)</f>
        <v>7</v>
      </c>
      <c r="T120" s="16">
        <f t="shared" si="6"/>
        <v>50</v>
      </c>
      <c r="U120" s="69">
        <f>RANK(Table5[[#This Row],[Consequence]],$T$62:$T$264)</f>
        <v>1</v>
      </c>
      <c r="V120" s="16"/>
      <c r="X120" s="14">
        <f t="shared" si="10"/>
        <v>0</v>
      </c>
      <c r="Y120" s="14">
        <v>19.493670886075947</v>
      </c>
    </row>
    <row r="121" spans="1:25">
      <c r="A121" s="84">
        <v>33</v>
      </c>
      <c r="B121" s="80">
        <v>9</v>
      </c>
      <c r="C121" s="81">
        <v>653110109</v>
      </c>
      <c r="D121" s="82" t="s">
        <v>836</v>
      </c>
      <c r="E121" s="105">
        <f t="shared" si="9"/>
        <v>0</v>
      </c>
      <c r="F121" s="16">
        <v>1490.514684388889</v>
      </c>
      <c r="G121" s="70">
        <f>Table5[[#This Row],[Probability]]*Table5[[#This Row],[Consequence]]</f>
        <v>1444.4524357499042</v>
      </c>
      <c r="H121" s="16">
        <f>RANK(Table5[[#This Row],[Risk Score]],$G$62:$G$312)</f>
        <v>169</v>
      </c>
      <c r="I121" s="16">
        <f>VLOOKUP(C121,Table1[[#All],[RC]:[Total Internal Corrosion Score]],27,FALSE)</f>
        <v>34.166666666666664</v>
      </c>
      <c r="J121" s="16">
        <f>RANK(Table5[[#This Row],[INTERNAL CORROSION]],$I$62:$I$312)</f>
        <v>8</v>
      </c>
      <c r="K121" s="16">
        <f>VLOOKUP(C121,Ext.Mo!$C$2:$AK$326,35,FALSE)</f>
        <v>17.753164556962023</v>
      </c>
      <c r="L121" s="16">
        <f>RANK(Table5[[#This Row],[EXTERNAL CORROSION]],$K$62:$K$312)</f>
        <v>172</v>
      </c>
      <c r="M121" s="16">
        <f>VLOOKUP(Table5[[#This Row],[RC]],Table3[[RC]:[Total TPI Score10]],23,0)</f>
        <v>43.63636363636364</v>
      </c>
      <c r="N121" s="16">
        <f>RANK(Table5[[#This Row],[THIRD PARTY INTERFERENCE]],$M$62:$M$312)</f>
        <v>2</v>
      </c>
      <c r="O121" s="16">
        <f>VLOOKUP(Table5[[#This Row],[RC]],LGS_Mo.!$C$5:$P$322,14,0)</f>
        <v>20</v>
      </c>
      <c r="P121" s="16">
        <f>RANK(Table5[[#This Row],[Loss  of ground support]],$O$62:$O$312)</f>
        <v>15</v>
      </c>
      <c r="Q121" s="16">
        <f>(I121+K121+M121+Table5[[#This Row],[Loss  of ground support]])/4</f>
        <v>28.889048714998083</v>
      </c>
      <c r="R121" s="16">
        <f>VLOOKUP(C121,consequence!$B$2:$K$302,10,FALSE)</f>
        <v>3</v>
      </c>
      <c r="S121" s="16">
        <f>VLOOKUP(C121,consequence!B270:$K$302,9,FALSE)</f>
        <v>7</v>
      </c>
      <c r="T121" s="63">
        <f t="shared" si="6"/>
        <v>50</v>
      </c>
      <c r="U121" s="69">
        <f>RANK(Table5[[#This Row],[Consequence]],$T$62:$T$264)</f>
        <v>1</v>
      </c>
      <c r="V121" s="16"/>
      <c r="X121" s="14">
        <f t="shared" si="10"/>
        <v>0</v>
      </c>
      <c r="Y121" s="14">
        <v>19.493670886075947</v>
      </c>
    </row>
    <row r="122" spans="1:25">
      <c r="A122" s="84">
        <v>33</v>
      </c>
      <c r="B122" s="80">
        <v>9</v>
      </c>
      <c r="C122" s="81">
        <v>653110110</v>
      </c>
      <c r="D122" s="82" t="s">
        <v>838</v>
      </c>
      <c r="E122" s="105">
        <f t="shared" si="9"/>
        <v>0</v>
      </c>
      <c r="F122" s="16">
        <v>1490.514684388889</v>
      </c>
      <c r="G122" s="70">
        <f>Table5[[#This Row],[Probability]]*Table5[[#This Row],[Consequence]]</f>
        <v>1819.4524357499042</v>
      </c>
      <c r="H122" s="16">
        <f>RANK(Table5[[#This Row],[Risk Score]],$G$62:$G$312)</f>
        <v>2</v>
      </c>
      <c r="I122" s="16">
        <f>VLOOKUP(C122,Table1[[#All],[RC]:[Total Internal Corrosion Score]],27,FALSE)</f>
        <v>34.166666666666664</v>
      </c>
      <c r="J122" s="16">
        <f>RANK(Table5[[#This Row],[INTERNAL CORROSION]],$I$62:$I$312)</f>
        <v>8</v>
      </c>
      <c r="K122" s="16">
        <f>VLOOKUP(C122,Ext.Mo!$C$2:$AK$326,35,FALSE)</f>
        <v>17.753164556962023</v>
      </c>
      <c r="L122" s="16">
        <f>RANK(Table5[[#This Row],[EXTERNAL CORROSION]],$K$62:$K$312)</f>
        <v>172</v>
      </c>
      <c r="M122" s="16">
        <f>VLOOKUP(Table5[[#This Row],[RC]],Table3[[RC]:[Total TPI Score10]],23,0)</f>
        <v>43.63636363636364</v>
      </c>
      <c r="N122" s="9">
        <f>RANK(Table5[[#This Row],[THIRD PARTY INTERFERENCE]],$M$62:$M$312)</f>
        <v>2</v>
      </c>
      <c r="O122" s="9">
        <f>VLOOKUP(Table5[[#This Row],[RC]],LGS_Mo.!$C$5:$P$322,14,0)</f>
        <v>50</v>
      </c>
      <c r="P122" s="9">
        <f>RANK(Table5[[#This Row],[Loss  of ground support]],$O$62:$O$312)</f>
        <v>1</v>
      </c>
      <c r="Q122" s="9">
        <f>(I122+K122+M122+Table5[[#This Row],[Loss  of ground support]])/4</f>
        <v>36.389048714998083</v>
      </c>
      <c r="R122" s="9">
        <f>VLOOKUP(C122,consequence!$B$2:$K$302,10,FALSE)</f>
        <v>3</v>
      </c>
      <c r="S122" s="9">
        <f>VLOOKUP(C122,consequence!B271:$K$302,9,FALSE)</f>
        <v>7</v>
      </c>
      <c r="T122" s="9">
        <f t="shared" si="6"/>
        <v>50</v>
      </c>
      <c r="U122" s="116">
        <f>RANK(Table5[[#This Row],[Consequence]],$T$62:$T$264)</f>
        <v>1</v>
      </c>
      <c r="V122" s="9"/>
      <c r="X122" s="14">
        <f t="shared" si="10"/>
        <v>0</v>
      </c>
      <c r="Y122" s="14">
        <v>19.493670886075947</v>
      </c>
    </row>
    <row r="123" spans="1:25">
      <c r="A123" s="84">
        <v>33</v>
      </c>
      <c r="B123" s="80">
        <v>9</v>
      </c>
      <c r="C123" s="81">
        <v>653110111</v>
      </c>
      <c r="D123" s="82" t="s">
        <v>840</v>
      </c>
      <c r="E123" s="105">
        <f t="shared" si="9"/>
        <v>0</v>
      </c>
      <c r="F123" s="16">
        <v>1490.514684388889</v>
      </c>
      <c r="G123" s="70">
        <f>Table5[[#This Row],[Probability]]*Table5[[#This Row],[Consequence]]</f>
        <v>1819.4524357499042</v>
      </c>
      <c r="H123" s="16">
        <f>RANK(Table5[[#This Row],[Risk Score]],$G$62:$G$312)</f>
        <v>2</v>
      </c>
      <c r="I123" s="16">
        <f>VLOOKUP(C123,Table1[[#All],[RC]:[Total Internal Corrosion Score]],27,FALSE)</f>
        <v>34.166666666666664</v>
      </c>
      <c r="J123" s="16">
        <f>RANK(Table5[[#This Row],[INTERNAL CORROSION]],$I$62:$I$312)</f>
        <v>8</v>
      </c>
      <c r="K123" s="16">
        <f>VLOOKUP(C123,Ext.Mo!$C$2:$AK$326,35,FALSE)</f>
        <v>17.753164556962023</v>
      </c>
      <c r="L123" s="16">
        <f>RANK(Table5[[#This Row],[EXTERNAL CORROSION]],$K$62:$K$312)</f>
        <v>172</v>
      </c>
      <c r="M123" s="16">
        <f>VLOOKUP(Table5[[#This Row],[RC]],Table3[[RC]:[Total TPI Score10]],23,0)</f>
        <v>43.63636363636364</v>
      </c>
      <c r="N123" s="9">
        <f>RANK(Table5[[#This Row],[THIRD PARTY INTERFERENCE]],$M$62:$M$312)</f>
        <v>2</v>
      </c>
      <c r="O123" s="9">
        <f>VLOOKUP(Table5[[#This Row],[RC]],LGS_Mo.!$C$5:$P$322,14,0)</f>
        <v>50</v>
      </c>
      <c r="P123" s="9">
        <f>RANK(Table5[[#This Row],[Loss  of ground support]],$O$62:$O$312)</f>
        <v>1</v>
      </c>
      <c r="Q123" s="9">
        <f>(I123+K123+M123+Table5[[#This Row],[Loss  of ground support]])/4</f>
        <v>36.389048714998083</v>
      </c>
      <c r="R123" s="9">
        <f>VLOOKUP(C123,consequence!$B$2:$K$302,10,FALSE)</f>
        <v>3</v>
      </c>
      <c r="S123" s="9">
        <f>VLOOKUP(C123,consequence!B272:$K$302,9,FALSE)</f>
        <v>7</v>
      </c>
      <c r="T123" s="115">
        <f t="shared" si="6"/>
        <v>50</v>
      </c>
      <c r="U123" s="116">
        <f>RANK(Table5[[#This Row],[Consequence]],$T$62:$T$264)</f>
        <v>1</v>
      </c>
      <c r="V123" s="9"/>
      <c r="X123" s="14">
        <f t="shared" si="10"/>
        <v>0</v>
      </c>
      <c r="Y123" s="14">
        <v>19.493670886075947</v>
      </c>
    </row>
    <row r="124" spans="1:25">
      <c r="A124" s="84">
        <v>33</v>
      </c>
      <c r="B124" s="80">
        <v>9</v>
      </c>
      <c r="C124" s="81">
        <v>653110112</v>
      </c>
      <c r="D124" s="82" t="s">
        <v>842</v>
      </c>
      <c r="E124" s="105">
        <f t="shared" si="9"/>
        <v>0</v>
      </c>
      <c r="F124" s="16">
        <v>1490.514684388889</v>
      </c>
      <c r="G124" s="70">
        <f>Table5[[#This Row],[Probability]]*Table5[[#This Row],[Consequence]]</f>
        <v>1819.4524357499042</v>
      </c>
      <c r="H124" s="16">
        <f>RANK(Table5[[#This Row],[Risk Score]],$G$62:$G$312)</f>
        <v>2</v>
      </c>
      <c r="I124" s="16">
        <f>VLOOKUP(C124,Table1[[#All],[RC]:[Total Internal Corrosion Score]],27,FALSE)</f>
        <v>34.166666666666664</v>
      </c>
      <c r="J124" s="16">
        <f>RANK(Table5[[#This Row],[INTERNAL CORROSION]],$I$62:$I$312)</f>
        <v>8</v>
      </c>
      <c r="K124" s="16">
        <f>VLOOKUP(C124,Ext.Mo!$C$2:$AK$326,35,FALSE)</f>
        <v>17.753164556962023</v>
      </c>
      <c r="L124" s="16">
        <f>RANK(Table5[[#This Row],[EXTERNAL CORROSION]],$K$62:$K$312)</f>
        <v>172</v>
      </c>
      <c r="M124" s="16">
        <f>VLOOKUP(Table5[[#This Row],[RC]],Table3[[RC]:[Total TPI Score10]],23,0)</f>
        <v>43.63636363636364</v>
      </c>
      <c r="N124" s="16">
        <f>RANK(Table5[[#This Row],[THIRD PARTY INTERFERENCE]],$M$62:$M$312)</f>
        <v>2</v>
      </c>
      <c r="O124" s="16">
        <f>VLOOKUP(Table5[[#This Row],[RC]],LGS_Mo.!$C$5:$P$322,14,0)</f>
        <v>50</v>
      </c>
      <c r="P124" s="16">
        <f>RANK(Table5[[#This Row],[Loss  of ground support]],$O$62:$O$312)</f>
        <v>1</v>
      </c>
      <c r="Q124" s="16">
        <f>(I124+K124+M124+Table5[[#This Row],[Loss  of ground support]])/4</f>
        <v>36.389048714998083</v>
      </c>
      <c r="R124" s="16">
        <f>VLOOKUP(C124,consequence!$B$2:$K$302,10,FALSE)</f>
        <v>3</v>
      </c>
      <c r="S124" s="16">
        <f>VLOOKUP(C124,consequence!B273:$K$302,9,FALSE)</f>
        <v>7</v>
      </c>
      <c r="T124" s="16">
        <f t="shared" si="6"/>
        <v>50</v>
      </c>
      <c r="U124" s="69">
        <f>RANK(Table5[[#This Row],[Consequence]],$T$62:$T$264)</f>
        <v>1</v>
      </c>
      <c r="V124" s="16"/>
      <c r="X124" s="14">
        <f t="shared" si="10"/>
        <v>0</v>
      </c>
      <c r="Y124" s="14">
        <v>19.493670886075947</v>
      </c>
    </row>
    <row r="125" spans="1:25" s="9" customFormat="1">
      <c r="A125" s="113">
        <v>33</v>
      </c>
      <c r="B125" s="110">
        <v>9</v>
      </c>
      <c r="C125" s="111">
        <v>653110113</v>
      </c>
      <c r="D125" s="112" t="s">
        <v>843</v>
      </c>
      <c r="E125" s="259">
        <f t="shared" si="9"/>
        <v>0</v>
      </c>
      <c r="F125" s="9">
        <v>1490.514684388889</v>
      </c>
      <c r="G125" s="70">
        <v>1819.4524357499042</v>
      </c>
      <c r="H125" s="9" t="e">
        <v>#N/A</v>
      </c>
      <c r="I125" s="16">
        <v>34.166666666666664</v>
      </c>
      <c r="J125" s="9" t="e">
        <v>#N/A</v>
      </c>
      <c r="K125" s="9">
        <v>17.753164556962023</v>
      </c>
      <c r="L125" s="9" t="e">
        <v>#N/A</v>
      </c>
      <c r="M125" s="9">
        <v>43.63636363636364</v>
      </c>
      <c r="N125" s="9" t="e">
        <v>#N/A</v>
      </c>
      <c r="O125" s="9">
        <v>50</v>
      </c>
      <c r="P125" s="9" t="e">
        <v>#N/A</v>
      </c>
      <c r="Q125" s="9">
        <v>36.389048714998083</v>
      </c>
      <c r="R125" s="9">
        <v>3</v>
      </c>
      <c r="S125" s="9">
        <v>7</v>
      </c>
      <c r="T125" s="115">
        <v>50</v>
      </c>
      <c r="U125" s="116" t="e">
        <v>#N/A</v>
      </c>
      <c r="X125" s="9">
        <f t="shared" si="10"/>
        <v>0</v>
      </c>
      <c r="Y125" s="9">
        <v>19.493670886075947</v>
      </c>
    </row>
    <row r="126" spans="1:25">
      <c r="A126" s="84">
        <v>33</v>
      </c>
      <c r="B126" s="80">
        <v>9</v>
      </c>
      <c r="C126" s="81">
        <v>653110114</v>
      </c>
      <c r="D126" s="82"/>
      <c r="E126" s="105">
        <f t="shared" si="9"/>
        <v>0</v>
      </c>
      <c r="F126" s="16">
        <v>1490.514684388889</v>
      </c>
      <c r="G126" s="70">
        <f>Table5[[#This Row],[Probability]]*Table5[[#This Row],[Consequence]]</f>
        <v>1444.4524357499042</v>
      </c>
      <c r="H126" s="16">
        <f>RANK(Table5[[#This Row],[Risk Score]],$G$62:$G$312)</f>
        <v>169</v>
      </c>
      <c r="I126" s="16">
        <f>VLOOKUP(C126,Table1[[#All],[RC]:[Total Internal Corrosion Score]],27,FALSE)</f>
        <v>34.166666666666664</v>
      </c>
      <c r="J126" s="16">
        <f>RANK(Table5[[#This Row],[INTERNAL CORROSION]],$I$62:$I$312)</f>
        <v>8</v>
      </c>
      <c r="K126" s="16">
        <f>VLOOKUP(C126,Ext.Mo!$C$2:$AK$326,35,FALSE)</f>
        <v>17.753164556962023</v>
      </c>
      <c r="L126" s="16">
        <f>RANK(Table5[[#This Row],[EXTERNAL CORROSION]],$K$62:$K$312)</f>
        <v>172</v>
      </c>
      <c r="M126" s="16">
        <f>VLOOKUP(Table5[[#This Row],[RC]],Table3[[RC]:[Total TPI Score10]],23,0)</f>
        <v>43.63636363636364</v>
      </c>
      <c r="N126" s="16">
        <f>RANK(Table5[[#This Row],[THIRD PARTY INTERFERENCE]],$M$62:$M$312)</f>
        <v>2</v>
      </c>
      <c r="O126" s="16">
        <f>VLOOKUP(Table5[[#This Row],[RC]],LGS_Mo.!$C$5:$P$322,14,0)</f>
        <v>20</v>
      </c>
      <c r="P126" s="16">
        <f>RANK(Table5[[#This Row],[Loss  of ground support]],$O$62:$O$312)</f>
        <v>15</v>
      </c>
      <c r="Q126" s="16">
        <f>(I126+K126+M126+Table5[[#This Row],[Loss  of ground support]])/4</f>
        <v>28.889048714998083</v>
      </c>
      <c r="R126" s="16">
        <f>VLOOKUP(C126,consequence!$B$2:$K$302,10,FALSE)</f>
        <v>3</v>
      </c>
      <c r="S126" s="16">
        <f>VLOOKUP(C126,consequence!B275:$K$302,9,FALSE)</f>
        <v>7</v>
      </c>
      <c r="T126" s="16">
        <f t="shared" si="6"/>
        <v>50</v>
      </c>
      <c r="U126" s="69">
        <f>RANK(Table5[[#This Row],[Consequence]],$T$62:$T$264)</f>
        <v>1</v>
      </c>
      <c r="V126" s="16"/>
      <c r="X126" s="14">
        <f t="shared" si="10"/>
        <v>0</v>
      </c>
      <c r="Y126" s="14">
        <v>19.493670886075947</v>
      </c>
    </row>
    <row r="127" spans="1:25">
      <c r="A127" s="84">
        <v>33</v>
      </c>
      <c r="B127" s="80">
        <v>9</v>
      </c>
      <c r="C127" s="81">
        <v>653110115</v>
      </c>
      <c r="D127" s="82" t="s">
        <v>846</v>
      </c>
      <c r="E127" s="105">
        <f t="shared" si="9"/>
        <v>0</v>
      </c>
      <c r="F127" s="16">
        <v>1490.514684388889</v>
      </c>
      <c r="G127" s="70">
        <f>Table5[[#This Row],[Probability]]*Table5[[#This Row],[Consequence]]</f>
        <v>1819.4524357499042</v>
      </c>
      <c r="H127" s="16">
        <f>RANK(Table5[[#This Row],[Risk Score]],$G$62:$G$312)</f>
        <v>2</v>
      </c>
      <c r="I127" s="16">
        <f>VLOOKUP(C127,Table1[[#All],[RC]:[Total Internal Corrosion Score]],27,FALSE)</f>
        <v>34.166666666666664</v>
      </c>
      <c r="J127" s="16">
        <f>RANK(Table5[[#This Row],[INTERNAL CORROSION]],$I$62:$I$312)</f>
        <v>8</v>
      </c>
      <c r="K127" s="16">
        <f>VLOOKUP(C127,Ext.Mo!$C$2:$AK$326,35,FALSE)</f>
        <v>17.753164556962023</v>
      </c>
      <c r="L127" s="16">
        <f>RANK(Table5[[#This Row],[EXTERNAL CORROSION]],$K$62:$K$312)</f>
        <v>172</v>
      </c>
      <c r="M127" s="16">
        <f>VLOOKUP(Table5[[#This Row],[RC]],Table3[[RC]:[Total TPI Score10]],23,0)</f>
        <v>43.63636363636364</v>
      </c>
      <c r="N127" s="16">
        <f>RANK(Table5[[#This Row],[THIRD PARTY INTERFERENCE]],$M$62:$M$312)</f>
        <v>2</v>
      </c>
      <c r="O127" s="16">
        <f>VLOOKUP(Table5[[#This Row],[RC]],LGS_Mo.!$C$5:$P$322,14,0)</f>
        <v>50</v>
      </c>
      <c r="P127" s="16">
        <f>RANK(Table5[[#This Row],[Loss  of ground support]],$O$62:$O$312)</f>
        <v>1</v>
      </c>
      <c r="Q127" s="16">
        <f>(I127+K127+M127+Table5[[#This Row],[Loss  of ground support]])/4</f>
        <v>36.389048714998083</v>
      </c>
      <c r="R127" s="16">
        <f>VLOOKUP(C127,consequence!$B$2:$K$302,10,FALSE)</f>
        <v>3</v>
      </c>
      <c r="S127" s="16">
        <f>VLOOKUP(C127,consequence!B276:$K$302,9,FALSE)</f>
        <v>7</v>
      </c>
      <c r="T127" s="63">
        <f t="shared" si="6"/>
        <v>50</v>
      </c>
      <c r="U127" s="69">
        <f>RANK(Table5[[#This Row],[Consequence]],$T$62:$T$264)</f>
        <v>1</v>
      </c>
      <c r="V127" s="16"/>
      <c r="X127" s="14">
        <f t="shared" si="10"/>
        <v>0</v>
      </c>
      <c r="Y127" s="14">
        <v>19.493670886075947</v>
      </c>
    </row>
    <row r="128" spans="1:25">
      <c r="A128" s="84">
        <v>33</v>
      </c>
      <c r="B128" s="80">
        <v>9</v>
      </c>
      <c r="C128" s="81">
        <v>653110116</v>
      </c>
      <c r="D128" s="82" t="s">
        <v>848</v>
      </c>
      <c r="E128" s="105">
        <f t="shared" si="9"/>
        <v>0</v>
      </c>
      <c r="F128" s="16">
        <v>1490.514684388889</v>
      </c>
      <c r="G128" s="70">
        <f>Table5[[#This Row],[Probability]]*Table5[[#This Row],[Consequence]]</f>
        <v>1819.4524357499042</v>
      </c>
      <c r="H128" s="16">
        <f>RANK(Table5[[#This Row],[Risk Score]],$G$62:$G$312)</f>
        <v>2</v>
      </c>
      <c r="I128" s="16">
        <f>VLOOKUP(C128,Table1[[#All],[RC]:[Total Internal Corrosion Score]],27,FALSE)</f>
        <v>34.166666666666664</v>
      </c>
      <c r="J128" s="16">
        <f>RANK(Table5[[#This Row],[INTERNAL CORROSION]],$I$62:$I$312)</f>
        <v>8</v>
      </c>
      <c r="K128" s="16">
        <f>VLOOKUP(C128,Ext.Mo!$C$2:$AK$326,35,FALSE)</f>
        <v>17.753164556962023</v>
      </c>
      <c r="L128" s="16">
        <f>RANK(Table5[[#This Row],[EXTERNAL CORROSION]],$K$62:$K$312)</f>
        <v>172</v>
      </c>
      <c r="M128" s="16">
        <f>VLOOKUP(Table5[[#This Row],[RC]],Table3[[RC]:[Total TPI Score10]],23,0)</f>
        <v>43.63636363636364</v>
      </c>
      <c r="N128" s="16">
        <f>RANK(Table5[[#This Row],[THIRD PARTY INTERFERENCE]],$M$62:$M$312)</f>
        <v>2</v>
      </c>
      <c r="O128" s="16">
        <f>VLOOKUP(Table5[[#This Row],[RC]],LGS_Mo.!$C$5:$P$322,14,0)</f>
        <v>50</v>
      </c>
      <c r="P128" s="16">
        <f>RANK(Table5[[#This Row],[Loss  of ground support]],$O$62:$O$312)</f>
        <v>1</v>
      </c>
      <c r="Q128" s="16">
        <f>(I128+K128+M128+Table5[[#This Row],[Loss  of ground support]])/4</f>
        <v>36.389048714998083</v>
      </c>
      <c r="R128" s="16">
        <f>VLOOKUP(C128,consequence!$B$2:$K$302,10,FALSE)</f>
        <v>3</v>
      </c>
      <c r="S128" s="16">
        <f>VLOOKUP(C128,consequence!B277:$K$302,9,FALSE)</f>
        <v>7</v>
      </c>
      <c r="T128" s="16">
        <f t="shared" si="6"/>
        <v>50</v>
      </c>
      <c r="U128" s="69">
        <f>RANK(Table5[[#This Row],[Consequence]],$T$62:$T$264)</f>
        <v>1</v>
      </c>
      <c r="V128" s="16"/>
      <c r="X128" s="14">
        <f t="shared" si="10"/>
        <v>0</v>
      </c>
      <c r="Y128" s="14">
        <v>19.493670886075947</v>
      </c>
    </row>
    <row r="129" spans="1:25">
      <c r="A129" s="84">
        <v>33</v>
      </c>
      <c r="B129" s="80">
        <v>9</v>
      </c>
      <c r="C129" s="81">
        <v>653110117</v>
      </c>
      <c r="D129" s="82" t="s">
        <v>850</v>
      </c>
      <c r="E129" s="105">
        <f t="shared" si="9"/>
        <v>0</v>
      </c>
      <c r="F129" s="16">
        <v>1490.514684388889</v>
      </c>
      <c r="G129" s="70">
        <f>Table5[[#This Row],[Probability]]*Table5[[#This Row],[Consequence]]</f>
        <v>1444.4524357499042</v>
      </c>
      <c r="H129" s="16">
        <f>RANK(Table5[[#This Row],[Risk Score]],$G$62:$G$312)</f>
        <v>169</v>
      </c>
      <c r="I129" s="16">
        <f>VLOOKUP(C129,Table1[[#All],[RC]:[Total Internal Corrosion Score]],27,FALSE)</f>
        <v>34.166666666666664</v>
      </c>
      <c r="J129" s="16">
        <f>RANK(Table5[[#This Row],[INTERNAL CORROSION]],$I$62:$I$312)</f>
        <v>8</v>
      </c>
      <c r="K129" s="16">
        <f>VLOOKUP(C129,Ext.Mo!$C$2:$AK$326,35,FALSE)</f>
        <v>17.753164556962023</v>
      </c>
      <c r="L129" s="16">
        <f>RANK(Table5[[#This Row],[EXTERNAL CORROSION]],$K$62:$K$312)</f>
        <v>172</v>
      </c>
      <c r="M129" s="16">
        <f>VLOOKUP(Table5[[#This Row],[RC]],Table3[[RC]:[Total TPI Score10]],23,0)</f>
        <v>43.63636363636364</v>
      </c>
      <c r="N129" s="16">
        <f>RANK(Table5[[#This Row],[THIRD PARTY INTERFERENCE]],$M$62:$M$312)</f>
        <v>2</v>
      </c>
      <c r="O129" s="16">
        <f>VLOOKUP(Table5[[#This Row],[RC]],LGS_Mo.!$C$5:$P$322,14,0)</f>
        <v>20</v>
      </c>
      <c r="P129" s="16">
        <f>RANK(Table5[[#This Row],[Loss  of ground support]],$O$62:$O$312)</f>
        <v>15</v>
      </c>
      <c r="Q129" s="16">
        <f>(I129+K129+M129+Table5[[#This Row],[Loss  of ground support]])/4</f>
        <v>28.889048714998083</v>
      </c>
      <c r="R129" s="16">
        <f>VLOOKUP(C129,consequence!$B$2:$K$302,10,FALSE)</f>
        <v>3</v>
      </c>
      <c r="S129" s="16">
        <f>VLOOKUP(C129,consequence!B278:$K$302,9,FALSE)</f>
        <v>7</v>
      </c>
      <c r="T129" s="63">
        <f t="shared" si="6"/>
        <v>50</v>
      </c>
      <c r="U129" s="69">
        <f>RANK(Table5[[#This Row],[Consequence]],$T$62:$T$264)</f>
        <v>1</v>
      </c>
      <c r="V129" s="16"/>
      <c r="X129" s="14">
        <f t="shared" si="10"/>
        <v>0</v>
      </c>
      <c r="Y129" s="14">
        <v>19.493670886075947</v>
      </c>
    </row>
    <row r="130" spans="1:25">
      <c r="A130" s="84">
        <v>33</v>
      </c>
      <c r="B130" s="80">
        <v>9</v>
      </c>
      <c r="C130" s="81">
        <v>6531102</v>
      </c>
      <c r="D130" s="82" t="s">
        <v>819</v>
      </c>
      <c r="E130" s="105">
        <f t="shared" si="9"/>
        <v>0</v>
      </c>
      <c r="F130" s="16">
        <v>1490.514684388889</v>
      </c>
      <c r="G130" s="70">
        <f>Table5[[#This Row],[Probability]]*Table5[[#This Row],[Consequence]]</f>
        <v>1444.4524357499042</v>
      </c>
      <c r="H130" s="16">
        <f>RANK(Table5[[#This Row],[Risk Score]],$G$62:$G$312)</f>
        <v>169</v>
      </c>
      <c r="I130" s="16">
        <f>VLOOKUP(C130,Table1[[#All],[RC]:[Total Internal Corrosion Score]],27,FALSE)</f>
        <v>34.166666666666664</v>
      </c>
      <c r="J130" s="16">
        <f>RANK(Table5[[#This Row],[INTERNAL CORROSION]],$I$62:$I$312)</f>
        <v>8</v>
      </c>
      <c r="K130" s="16">
        <f>VLOOKUP(C130,Ext.Mo!$C$2:$AK$326,35,FALSE)</f>
        <v>17.753164556962023</v>
      </c>
      <c r="L130" s="16">
        <f>RANK(Table5[[#This Row],[EXTERNAL CORROSION]],$K$62:$K$312)</f>
        <v>172</v>
      </c>
      <c r="M130" s="16">
        <f>VLOOKUP(Table5[[#This Row],[RC]],Table3[[RC]:[Total TPI Score10]],23,0)</f>
        <v>43.63636363636364</v>
      </c>
      <c r="N130" s="16">
        <f>RANK(Table5[[#This Row],[THIRD PARTY INTERFERENCE]],$M$62:$M$312)</f>
        <v>2</v>
      </c>
      <c r="O130" s="16">
        <f>VLOOKUP(Table5[[#This Row],[RC]],LGS_Mo.!$C$5:$P$322,14,0)</f>
        <v>20</v>
      </c>
      <c r="P130" s="16">
        <f>RANK(Table5[[#This Row],[Loss  of ground support]],$O$62:$O$312)</f>
        <v>15</v>
      </c>
      <c r="Q130" s="16">
        <f>(I130+K130+M130+Table5[[#This Row],[Loss  of ground support]])/4</f>
        <v>28.889048714998083</v>
      </c>
      <c r="R130" s="16">
        <f>VLOOKUP(C130,consequence!$B$2:$K$302,10,FALSE)</f>
        <v>3</v>
      </c>
      <c r="S130" s="16">
        <f>VLOOKUP(C130,consequence!B279:$K$302,9,FALSE)</f>
        <v>7</v>
      </c>
      <c r="T130" s="16">
        <f t="shared" si="6"/>
        <v>50</v>
      </c>
      <c r="U130" s="69">
        <f>RANK(Table5[[#This Row],[Consequence]],$T$62:$T$264)</f>
        <v>1</v>
      </c>
      <c r="V130" s="16"/>
      <c r="X130" s="14">
        <f t="shared" si="10"/>
        <v>0</v>
      </c>
      <c r="Y130" s="14">
        <v>19.493670886075947</v>
      </c>
    </row>
    <row r="131" spans="1:25">
      <c r="A131" s="84">
        <v>33</v>
      </c>
      <c r="B131" s="80">
        <v>9</v>
      </c>
      <c r="C131" s="81">
        <v>653110201</v>
      </c>
      <c r="D131" s="82" t="s">
        <v>852</v>
      </c>
      <c r="E131" s="105">
        <f t="shared" si="9"/>
        <v>0</v>
      </c>
      <c r="F131" s="16">
        <v>1490.514684388889</v>
      </c>
      <c r="G131" s="70">
        <f>Table5[[#This Row],[Probability]]*Table5[[#This Row],[Consequence]]</f>
        <v>1819.4524357499042</v>
      </c>
      <c r="H131" s="16">
        <f>RANK(Table5[[#This Row],[Risk Score]],$G$62:$G$312)</f>
        <v>2</v>
      </c>
      <c r="I131" s="16">
        <f>VLOOKUP(C131,Table1[[#All],[RC]:[Total Internal Corrosion Score]],27,FALSE)</f>
        <v>34.166666666666664</v>
      </c>
      <c r="J131" s="16">
        <f>RANK(Table5[[#This Row],[INTERNAL CORROSION]],$I$62:$I$312)</f>
        <v>8</v>
      </c>
      <c r="K131" s="16">
        <f>VLOOKUP(C131,Ext.Mo!$C$2:$AK$326,35,FALSE)</f>
        <v>17.753164556962023</v>
      </c>
      <c r="L131" s="16">
        <f>RANK(Table5[[#This Row],[EXTERNAL CORROSION]],$K$62:$K$312)</f>
        <v>172</v>
      </c>
      <c r="M131" s="16">
        <f>VLOOKUP(Table5[[#This Row],[RC]],Table3[[RC]:[Total TPI Score10]],23,0)</f>
        <v>43.63636363636364</v>
      </c>
      <c r="N131" s="9">
        <f>RANK(Table5[[#This Row],[THIRD PARTY INTERFERENCE]],$M$62:$M$312)</f>
        <v>2</v>
      </c>
      <c r="O131" s="9">
        <f>VLOOKUP(Table5[[#This Row],[RC]],LGS_Mo.!$C$5:$P$322,14,0)</f>
        <v>50</v>
      </c>
      <c r="P131" s="9">
        <f>RANK(Table5[[#This Row],[Loss  of ground support]],$O$62:$O$312)</f>
        <v>1</v>
      </c>
      <c r="Q131" s="9">
        <f>(I131+K131+M131+Table5[[#This Row],[Loss  of ground support]])/4</f>
        <v>36.389048714998083</v>
      </c>
      <c r="R131" s="9">
        <f>VLOOKUP(C131,consequence!$B$2:$K$302,10,FALSE)</f>
        <v>3</v>
      </c>
      <c r="S131" s="9">
        <f>VLOOKUP(C131,consequence!B280:$K$302,9,FALSE)</f>
        <v>7</v>
      </c>
      <c r="T131" s="115">
        <f t="shared" si="6"/>
        <v>50</v>
      </c>
      <c r="U131" s="116">
        <f>RANK(Table5[[#This Row],[Consequence]],$T$62:$T$264)</f>
        <v>1</v>
      </c>
      <c r="V131" s="9"/>
      <c r="X131" s="14">
        <f t="shared" si="10"/>
        <v>0</v>
      </c>
      <c r="Y131" s="14">
        <v>19.493670886075947</v>
      </c>
    </row>
    <row r="132" spans="1:25">
      <c r="A132" s="84">
        <v>33</v>
      </c>
      <c r="B132" s="80">
        <v>9</v>
      </c>
      <c r="C132" s="81">
        <v>653110202</v>
      </c>
      <c r="D132" s="82" t="s">
        <v>819</v>
      </c>
      <c r="E132" s="105">
        <f t="shared" si="9"/>
        <v>0</v>
      </c>
      <c r="F132" s="16">
        <v>1490.514684388889</v>
      </c>
      <c r="G132" s="70">
        <f>Table5[[#This Row],[Probability]]*Table5[[#This Row],[Consequence]]</f>
        <v>1819.4524357499042</v>
      </c>
      <c r="H132" s="16">
        <f>RANK(Table5[[#This Row],[Risk Score]],$G$62:$G$312)</f>
        <v>2</v>
      </c>
      <c r="I132" s="16">
        <f>VLOOKUP(C132,Table1[[#All],[RC]:[Total Internal Corrosion Score]],27,FALSE)</f>
        <v>34.166666666666664</v>
      </c>
      <c r="J132" s="16">
        <f>RANK(Table5[[#This Row],[INTERNAL CORROSION]],$I$62:$I$312)</f>
        <v>8</v>
      </c>
      <c r="K132" s="16">
        <f>VLOOKUP(C132,Ext.Mo!$C$2:$AK$326,35,FALSE)</f>
        <v>17.753164556962023</v>
      </c>
      <c r="L132" s="16">
        <f>RANK(Table5[[#This Row],[EXTERNAL CORROSION]],$K$62:$K$312)</f>
        <v>172</v>
      </c>
      <c r="M132" s="16">
        <f>VLOOKUP(Table5[[#This Row],[RC]],Table3[[RC]:[Total TPI Score10]],23,0)</f>
        <v>43.63636363636364</v>
      </c>
      <c r="N132" s="16">
        <f>RANK(Table5[[#This Row],[THIRD PARTY INTERFERENCE]],$M$62:$M$312)</f>
        <v>2</v>
      </c>
      <c r="O132" s="16">
        <f>VLOOKUP(Table5[[#This Row],[RC]],LGS_Mo.!$C$5:$P$322,14,0)</f>
        <v>50</v>
      </c>
      <c r="P132" s="16">
        <f>RANK(Table5[[#This Row],[Loss  of ground support]],$O$62:$O$312)</f>
        <v>1</v>
      </c>
      <c r="Q132" s="16">
        <f>(I132+K132+M132+Table5[[#This Row],[Loss  of ground support]])/4</f>
        <v>36.389048714998083</v>
      </c>
      <c r="R132" s="16">
        <f>VLOOKUP(C132,consequence!$B$2:$K$302,10,FALSE)</f>
        <v>3</v>
      </c>
      <c r="S132" s="16">
        <f>VLOOKUP(C132,consequence!B281:$K$302,9,FALSE)</f>
        <v>7</v>
      </c>
      <c r="T132" s="16">
        <f t="shared" si="6"/>
        <v>50</v>
      </c>
      <c r="U132" s="69">
        <f>RANK(Table5[[#This Row],[Consequence]],$T$62:$T$264)</f>
        <v>1</v>
      </c>
      <c r="V132" s="16"/>
      <c r="X132" s="14">
        <f t="shared" si="10"/>
        <v>0</v>
      </c>
      <c r="Y132" s="14">
        <v>19.493670886075947</v>
      </c>
    </row>
    <row r="133" spans="1:25">
      <c r="A133" s="84">
        <v>33</v>
      </c>
      <c r="B133" s="80">
        <v>9</v>
      </c>
      <c r="C133" s="81">
        <v>6531103</v>
      </c>
      <c r="D133" s="82"/>
      <c r="E133" s="105">
        <f t="shared" si="9"/>
        <v>0</v>
      </c>
      <c r="F133" s="16">
        <v>1490.514684388889</v>
      </c>
      <c r="G133" s="70">
        <f>Table5[[#This Row],[Probability]]*Table5[[#This Row],[Consequence]]</f>
        <v>1819.4524357499042</v>
      </c>
      <c r="H133" s="16">
        <f>RANK(Table5[[#This Row],[Risk Score]],$G$62:$G$312)</f>
        <v>2</v>
      </c>
      <c r="I133" s="16">
        <f>VLOOKUP(C133,Table1[[#All],[RC]:[Total Internal Corrosion Score]],27,FALSE)</f>
        <v>34.166666666666664</v>
      </c>
      <c r="J133" s="16">
        <f>RANK(Table5[[#This Row],[INTERNAL CORROSION]],$I$62:$I$312)</f>
        <v>8</v>
      </c>
      <c r="K133" s="16">
        <f>VLOOKUP(C133,Ext.Mo!$C$2:$AK$326,35,FALSE)</f>
        <v>17.753164556962023</v>
      </c>
      <c r="L133" s="16">
        <f>RANK(Table5[[#This Row],[EXTERNAL CORROSION]],$K$62:$K$312)</f>
        <v>172</v>
      </c>
      <c r="M133" s="16">
        <f>VLOOKUP(Table5[[#This Row],[RC]],Table3[[RC]:[Total TPI Score10]],23,0)</f>
        <v>43.63636363636364</v>
      </c>
      <c r="N133" s="16">
        <f>RANK(Table5[[#This Row],[THIRD PARTY INTERFERENCE]],$M$62:$M$312)</f>
        <v>2</v>
      </c>
      <c r="O133" s="16">
        <f>VLOOKUP(Table5[[#This Row],[RC]],LGS_Mo.!$C$5:$P$322,14,0)</f>
        <v>50</v>
      </c>
      <c r="P133" s="16">
        <f>RANK(Table5[[#This Row],[Loss  of ground support]],$O$62:$O$312)</f>
        <v>1</v>
      </c>
      <c r="Q133" s="16">
        <f>(I133+K133+M133+Table5[[#This Row],[Loss  of ground support]])/4</f>
        <v>36.389048714998083</v>
      </c>
      <c r="R133" s="16">
        <f>VLOOKUP(C133,consequence!$B$2:$K$302,10,FALSE)</f>
        <v>3</v>
      </c>
      <c r="S133" s="16">
        <f>VLOOKUP(C133,consequence!B282:$K$302,9,FALSE)</f>
        <v>7</v>
      </c>
      <c r="T133" s="63">
        <f t="shared" si="6"/>
        <v>50</v>
      </c>
      <c r="U133" s="69">
        <f>RANK(Table5[[#This Row],[Consequence]],$T$62:$T$264)</f>
        <v>1</v>
      </c>
      <c r="V133" s="16"/>
      <c r="X133" s="14">
        <f t="shared" si="10"/>
        <v>0</v>
      </c>
      <c r="Y133" s="14">
        <v>19.493670886075947</v>
      </c>
    </row>
    <row r="134" spans="1:25">
      <c r="A134" s="84">
        <v>33</v>
      </c>
      <c r="B134" s="80">
        <v>9</v>
      </c>
      <c r="C134" s="81">
        <v>6531104</v>
      </c>
      <c r="D134" s="82"/>
      <c r="E134" s="105">
        <f t="shared" si="9"/>
        <v>0</v>
      </c>
      <c r="F134" s="16">
        <v>1490.514684388889</v>
      </c>
      <c r="G134" s="70">
        <f>Table5[[#This Row],[Probability]]*Table5[[#This Row],[Consequence]]</f>
        <v>1444.4524357499042</v>
      </c>
      <c r="H134" s="16">
        <f>RANK(Table5[[#This Row],[Risk Score]],$G$62:$G$312)</f>
        <v>169</v>
      </c>
      <c r="I134" s="16">
        <f>VLOOKUP(C134,Table1[[#All],[RC]:[Total Internal Corrosion Score]],27,FALSE)</f>
        <v>34.166666666666664</v>
      </c>
      <c r="J134" s="16">
        <f>RANK(Table5[[#This Row],[INTERNAL CORROSION]],$I$62:$I$312)</f>
        <v>8</v>
      </c>
      <c r="K134" s="16">
        <f>VLOOKUP(C134,Ext.Mo!$C$2:$AK$326,35,FALSE)</f>
        <v>17.753164556962023</v>
      </c>
      <c r="L134" s="16">
        <f>RANK(Table5[[#This Row],[EXTERNAL CORROSION]],$K$62:$K$312)</f>
        <v>172</v>
      </c>
      <c r="M134" s="16">
        <f>VLOOKUP(Table5[[#This Row],[RC]],Table3[[RC]:[Total TPI Score10]],23,0)</f>
        <v>43.63636363636364</v>
      </c>
      <c r="N134" s="16">
        <f>RANK(Table5[[#This Row],[THIRD PARTY INTERFERENCE]],$M$62:$M$312)</f>
        <v>2</v>
      </c>
      <c r="O134" s="16">
        <f>VLOOKUP(Table5[[#This Row],[RC]],LGS_Mo.!$C$5:$P$322,14,0)</f>
        <v>20</v>
      </c>
      <c r="P134" s="16">
        <f>RANK(Table5[[#This Row],[Loss  of ground support]],$O$62:$O$312)</f>
        <v>15</v>
      </c>
      <c r="Q134" s="16">
        <f>(I134+K134+M134+Table5[[#This Row],[Loss  of ground support]])/4</f>
        <v>28.889048714998083</v>
      </c>
      <c r="R134" s="16">
        <f>VLOOKUP(C134,consequence!$B$2:$K$302,10,FALSE)</f>
        <v>3</v>
      </c>
      <c r="S134" s="16">
        <f>VLOOKUP(C134,consequence!B283:$K$302,9,FALSE)</f>
        <v>7</v>
      </c>
      <c r="T134" s="16">
        <f t="shared" si="6"/>
        <v>50</v>
      </c>
      <c r="U134" s="69">
        <f>RANK(Table5[[#This Row],[Consequence]],$T$62:$T$264)</f>
        <v>1</v>
      </c>
      <c r="V134" s="16"/>
      <c r="X134" s="14">
        <f t="shared" si="10"/>
        <v>0</v>
      </c>
      <c r="Y134" s="14">
        <v>19.493670886075947</v>
      </c>
    </row>
    <row r="135" spans="1:25">
      <c r="A135" s="84">
        <v>34</v>
      </c>
      <c r="B135" s="84">
        <v>3</v>
      </c>
      <c r="C135" s="81">
        <v>3402</v>
      </c>
      <c r="D135" s="82" t="s">
        <v>292</v>
      </c>
      <c r="E135" s="105">
        <f>F382</f>
        <v>0</v>
      </c>
      <c r="F135" s="16">
        <v>1490.514684388889</v>
      </c>
      <c r="G135" s="70">
        <f>Table5[[#This Row],[Probability]]*Table5[[#This Row],[Consequence]]</f>
        <v>1426.4360265151515</v>
      </c>
      <c r="H135" s="16">
        <f>RANK(Table5[[#This Row],[Risk Score]],$G$62:$G$312)</f>
        <v>191</v>
      </c>
      <c r="I135" s="16">
        <f>VLOOKUP(C135,Table1[[#All],[RC]:[Total Internal Corrosion Score]],27,FALSE)</f>
        <v>34.166666666666664</v>
      </c>
      <c r="J135" s="16">
        <f>RANK(Table5[[#This Row],[INTERNAL CORROSION]],$I$62:$I$312)</f>
        <v>8</v>
      </c>
      <c r="K135" s="16">
        <f>VLOOKUP(C135,Ext.Mo!$C$2:$AK$326,35,FALSE)</f>
        <v>19.493670000000002</v>
      </c>
      <c r="L135" s="16">
        <f>RANK(Table5[[#This Row],[EXTERNAL CORROSION]],$K$62:$K$312)</f>
        <v>3</v>
      </c>
      <c r="M135" s="16">
        <f>VLOOKUP(Table5[[#This Row],[RC]],Table3[[RC]:[Total TPI Score10]],23,0)</f>
        <v>40.454545454545453</v>
      </c>
      <c r="N135" s="16">
        <f>RANK(Table5[[#This Row],[THIRD PARTY INTERFERENCE]],$M$62:$M$312)</f>
        <v>224</v>
      </c>
      <c r="O135" s="16">
        <f>VLOOKUP(Table5[[#This Row],[RC]],LGS_Mo.!$C$5:$P$322,14,0)</f>
        <v>20</v>
      </c>
      <c r="P135" s="16">
        <f>RANK(Table5[[#This Row],[Loss  of ground support]],$O$62:$O$312)</f>
        <v>15</v>
      </c>
      <c r="Q135" s="16">
        <f>(I135+K135+M135+Table5[[#This Row],[Loss  of ground support]])/4</f>
        <v>28.52872053030303</v>
      </c>
      <c r="R135" s="16">
        <f>VLOOKUP(C135,consequence!$B$2:$K$302,10,FALSE)</f>
        <v>3</v>
      </c>
      <c r="S135" s="16">
        <f>VLOOKUP(C135,consequence!B190:$K$302,9,FALSE)</f>
        <v>7</v>
      </c>
      <c r="T135" s="63">
        <f t="shared" si="6"/>
        <v>50</v>
      </c>
      <c r="U135" s="69">
        <f>RANK(Table5[[#This Row],[Consequence]],$T$62:$T$264)</f>
        <v>1</v>
      </c>
      <c r="V135" s="16"/>
      <c r="X135" s="14">
        <f>J501</f>
        <v>0</v>
      </c>
      <c r="Y135" s="14">
        <v>19.493670886075947</v>
      </c>
    </row>
    <row r="136" spans="1:25">
      <c r="A136" s="84">
        <v>34</v>
      </c>
      <c r="B136" s="84">
        <v>3</v>
      </c>
      <c r="C136" s="81">
        <v>3402102</v>
      </c>
      <c r="D136" s="82" t="s">
        <v>299</v>
      </c>
      <c r="E136" s="105">
        <f>F391</f>
        <v>0</v>
      </c>
      <c r="F136" s="16">
        <v>1490.514684388889</v>
      </c>
      <c r="G136" s="70">
        <f>Table5[[#This Row],[Probability]]*Table5[[#This Row],[Consequence]]</f>
        <v>1466.2087537878788</v>
      </c>
      <c r="H136" s="16">
        <f>RANK(Table5[[#This Row],[Risk Score]],$G$62:$G$312)</f>
        <v>23</v>
      </c>
      <c r="I136" s="16">
        <f>VLOOKUP(C136,Table1[[#All],[RC]:[Total Internal Corrosion Score]],27,FALSE)</f>
        <v>34.166666666666664</v>
      </c>
      <c r="J136" s="16">
        <f>RANK(Table5[[#This Row],[INTERNAL CORROSION]],$I$62:$I$312)</f>
        <v>8</v>
      </c>
      <c r="K136" s="16">
        <f>VLOOKUP(C136,Ext.Mo!$C$2:$AK$326,35,FALSE)</f>
        <v>19.493670000000002</v>
      </c>
      <c r="L136" s="16">
        <f>RANK(Table5[[#This Row],[EXTERNAL CORROSION]],$K$62:$K$312)</f>
        <v>3</v>
      </c>
      <c r="M136" s="16">
        <f>VLOOKUP(Table5[[#This Row],[RC]],Table3[[RC]:[Total TPI Score10]],23,0)</f>
        <v>43.63636363636364</v>
      </c>
      <c r="N136" s="16">
        <f>RANK(Table5[[#This Row],[THIRD PARTY INTERFERENCE]],$M$62:$M$312)</f>
        <v>2</v>
      </c>
      <c r="O136" s="16">
        <f>VLOOKUP(Table5[[#This Row],[RC]],LGS_Mo.!$C$5:$P$322,14,0)</f>
        <v>20</v>
      </c>
      <c r="P136" s="16">
        <f>RANK(Table5[[#This Row],[Loss  of ground support]],$O$62:$O$312)</f>
        <v>15</v>
      </c>
      <c r="Q136" s="16">
        <f>(I136+K136+M136+Table5[[#This Row],[Loss  of ground support]])/4</f>
        <v>29.324175075757577</v>
      </c>
      <c r="R136" s="16">
        <f>VLOOKUP(C136,consequence!$B$2:$K$302,10,FALSE)</f>
        <v>3</v>
      </c>
      <c r="S136" s="16">
        <f>VLOOKUP(C136,consequence!B199:$K$302,9,FALSE)</f>
        <v>7</v>
      </c>
      <c r="T136" s="16">
        <f t="shared" ref="T136:T198" si="11">((R136*5)+(S136*5))</f>
        <v>50</v>
      </c>
      <c r="U136" s="69">
        <f>RANK(Table5[[#This Row],[Consequence]],$T$62:$T$264)</f>
        <v>1</v>
      </c>
      <c r="V136" s="16"/>
      <c r="X136" s="14">
        <f>J510</f>
        <v>0</v>
      </c>
      <c r="Y136" s="14">
        <v>19.493670886075947</v>
      </c>
    </row>
    <row r="137" spans="1:25">
      <c r="A137" s="84">
        <v>34</v>
      </c>
      <c r="B137" s="84">
        <v>3</v>
      </c>
      <c r="C137" s="81">
        <v>3402104</v>
      </c>
      <c r="D137" s="82" t="s">
        <v>301</v>
      </c>
      <c r="E137" s="105">
        <f>F393</f>
        <v>0</v>
      </c>
      <c r="F137" s="16">
        <v>1490.514684388889</v>
      </c>
      <c r="G137" s="70">
        <f>Table5[[#This Row],[Probability]]*Table5[[#This Row],[Consequence]]</f>
        <v>1466.2087537878788</v>
      </c>
      <c r="H137" s="16">
        <f>RANK(Table5[[#This Row],[Risk Score]],$G$62:$G$312)</f>
        <v>23</v>
      </c>
      <c r="I137" s="16">
        <f>VLOOKUP(C137,Table1[[#All],[RC]:[Total Internal Corrosion Score]],27,FALSE)</f>
        <v>34.166666666666664</v>
      </c>
      <c r="J137" s="16">
        <f>RANK(Table5[[#This Row],[INTERNAL CORROSION]],$I$62:$I$312)</f>
        <v>8</v>
      </c>
      <c r="K137" s="16">
        <f>VLOOKUP(C137,Ext.Mo!$C$2:$AK$326,35,FALSE)</f>
        <v>19.493670000000002</v>
      </c>
      <c r="L137" s="16">
        <f>RANK(Table5[[#This Row],[EXTERNAL CORROSION]],$K$62:$K$312)</f>
        <v>3</v>
      </c>
      <c r="M137" s="16">
        <f>VLOOKUP(Table5[[#This Row],[RC]],Table3[[RC]:[Total TPI Score10]],23,0)</f>
        <v>43.63636363636364</v>
      </c>
      <c r="N137" s="16">
        <f>RANK(Table5[[#This Row],[THIRD PARTY INTERFERENCE]],$M$62:$M$312)</f>
        <v>2</v>
      </c>
      <c r="O137" s="16">
        <f>VLOOKUP(Table5[[#This Row],[RC]],LGS_Mo.!$C$5:$P$322,14,0)</f>
        <v>20</v>
      </c>
      <c r="P137" s="16">
        <f>RANK(Table5[[#This Row],[Loss  of ground support]],$O$62:$O$312)</f>
        <v>15</v>
      </c>
      <c r="Q137" s="16">
        <f>(I137+K137+M137+Table5[[#This Row],[Loss  of ground support]])/4</f>
        <v>29.324175075757577</v>
      </c>
      <c r="R137" s="16">
        <f>VLOOKUP(C137,consequence!$B$2:$K$302,10,FALSE)</f>
        <v>3</v>
      </c>
      <c r="S137" s="16">
        <f>VLOOKUP(C137,consequence!B201:$K$302,9,FALSE)</f>
        <v>7</v>
      </c>
      <c r="T137" s="16">
        <f t="shared" si="11"/>
        <v>50</v>
      </c>
      <c r="U137" s="69">
        <f>RANK(Table5[[#This Row],[Consequence]],$T$62:$T$264)</f>
        <v>1</v>
      </c>
      <c r="V137" s="16"/>
      <c r="X137" s="14">
        <f>J512</f>
        <v>0</v>
      </c>
      <c r="Y137" s="14">
        <v>19.493670886075947</v>
      </c>
    </row>
    <row r="138" spans="1:25" s="120" customFormat="1">
      <c r="A138" s="84">
        <v>34</v>
      </c>
      <c r="B138" s="84">
        <v>3</v>
      </c>
      <c r="C138" s="81">
        <v>3402106</v>
      </c>
      <c r="D138" s="82" t="s">
        <v>302</v>
      </c>
      <c r="E138" s="105">
        <f>F395</f>
        <v>0</v>
      </c>
      <c r="F138" s="16">
        <v>1490.514684388889</v>
      </c>
      <c r="G138" s="70">
        <f>Table5[[#This Row],[Probability]]*Table5[[#This Row],[Consequence]]</f>
        <v>1459.2643093434344</v>
      </c>
      <c r="H138" s="16">
        <f>RANK(Table5[[#This Row],[Risk Score]],$G$62:$G$312)</f>
        <v>130</v>
      </c>
      <c r="I138" s="16">
        <f>VLOOKUP(C138,Table1[[#All],[RC]:[Total Internal Corrosion Score]],27,FALSE)</f>
        <v>33.611111111111107</v>
      </c>
      <c r="J138" s="16">
        <f>RANK(Table5[[#This Row],[INTERNAL CORROSION]],$I$62:$I$312)</f>
        <v>208</v>
      </c>
      <c r="K138" s="16">
        <f>VLOOKUP(C138,Ext.Mo!$C$2:$AK$326,35,FALSE)</f>
        <v>19.493670000000002</v>
      </c>
      <c r="L138" s="16">
        <f>RANK(Table5[[#This Row],[EXTERNAL CORROSION]],$K$62:$K$312)</f>
        <v>3</v>
      </c>
      <c r="M138" s="16">
        <f>VLOOKUP(Table5[[#This Row],[RC]],Table3[[RC]:[Total TPI Score10]],23,0)</f>
        <v>43.63636363636364</v>
      </c>
      <c r="N138" s="120">
        <f>RANK(Table5[[#This Row],[THIRD PARTY INTERFERENCE]],$M$62:$M$312)</f>
        <v>2</v>
      </c>
      <c r="O138" s="120">
        <f>VLOOKUP(Table5[[#This Row],[RC]],LGS_Mo.!$C$5:$P$322,14,0)</f>
        <v>20</v>
      </c>
      <c r="P138" s="120">
        <f>RANK(Table5[[#This Row],[Loss  of ground support]],$O$62:$O$312)</f>
        <v>15</v>
      </c>
      <c r="Q138" s="120">
        <f>(I138+K138+M138+Table5[[#This Row],[Loss  of ground support]])/4</f>
        <v>29.185286186868687</v>
      </c>
      <c r="R138" s="120">
        <f>VLOOKUP(C138,consequence!$B$2:$K$302,10,FALSE)</f>
        <v>3</v>
      </c>
      <c r="S138" s="120">
        <f>VLOOKUP(C138,consequence!B203:$K$302,9,FALSE)</f>
        <v>7</v>
      </c>
      <c r="T138" s="120">
        <f t="shared" si="11"/>
        <v>50</v>
      </c>
      <c r="U138" s="122">
        <f>RANK(Table5[[#This Row],[Consequence]],$T$62:$T$264)</f>
        <v>1</v>
      </c>
      <c r="X138" s="14">
        <f>J514</f>
        <v>0</v>
      </c>
      <c r="Y138" s="14">
        <v>19.493670886075947</v>
      </c>
    </row>
    <row r="139" spans="1:25" s="120" customFormat="1">
      <c r="A139" s="84">
        <v>34</v>
      </c>
      <c r="B139" s="84">
        <v>3</v>
      </c>
      <c r="C139" s="81">
        <v>340210602</v>
      </c>
      <c r="D139" s="82" t="s">
        <v>311</v>
      </c>
      <c r="E139" s="105">
        <f>F408</f>
        <v>0</v>
      </c>
      <c r="F139" s="16">
        <v>1490.514684388889</v>
      </c>
      <c r="G139" s="70">
        <f>Table5[[#This Row],[Probability]]*Table5[[#This Row],[Consequence]]</f>
        <v>1459.2643093434344</v>
      </c>
      <c r="H139" s="16">
        <f>RANK(Table5[[#This Row],[Risk Score]],$G$62:$G$312)</f>
        <v>130</v>
      </c>
      <c r="I139" s="16">
        <f>VLOOKUP(C139,Table1[[#All],[RC]:[Total Internal Corrosion Score]],27,FALSE)</f>
        <v>33.611111111111107</v>
      </c>
      <c r="J139" s="16">
        <f>RANK(Table5[[#This Row],[INTERNAL CORROSION]],$I$62:$I$312)</f>
        <v>208</v>
      </c>
      <c r="K139" s="16">
        <f>VLOOKUP(C139,Ext.Mo!$C$2:$AK$326,35,FALSE)</f>
        <v>19.493670000000002</v>
      </c>
      <c r="L139" s="16">
        <f>RANK(Table5[[#This Row],[EXTERNAL CORROSION]],$K$62:$K$312)</f>
        <v>3</v>
      </c>
      <c r="M139" s="16">
        <f>VLOOKUP(Table5[[#This Row],[RC]],Table3[[RC]:[Total TPI Score10]],23,0)</f>
        <v>43.63636363636364</v>
      </c>
      <c r="N139" s="120">
        <f>RANK(Table5[[#This Row],[THIRD PARTY INTERFERENCE]],$M$62:$M$312)</f>
        <v>2</v>
      </c>
      <c r="O139" s="120">
        <f>VLOOKUP(Table5[[#This Row],[RC]],LGS_Mo.!$C$5:$P$322,14,0)</f>
        <v>20</v>
      </c>
      <c r="P139" s="120">
        <f>RANK(Table5[[#This Row],[Loss  of ground support]],$O$62:$O$312)</f>
        <v>15</v>
      </c>
      <c r="Q139" s="120">
        <f>(I139+K139+M139+Table5[[#This Row],[Loss  of ground support]])/4</f>
        <v>29.185286186868687</v>
      </c>
      <c r="R139" s="120">
        <f>VLOOKUP(C139,consequence!$B$2:$K$302,10,FALSE)</f>
        <v>3</v>
      </c>
      <c r="S139" s="120">
        <f>VLOOKUP(C139,consequence!B216:$K$302,9,FALSE)</f>
        <v>7</v>
      </c>
      <c r="T139" s="121">
        <f t="shared" si="11"/>
        <v>50</v>
      </c>
      <c r="U139" s="122">
        <f>RANK(Table5[[#This Row],[Consequence]],$T$62:$T$264)</f>
        <v>1</v>
      </c>
      <c r="X139" s="14">
        <f>J527</f>
        <v>0</v>
      </c>
      <c r="Y139" s="14">
        <v>19.493670886075947</v>
      </c>
    </row>
    <row r="140" spans="1:25">
      <c r="A140" s="84">
        <v>34</v>
      </c>
      <c r="B140" s="84">
        <v>3</v>
      </c>
      <c r="C140" s="81">
        <v>4014</v>
      </c>
      <c r="D140" s="82" t="s">
        <v>293</v>
      </c>
      <c r="E140" s="105">
        <f>F384</f>
        <v>0</v>
      </c>
      <c r="F140" s="16">
        <v>1490.514684388889</v>
      </c>
      <c r="G140" s="70">
        <f>Table5[[#This Row],[Probability]]*Table5[[#This Row],[Consequence]]</f>
        <v>1466.2087537878788</v>
      </c>
      <c r="H140" s="16">
        <f>RANK(Table5[[#This Row],[Risk Score]],$G$62:$G$312)</f>
        <v>23</v>
      </c>
      <c r="I140" s="16">
        <f>VLOOKUP(C140,Table1[[#All],[RC]:[Total Internal Corrosion Score]],27,FALSE)</f>
        <v>34.166666666666664</v>
      </c>
      <c r="J140" s="16">
        <f>RANK(Table5[[#This Row],[INTERNAL CORROSION]],$I$62:$I$312)</f>
        <v>8</v>
      </c>
      <c r="K140" s="16">
        <f>VLOOKUP(C140,Ext.Mo!$C$2:$AK$326,35,FALSE)</f>
        <v>19.493670000000002</v>
      </c>
      <c r="L140" s="16">
        <f>RANK(Table5[[#This Row],[EXTERNAL CORROSION]],$K$62:$K$312)</f>
        <v>3</v>
      </c>
      <c r="M140" s="16">
        <f>VLOOKUP(Table5[[#This Row],[RC]],Table3[[RC]:[Total TPI Score10]],23,0)</f>
        <v>43.63636363636364</v>
      </c>
      <c r="N140" s="16">
        <f>RANK(Table5[[#This Row],[THIRD PARTY INTERFERENCE]],$M$62:$M$312)</f>
        <v>2</v>
      </c>
      <c r="O140" s="16">
        <f>VLOOKUP(Table5[[#This Row],[RC]],LGS_Mo.!$C$5:$P$322,14,0)</f>
        <v>20</v>
      </c>
      <c r="P140" s="16">
        <f>RANK(Table5[[#This Row],[Loss  of ground support]],$O$62:$O$312)</f>
        <v>15</v>
      </c>
      <c r="Q140" s="16">
        <f>(I140+K140+M140+Table5[[#This Row],[Loss  of ground support]])/4</f>
        <v>29.324175075757577</v>
      </c>
      <c r="R140" s="16">
        <f>VLOOKUP(C140,consequence!$B$2:$K$302,10,FALSE)</f>
        <v>3</v>
      </c>
      <c r="S140" s="16">
        <f>VLOOKUP(C140,consequence!B192:$K$302,9,FALSE)</f>
        <v>7</v>
      </c>
      <c r="T140" s="63">
        <f t="shared" si="11"/>
        <v>50</v>
      </c>
      <c r="U140" s="69">
        <f>RANK(Table5[[#This Row],[Consequence]],$T$62:$T$264)</f>
        <v>1</v>
      </c>
      <c r="V140" s="16"/>
      <c r="X140" s="14">
        <f>J503</f>
        <v>0</v>
      </c>
      <c r="Y140" s="14">
        <v>19.493670886075947</v>
      </c>
    </row>
    <row r="141" spans="1:25">
      <c r="A141" s="84">
        <v>34</v>
      </c>
      <c r="B141" s="84">
        <v>3</v>
      </c>
      <c r="C141" s="81">
        <v>40112</v>
      </c>
      <c r="D141" s="82" t="s">
        <v>294</v>
      </c>
      <c r="E141" s="105">
        <f>F385</f>
        <v>0</v>
      </c>
      <c r="F141" s="16">
        <v>1490.514684388889</v>
      </c>
      <c r="G141" s="70">
        <f>Table5[[#This Row],[Probability]]*Table5[[#This Row],[Consequence]]</f>
        <v>1466.2087537878788</v>
      </c>
      <c r="H141" s="16">
        <f>RANK(Table5[[#This Row],[Risk Score]],$G$62:$G$312)</f>
        <v>23</v>
      </c>
      <c r="I141" s="16">
        <f>VLOOKUP(C141,Table1[[#All],[RC]:[Total Internal Corrosion Score]],27,FALSE)</f>
        <v>34.166666666666664</v>
      </c>
      <c r="J141" s="16">
        <f>RANK(Table5[[#This Row],[INTERNAL CORROSION]],$I$62:$I$312)</f>
        <v>8</v>
      </c>
      <c r="K141" s="16">
        <f>VLOOKUP(C141,Ext.Mo!$C$2:$AK$326,35,FALSE)</f>
        <v>19.493670000000002</v>
      </c>
      <c r="L141" s="16">
        <f>RANK(Table5[[#This Row],[EXTERNAL CORROSION]],$K$62:$K$312)</f>
        <v>3</v>
      </c>
      <c r="M141" s="16">
        <f>VLOOKUP(Table5[[#This Row],[RC]],Table3[[RC]:[Total TPI Score10]],23,0)</f>
        <v>43.63636363636364</v>
      </c>
      <c r="N141" s="16">
        <f>RANK(Table5[[#This Row],[THIRD PARTY INTERFERENCE]],$M$62:$M$312)</f>
        <v>2</v>
      </c>
      <c r="O141" s="16">
        <f>VLOOKUP(Table5[[#This Row],[RC]],LGS_Mo.!$C$5:$P$322,14,0)</f>
        <v>20</v>
      </c>
      <c r="P141" s="16">
        <f>RANK(Table5[[#This Row],[Loss  of ground support]],$O$62:$O$312)</f>
        <v>15</v>
      </c>
      <c r="Q141" s="16">
        <f>(I141+K141+M141+Table5[[#This Row],[Loss  of ground support]])/4</f>
        <v>29.324175075757577</v>
      </c>
      <c r="R141" s="16">
        <f>VLOOKUP(C141,consequence!$B$2:$K$302,10,FALSE)</f>
        <v>3</v>
      </c>
      <c r="S141" s="16">
        <f>VLOOKUP(C141,consequence!B193:$K$302,9,FALSE)</f>
        <v>7</v>
      </c>
      <c r="T141" s="16">
        <f t="shared" si="11"/>
        <v>50</v>
      </c>
      <c r="U141" s="69">
        <f>RANK(Table5[[#This Row],[Consequence]],$T$62:$T$264)</f>
        <v>1</v>
      </c>
      <c r="V141" s="16"/>
      <c r="X141" s="14">
        <f>J504</f>
        <v>0</v>
      </c>
      <c r="Y141" s="14">
        <v>19.493670886075947</v>
      </c>
    </row>
    <row r="142" spans="1:25">
      <c r="A142" s="84">
        <v>34</v>
      </c>
      <c r="B142" s="84">
        <v>3</v>
      </c>
      <c r="C142" s="81">
        <v>401100001</v>
      </c>
      <c r="D142" s="82" t="s">
        <v>313</v>
      </c>
      <c r="E142" s="105">
        <f>F410</f>
        <v>0</v>
      </c>
      <c r="F142" s="16">
        <v>1490.514684388889</v>
      </c>
      <c r="G142" s="70">
        <f>Table5[[#This Row],[Probability]]*Table5[[#This Row],[Consequence]]</f>
        <v>1466.2087537878788</v>
      </c>
      <c r="H142" s="16">
        <f>RANK(Table5[[#This Row],[Risk Score]],$G$62:$G$312)</f>
        <v>23</v>
      </c>
      <c r="I142" s="16">
        <f>VLOOKUP(C142,Table1[[#All],[RC]:[Total Internal Corrosion Score]],27,FALSE)</f>
        <v>34.166666666666664</v>
      </c>
      <c r="J142" s="16">
        <f>RANK(Table5[[#This Row],[INTERNAL CORROSION]],$I$62:$I$312)</f>
        <v>8</v>
      </c>
      <c r="K142" s="16">
        <f>VLOOKUP(C142,Ext.Mo!$C$2:$AK$326,35,FALSE)</f>
        <v>19.493670000000002</v>
      </c>
      <c r="L142" s="16">
        <f>RANK(Table5[[#This Row],[EXTERNAL CORROSION]],$K$62:$K$312)</f>
        <v>3</v>
      </c>
      <c r="M142" s="16">
        <f>VLOOKUP(Table5[[#This Row],[RC]],Table3[[RC]:[Total TPI Score10]],23,0)</f>
        <v>43.63636363636364</v>
      </c>
      <c r="N142" s="16">
        <f>RANK(Table5[[#This Row],[THIRD PARTY INTERFERENCE]],$M$62:$M$312)</f>
        <v>2</v>
      </c>
      <c r="O142" s="16">
        <f>VLOOKUP(Table5[[#This Row],[RC]],LGS_Mo.!$C$5:$P$322,14,0)</f>
        <v>20</v>
      </c>
      <c r="P142" s="16">
        <f>RANK(Table5[[#This Row],[Loss  of ground support]],$O$62:$O$312)</f>
        <v>15</v>
      </c>
      <c r="Q142" s="16">
        <f>(I142+K142+M142+Table5[[#This Row],[Loss  of ground support]])/4</f>
        <v>29.324175075757577</v>
      </c>
      <c r="R142" s="16">
        <f>VLOOKUP(C142,consequence!$B$2:$K$302,10,FALSE)</f>
        <v>3</v>
      </c>
      <c r="S142" s="16">
        <f>VLOOKUP(C142,consequence!B218:$K$302,9,FALSE)</f>
        <v>7</v>
      </c>
      <c r="T142" s="63">
        <f t="shared" si="11"/>
        <v>50</v>
      </c>
      <c r="U142" s="69">
        <f>RANK(Table5[[#This Row],[Consequence]],$T$62:$T$264)</f>
        <v>1</v>
      </c>
      <c r="V142" s="16"/>
      <c r="X142" s="14">
        <f>J529</f>
        <v>0</v>
      </c>
      <c r="Y142" s="14">
        <v>19.493670886075947</v>
      </c>
    </row>
    <row r="143" spans="1:25">
      <c r="A143" s="84">
        <v>34</v>
      </c>
      <c r="B143" s="84">
        <v>3</v>
      </c>
      <c r="C143" s="81">
        <v>401110001</v>
      </c>
      <c r="D143" s="82" t="s">
        <v>314</v>
      </c>
      <c r="E143" s="105">
        <f>F411</f>
        <v>0</v>
      </c>
      <c r="F143" s="16">
        <v>1490.514684388889</v>
      </c>
      <c r="G143" s="70">
        <f>Table5[[#This Row],[Probability]]*Table5[[#This Row],[Consequence]]</f>
        <v>1466.2087537878788</v>
      </c>
      <c r="H143" s="16">
        <f>RANK(Table5[[#This Row],[Risk Score]],$G$62:$G$312)</f>
        <v>23</v>
      </c>
      <c r="I143" s="16">
        <f>VLOOKUP(C143,Table1[[#All],[RC]:[Total Internal Corrosion Score]],27,FALSE)</f>
        <v>34.166666666666664</v>
      </c>
      <c r="J143" s="16">
        <f>RANK(Table5[[#This Row],[INTERNAL CORROSION]],$I$62:$I$312)</f>
        <v>8</v>
      </c>
      <c r="K143" s="16">
        <f>VLOOKUP(C143,Ext.Mo!$C$2:$AK$326,35,FALSE)</f>
        <v>19.493670000000002</v>
      </c>
      <c r="L143" s="16">
        <f>RANK(Table5[[#This Row],[EXTERNAL CORROSION]],$K$62:$K$312)</f>
        <v>3</v>
      </c>
      <c r="M143" s="16">
        <f>VLOOKUP(Table5[[#This Row],[RC]],Table3[[RC]:[Total TPI Score10]],23,0)</f>
        <v>43.63636363636364</v>
      </c>
      <c r="N143" s="16">
        <f>RANK(Table5[[#This Row],[THIRD PARTY INTERFERENCE]],$M$62:$M$312)</f>
        <v>2</v>
      </c>
      <c r="O143" s="16">
        <f>VLOOKUP(Table5[[#This Row],[RC]],LGS_Mo.!$C$5:$P$322,14,0)</f>
        <v>20</v>
      </c>
      <c r="P143" s="16">
        <f>RANK(Table5[[#This Row],[Loss  of ground support]],$O$62:$O$312)</f>
        <v>15</v>
      </c>
      <c r="Q143" s="16">
        <f>(I143+K143+M143+Table5[[#This Row],[Loss  of ground support]])/4</f>
        <v>29.324175075757577</v>
      </c>
      <c r="R143" s="16">
        <f>VLOOKUP(C143,consequence!$B$2:$K$302,10,FALSE)</f>
        <v>3</v>
      </c>
      <c r="S143" s="16">
        <f>VLOOKUP(C143,consequence!B219:$K$302,9,FALSE)</f>
        <v>7</v>
      </c>
      <c r="T143" s="16">
        <f t="shared" si="11"/>
        <v>50</v>
      </c>
      <c r="U143" s="69">
        <f>RANK(Table5[[#This Row],[Consequence]],$T$62:$T$264)</f>
        <v>1</v>
      </c>
      <c r="V143" s="16"/>
      <c r="X143" s="14">
        <f>J530</f>
        <v>0</v>
      </c>
      <c r="Y143" s="14">
        <v>19.493670886075947</v>
      </c>
    </row>
    <row r="144" spans="1:25">
      <c r="A144" s="84">
        <v>35</v>
      </c>
      <c r="B144" s="84">
        <v>3</v>
      </c>
      <c r="C144" s="81">
        <v>430</v>
      </c>
      <c r="D144" s="82" t="s">
        <v>291</v>
      </c>
      <c r="E144" s="105">
        <f>F381</f>
        <v>0</v>
      </c>
      <c r="F144" s="16">
        <v>1490.514684388889</v>
      </c>
      <c r="G144" s="70">
        <f>Table5[[#This Row],[Probability]]*Table5[[#This Row],[Consequence]]</f>
        <v>1466.2087537878788</v>
      </c>
      <c r="H144" s="16">
        <f>RANK(Table5[[#This Row],[Risk Score]],$G$62:$G$312)</f>
        <v>23</v>
      </c>
      <c r="I144" s="16">
        <f>VLOOKUP(C144,Table1[[#All],[RC]:[Total Internal Corrosion Score]],27,FALSE)</f>
        <v>34.166666666666664</v>
      </c>
      <c r="J144" s="16">
        <f>RANK(Table5[[#This Row],[INTERNAL CORROSION]],$I$62:$I$312)</f>
        <v>8</v>
      </c>
      <c r="K144" s="16">
        <f>VLOOKUP(C144,Ext.Mo!$C$2:$AK$326,35,FALSE)</f>
        <v>19.493670000000002</v>
      </c>
      <c r="L144" s="16">
        <f>RANK(Table5[[#This Row],[EXTERNAL CORROSION]],$K$62:$K$312)</f>
        <v>3</v>
      </c>
      <c r="M144" s="16">
        <f>VLOOKUP(Table5[[#This Row],[RC]],Table3[[RC]:[Total TPI Score10]],23,0)</f>
        <v>43.63636363636364</v>
      </c>
      <c r="N144" s="16">
        <f>RANK(Table5[[#This Row],[THIRD PARTY INTERFERENCE]],$M$62:$M$312)</f>
        <v>2</v>
      </c>
      <c r="O144" s="16">
        <f>VLOOKUP(Table5[[#This Row],[RC]],LGS_Mo.!$C$5:$P$322,14,0)</f>
        <v>20</v>
      </c>
      <c r="P144" s="16">
        <f>RANK(Table5[[#This Row],[Loss  of ground support]],$O$62:$O$312)</f>
        <v>15</v>
      </c>
      <c r="Q144" s="16">
        <f>(I144+K144+M144+Table5[[#This Row],[Loss  of ground support]])/4</f>
        <v>29.324175075757577</v>
      </c>
      <c r="R144" s="16">
        <f>VLOOKUP(C144,consequence!$B$2:$K$302,10,FALSE)</f>
        <v>3</v>
      </c>
      <c r="S144" s="16">
        <f>VLOOKUP(C144,consequence!B189:$K$302,9,FALSE)</f>
        <v>7</v>
      </c>
      <c r="T144" s="16">
        <f t="shared" si="11"/>
        <v>50</v>
      </c>
      <c r="U144" s="69">
        <f>RANK(Table5[[#This Row],[Consequence]],$T$62:$T$264)</f>
        <v>1</v>
      </c>
      <c r="V144" s="16"/>
      <c r="X144" s="14">
        <f>J500</f>
        <v>0</v>
      </c>
      <c r="Y144" s="14">
        <v>19.493670886075947</v>
      </c>
    </row>
    <row r="145" spans="1:25">
      <c r="A145" s="84">
        <v>35</v>
      </c>
      <c r="B145" s="84">
        <v>1</v>
      </c>
      <c r="C145" s="81">
        <v>4311</v>
      </c>
      <c r="D145" s="82" t="s">
        <v>233</v>
      </c>
      <c r="E145" s="57" t="e">
        <f>E68</f>
        <v>#REF!</v>
      </c>
      <c r="F145" s="16">
        <v>1490.514684388889</v>
      </c>
      <c r="G145" s="16">
        <f>Table5[[#This Row],[Probability]]*Table5[[#This Row],[Consequence]]</f>
        <v>1373.0341388569236</v>
      </c>
      <c r="H145" s="16">
        <f>RANK(Table5[[#This Row],[Risk Score]],$G$62:$G$312)</f>
        <v>245</v>
      </c>
      <c r="I145" s="16">
        <f>VLOOKUP(C145,Table1[[#All],[RC]:[Total Internal Corrosion Score]],27,FALSE)</f>
        <v>34.166666666666664</v>
      </c>
      <c r="J145" s="16">
        <f>RANK(Table5[[#This Row],[INTERNAL CORROSION]],$I$62:$I$312)</f>
        <v>8</v>
      </c>
      <c r="K145" s="16">
        <f>VLOOKUP(C145,Ext.Mo!$C$2:$AK$326,35,FALSE)</f>
        <v>15.221518987341771</v>
      </c>
      <c r="L145" s="16">
        <f>RANK(Table5[[#This Row],[EXTERNAL CORROSION]],$K$62:$K$312)</f>
        <v>211</v>
      </c>
      <c r="M145" s="16">
        <f>VLOOKUP(Table5[[#This Row],[RC]],Table3[[RC]:[Total TPI Score10]],23,0)</f>
        <v>40.454545454545453</v>
      </c>
      <c r="N145" s="16">
        <f>RANK(Table5[[#This Row],[THIRD PARTY INTERFERENCE]],$M$62:$M$312)</f>
        <v>224</v>
      </c>
      <c r="O145" s="16">
        <f>VLOOKUP(Table5[[#This Row],[RC]],LGS_Mo.!$C$5:$P$322,14,0)</f>
        <v>20</v>
      </c>
      <c r="P145" s="16">
        <f>RANK(Table5[[#This Row],[Loss  of ground support]],$O$62:$O$312)</f>
        <v>15</v>
      </c>
      <c r="Q145" s="16">
        <f>(I145+K145+M145+Table5[[#This Row],[Loss  of ground support]])/4</f>
        <v>27.460682777138473</v>
      </c>
      <c r="R145" s="16">
        <f>VLOOKUP(C145,consequence!$B$2:$K$302,10,FALSE)</f>
        <v>3</v>
      </c>
      <c r="S145" s="16">
        <f>VLOOKUP(C145,consequence!B5:$K$302,9,FALSE)</f>
        <v>7</v>
      </c>
      <c r="T145" s="16">
        <f t="shared" si="11"/>
        <v>50</v>
      </c>
      <c r="U145" s="16">
        <f>RANK(Table5[[#This Row],[Consequence]],$T$62:$T$264)</f>
        <v>1</v>
      </c>
      <c r="V145" s="16"/>
      <c r="X145" s="14">
        <f>K316</f>
        <v>1</v>
      </c>
      <c r="Y145" s="14">
        <v>19.493670886075947</v>
      </c>
    </row>
    <row r="146" spans="1:25" s="9" customFormat="1">
      <c r="A146" s="80">
        <v>35</v>
      </c>
      <c r="B146" s="80">
        <v>1</v>
      </c>
      <c r="C146" s="81">
        <v>431110003</v>
      </c>
      <c r="D146" s="82" t="s">
        <v>609</v>
      </c>
      <c r="E146" s="57" t="e">
        <f t="shared" ref="E146:E154" si="12">E145</f>
        <v>#REF!</v>
      </c>
      <c r="F146" s="16">
        <v>1490.514684388889</v>
      </c>
      <c r="G146" s="16">
        <f>Table5[[#This Row],[Probability]]*Table5[[#This Row],[Consequence]]</f>
        <v>1412.8068661296511</v>
      </c>
      <c r="H146" s="16">
        <f>RANK(Table5[[#This Row],[Risk Score]],$G$62:$G$312)</f>
        <v>207</v>
      </c>
      <c r="I146" s="16">
        <f>VLOOKUP(C146,Table1[[#All],[RC]:[Total Internal Corrosion Score]],27,FALSE)</f>
        <v>34.166666666666664</v>
      </c>
      <c r="J146" s="16">
        <f>RANK(Table5[[#This Row],[INTERNAL CORROSION]],$I$62:$I$312)</f>
        <v>8</v>
      </c>
      <c r="K146" s="16">
        <f>VLOOKUP(C146,Ext.Mo!$C$2:$AK$326,35,FALSE)</f>
        <v>15.221518987341771</v>
      </c>
      <c r="L146" s="16">
        <f>RANK(Table5[[#This Row],[EXTERNAL CORROSION]],$K$62:$K$312)</f>
        <v>211</v>
      </c>
      <c r="M146" s="16">
        <f>VLOOKUP(Table5[[#This Row],[RC]],Table3[[RC]:[Total TPI Score10]],23,0)</f>
        <v>43.63636363636364</v>
      </c>
      <c r="N146" s="16">
        <f>RANK(Table5[[#This Row],[THIRD PARTY INTERFERENCE]],$M$62:$M$312)</f>
        <v>2</v>
      </c>
      <c r="O146" s="16">
        <f>VLOOKUP(Table5[[#This Row],[RC]],LGS_Mo.!$C$5:$P$322,14,0)</f>
        <v>20</v>
      </c>
      <c r="P146" s="16">
        <f>RANK(Table5[[#This Row],[Loss  of ground support]],$O$62:$O$312)</f>
        <v>15</v>
      </c>
      <c r="Q146" s="16">
        <f>(I146+K146+M146+Table5[[#This Row],[Loss  of ground support]])/4</f>
        <v>28.25613732259302</v>
      </c>
      <c r="R146" s="16">
        <f>VLOOKUP(C146,consequence!$B$2:$K$302,10,FALSE)</f>
        <v>3</v>
      </c>
      <c r="S146" s="16">
        <f>VLOOKUP(C146,consequence!B6:$K$302,9,FALSE)</f>
        <v>7</v>
      </c>
      <c r="T146" s="16">
        <f t="shared" si="11"/>
        <v>50</v>
      </c>
      <c r="U146" s="16">
        <f>RANK(Table5[[#This Row],[Consequence]],$T$62:$T$264)</f>
        <v>1</v>
      </c>
      <c r="V146" s="16"/>
      <c r="X146" s="14">
        <f t="shared" ref="X146:X154" si="13">J317</f>
        <v>4.807692307692308E-3</v>
      </c>
      <c r="Y146" s="14">
        <v>19.493670886075947</v>
      </c>
    </row>
    <row r="147" spans="1:25" ht="25.5">
      <c r="A147" s="80">
        <v>35</v>
      </c>
      <c r="B147" s="80">
        <v>1</v>
      </c>
      <c r="C147" s="81">
        <v>4311103</v>
      </c>
      <c r="D147" s="82" t="s">
        <v>598</v>
      </c>
      <c r="E147" s="57" t="e">
        <f t="shared" si="12"/>
        <v>#REF!</v>
      </c>
      <c r="F147" s="16">
        <v>1490.514684388889</v>
      </c>
      <c r="G147" s="16">
        <f>Table5[[#This Row],[Probability]]*Table5[[#This Row],[Consequence]]</f>
        <v>1412.8068661296511</v>
      </c>
      <c r="H147" s="16">
        <f>RANK(Table5[[#This Row],[Risk Score]],$G$62:$G$312)</f>
        <v>207</v>
      </c>
      <c r="I147" s="16">
        <f>VLOOKUP(C147,Table1[[#All],[RC]:[Total Internal Corrosion Score]],27,FALSE)</f>
        <v>34.166666666666664</v>
      </c>
      <c r="J147" s="16">
        <f>RANK(Table5[[#This Row],[INTERNAL CORROSION]],$I$62:$I$312)</f>
        <v>8</v>
      </c>
      <c r="K147" s="16">
        <f>VLOOKUP(C147,Ext.Mo!$C$2:$AK$326,35,FALSE)</f>
        <v>15.221518987341771</v>
      </c>
      <c r="L147" s="16">
        <f>RANK(Table5[[#This Row],[EXTERNAL CORROSION]],$K$62:$K$312)</f>
        <v>211</v>
      </c>
      <c r="M147" s="16">
        <f>VLOOKUP(Table5[[#This Row],[RC]],Table3[[RC]:[Total TPI Score10]],23,0)</f>
        <v>43.63636363636364</v>
      </c>
      <c r="N147" s="16">
        <f>RANK(Table5[[#This Row],[THIRD PARTY INTERFERENCE]],$M$62:$M$312)</f>
        <v>2</v>
      </c>
      <c r="O147" s="16">
        <f>VLOOKUP(Table5[[#This Row],[RC]],LGS_Mo.!$C$5:$P$322,14,0)</f>
        <v>20</v>
      </c>
      <c r="P147" s="16">
        <f>RANK(Table5[[#This Row],[Loss  of ground support]],$O$62:$O$312)</f>
        <v>15</v>
      </c>
      <c r="Q147" s="16">
        <f>(I147+K147+M147+Table5[[#This Row],[Loss  of ground support]])/4</f>
        <v>28.25613732259302</v>
      </c>
      <c r="R147" s="16">
        <f>VLOOKUP(C147,consequence!$B$2:$K$302,10,FALSE)</f>
        <v>3</v>
      </c>
      <c r="S147" s="16">
        <f>VLOOKUP(C147,consequence!B7:$K$302,9,FALSE)</f>
        <v>7</v>
      </c>
      <c r="T147" s="16">
        <f t="shared" si="11"/>
        <v>50</v>
      </c>
      <c r="U147" s="16">
        <f>RANK(Table5[[#This Row],[Consequence]],$T$62:$T$264)</f>
        <v>1</v>
      </c>
      <c r="V147" s="16"/>
      <c r="X147" s="14">
        <f t="shared" si="13"/>
        <v>0</v>
      </c>
      <c r="Y147" s="14">
        <v>19.493670886075947</v>
      </c>
    </row>
    <row r="148" spans="1:25">
      <c r="A148" s="80">
        <v>35</v>
      </c>
      <c r="B148" s="80">
        <v>1</v>
      </c>
      <c r="C148" s="81">
        <v>431120101</v>
      </c>
      <c r="D148" s="82" t="s">
        <v>594</v>
      </c>
      <c r="E148" s="57" t="e">
        <f t="shared" si="12"/>
        <v>#REF!</v>
      </c>
      <c r="F148" s="16">
        <v>1490.514684388889</v>
      </c>
      <c r="G148" s="16">
        <f>Table5[[#This Row],[Probability]]*Table5[[#This Row],[Consequence]]</f>
        <v>1412.8068661296511</v>
      </c>
      <c r="H148" s="16">
        <f>RANK(Table5[[#This Row],[Risk Score]],$G$62:$G$312)</f>
        <v>207</v>
      </c>
      <c r="I148" s="16">
        <f>VLOOKUP(C148,Table1[[#All],[RC]:[Total Internal Corrosion Score]],27,FALSE)</f>
        <v>34.166666666666664</v>
      </c>
      <c r="J148" s="16">
        <f>RANK(Table5[[#This Row],[INTERNAL CORROSION]],$I$62:$I$312)</f>
        <v>8</v>
      </c>
      <c r="K148" s="16">
        <f>VLOOKUP(C148,Ext.Mo!$C$2:$AK$326,35,FALSE)</f>
        <v>15.221518987341771</v>
      </c>
      <c r="L148" s="16">
        <f>RANK(Table5[[#This Row],[EXTERNAL CORROSION]],$K$62:$K$312)</f>
        <v>211</v>
      </c>
      <c r="M148" s="16">
        <f>VLOOKUP(Table5[[#This Row],[RC]],Table3[[RC]:[Total TPI Score10]],23,0)</f>
        <v>43.63636363636364</v>
      </c>
      <c r="N148" s="16">
        <f>RANK(Table5[[#This Row],[THIRD PARTY INTERFERENCE]],$M$62:$M$312)</f>
        <v>2</v>
      </c>
      <c r="O148" s="16">
        <f>VLOOKUP(Table5[[#This Row],[RC]],LGS_Mo.!$C$5:$P$322,14,0)</f>
        <v>20</v>
      </c>
      <c r="P148" s="16">
        <f>RANK(Table5[[#This Row],[Loss  of ground support]],$O$62:$O$312)</f>
        <v>15</v>
      </c>
      <c r="Q148" s="16">
        <f>(I148+K148+M148+Table5[[#This Row],[Loss  of ground support]])/4</f>
        <v>28.25613732259302</v>
      </c>
      <c r="R148" s="16">
        <f>VLOOKUP(C148,consequence!$B$2:$K$302,10,FALSE)</f>
        <v>3</v>
      </c>
      <c r="S148" s="16">
        <f>VLOOKUP(C148,consequence!B8:$K$302,9,FALSE)</f>
        <v>7</v>
      </c>
      <c r="T148" s="16">
        <f t="shared" si="11"/>
        <v>50</v>
      </c>
      <c r="U148" s="16">
        <f>RANK(Table5[[#This Row],[Consequence]],$T$62:$T$264)</f>
        <v>1</v>
      </c>
      <c r="V148" s="16"/>
      <c r="X148" s="14">
        <f t="shared" si="13"/>
        <v>0</v>
      </c>
      <c r="Y148" s="14">
        <v>19.493670886075947</v>
      </c>
    </row>
    <row r="149" spans="1:25">
      <c r="A149" s="80">
        <v>35</v>
      </c>
      <c r="B149" s="80">
        <v>1</v>
      </c>
      <c r="C149" s="81">
        <v>431120102</v>
      </c>
      <c r="D149" s="82" t="s">
        <v>596</v>
      </c>
      <c r="E149" s="57" t="e">
        <f t="shared" si="12"/>
        <v>#REF!</v>
      </c>
      <c r="F149" s="16">
        <v>1490.514684388889</v>
      </c>
      <c r="G149" s="16">
        <f>Table5[[#This Row],[Probability]]*Table5[[#This Row],[Consequence]]</f>
        <v>1412.8068661296511</v>
      </c>
      <c r="H149" s="16">
        <f>RANK(Table5[[#This Row],[Risk Score]],$G$62:$G$312)</f>
        <v>207</v>
      </c>
      <c r="I149" s="16">
        <f>VLOOKUP(C149,Table1[[#All],[RC]:[Total Internal Corrosion Score]],27,FALSE)</f>
        <v>34.166666666666664</v>
      </c>
      <c r="J149" s="16">
        <f>RANK(Table5[[#This Row],[INTERNAL CORROSION]],$I$62:$I$312)</f>
        <v>8</v>
      </c>
      <c r="K149" s="16">
        <f>VLOOKUP(C149,Ext.Mo!$C$2:$AK$326,35,FALSE)</f>
        <v>15.221518987341771</v>
      </c>
      <c r="L149" s="16">
        <f>RANK(Table5[[#This Row],[EXTERNAL CORROSION]],$K$62:$K$312)</f>
        <v>211</v>
      </c>
      <c r="M149" s="16">
        <f>VLOOKUP(Table5[[#This Row],[RC]],Table3[[RC]:[Total TPI Score10]],23,0)</f>
        <v>43.63636363636364</v>
      </c>
      <c r="N149" s="16">
        <f>RANK(Table5[[#This Row],[THIRD PARTY INTERFERENCE]],$M$62:$M$312)</f>
        <v>2</v>
      </c>
      <c r="O149" s="16">
        <f>VLOOKUP(Table5[[#This Row],[RC]],LGS_Mo.!$C$5:$P$322,14,0)</f>
        <v>20</v>
      </c>
      <c r="P149" s="16">
        <f>RANK(Table5[[#This Row],[Loss  of ground support]],$O$62:$O$312)</f>
        <v>15</v>
      </c>
      <c r="Q149" s="16">
        <f>(I149+K149+M149+Table5[[#This Row],[Loss  of ground support]])/4</f>
        <v>28.25613732259302</v>
      </c>
      <c r="R149" s="16">
        <f>VLOOKUP(C149,consequence!$B$2:$K$302,10,FALSE)</f>
        <v>3</v>
      </c>
      <c r="S149" s="16">
        <f>VLOOKUP(C149,consequence!B9:$K$302,9,FALSE)</f>
        <v>7</v>
      </c>
      <c r="T149" s="9">
        <f t="shared" si="11"/>
        <v>50</v>
      </c>
      <c r="U149" s="9">
        <f>RANK(Table5[[#This Row],[Consequence]],$T$62:$T$264)</f>
        <v>1</v>
      </c>
      <c r="V149" s="16"/>
      <c r="X149" s="14">
        <f t="shared" si="13"/>
        <v>0</v>
      </c>
      <c r="Y149" s="14">
        <v>19.493670886075947</v>
      </c>
    </row>
    <row r="150" spans="1:25">
      <c r="A150" s="80">
        <v>35</v>
      </c>
      <c r="B150" s="80">
        <v>1</v>
      </c>
      <c r="C150" s="81">
        <v>431120103</v>
      </c>
      <c r="D150" s="82" t="s">
        <v>601</v>
      </c>
      <c r="E150" s="57" t="e">
        <f t="shared" si="12"/>
        <v>#REF!</v>
      </c>
      <c r="F150" s="16">
        <v>1490.514684388889</v>
      </c>
      <c r="G150" s="16">
        <f>Table5[[#This Row],[Probability]]*Table5[[#This Row],[Consequence]]</f>
        <v>1412.8068661296511</v>
      </c>
      <c r="H150" s="16">
        <f>RANK(Table5[[#This Row],[Risk Score]],$G$62:$G$312)</f>
        <v>207</v>
      </c>
      <c r="I150" s="16">
        <f>VLOOKUP(C150,Table1[[#All],[RC]:[Total Internal Corrosion Score]],27,FALSE)</f>
        <v>34.166666666666664</v>
      </c>
      <c r="J150" s="16">
        <f>RANK(Table5[[#This Row],[INTERNAL CORROSION]],$I$62:$I$312)</f>
        <v>8</v>
      </c>
      <c r="K150" s="16">
        <f>VLOOKUP(C150,Ext.Mo!$C$2:$AK$326,35,FALSE)</f>
        <v>15.221518987341771</v>
      </c>
      <c r="L150" s="16">
        <f>RANK(Table5[[#This Row],[EXTERNAL CORROSION]],$K$62:$K$312)</f>
        <v>211</v>
      </c>
      <c r="M150" s="16">
        <f>VLOOKUP(Table5[[#This Row],[RC]],Table3[[RC]:[Total TPI Score10]],23,0)</f>
        <v>43.63636363636364</v>
      </c>
      <c r="N150" s="16">
        <f>RANK(Table5[[#This Row],[THIRD PARTY INTERFERENCE]],$M$62:$M$312)</f>
        <v>2</v>
      </c>
      <c r="O150" s="16">
        <f>VLOOKUP(Table5[[#This Row],[RC]],LGS_Mo.!$C$5:$P$322,14,0)</f>
        <v>20</v>
      </c>
      <c r="P150" s="16">
        <f>RANK(Table5[[#This Row],[Loss  of ground support]],$O$62:$O$312)</f>
        <v>15</v>
      </c>
      <c r="Q150" s="16">
        <f>(I150+K150+M150+Table5[[#This Row],[Loss  of ground support]])/4</f>
        <v>28.25613732259302</v>
      </c>
      <c r="R150" s="16">
        <f>VLOOKUP(C150,consequence!$B$2:$K$302,10,FALSE)</f>
        <v>3</v>
      </c>
      <c r="S150" s="16">
        <f>VLOOKUP(C150,consequence!B10:$K$302,9,FALSE)</f>
        <v>7</v>
      </c>
      <c r="T150" s="16">
        <f t="shared" si="11"/>
        <v>50</v>
      </c>
      <c r="U150" s="16">
        <f>RANK(Table5[[#This Row],[Consequence]],$T$62:$T$264)</f>
        <v>1</v>
      </c>
      <c r="V150" s="16"/>
      <c r="X150" s="14">
        <f t="shared" si="13"/>
        <v>0</v>
      </c>
      <c r="Y150" s="14">
        <v>19.493670886075947</v>
      </c>
    </row>
    <row r="151" spans="1:25">
      <c r="A151" s="80">
        <v>35</v>
      </c>
      <c r="B151" s="80">
        <v>1</v>
      </c>
      <c r="C151" s="81">
        <v>431120106</v>
      </c>
      <c r="D151" s="82" t="s">
        <v>584</v>
      </c>
      <c r="E151" s="57" t="e">
        <f t="shared" si="12"/>
        <v>#REF!</v>
      </c>
      <c r="F151" s="16">
        <v>1490.514684388889</v>
      </c>
      <c r="G151" s="16">
        <f>Table5[[#This Row],[Probability]]*Table5[[#This Row],[Consequence]]</f>
        <v>1412.8068661296511</v>
      </c>
      <c r="H151" s="16">
        <f>RANK(Table5[[#This Row],[Risk Score]],$G$62:$G$312)</f>
        <v>207</v>
      </c>
      <c r="I151" s="16">
        <f>VLOOKUP(C151,Table1[[#All],[RC]:[Total Internal Corrosion Score]],27,FALSE)</f>
        <v>34.166666666666664</v>
      </c>
      <c r="J151" s="16">
        <f>RANK(Table5[[#This Row],[INTERNAL CORROSION]],$I$62:$I$312)</f>
        <v>8</v>
      </c>
      <c r="K151" s="16">
        <f>VLOOKUP(C151,Ext.Mo!$C$2:$AK$326,35,FALSE)</f>
        <v>15.221518987341771</v>
      </c>
      <c r="L151" s="16">
        <f>RANK(Table5[[#This Row],[EXTERNAL CORROSION]],$K$62:$K$312)</f>
        <v>211</v>
      </c>
      <c r="M151" s="16">
        <f>VLOOKUP(Table5[[#This Row],[RC]],Table3[[RC]:[Total TPI Score10]],23,0)</f>
        <v>43.63636363636364</v>
      </c>
      <c r="N151" s="16">
        <f>RANK(Table5[[#This Row],[THIRD PARTY INTERFERENCE]],$M$62:$M$312)</f>
        <v>2</v>
      </c>
      <c r="O151" s="16">
        <f>VLOOKUP(Table5[[#This Row],[RC]],LGS_Mo.!$C$5:$P$322,14,0)</f>
        <v>20</v>
      </c>
      <c r="P151" s="16">
        <f>RANK(Table5[[#This Row],[Loss  of ground support]],$O$62:$O$312)</f>
        <v>15</v>
      </c>
      <c r="Q151" s="16">
        <f>(I151+K151+M151+Table5[[#This Row],[Loss  of ground support]])/4</f>
        <v>28.25613732259302</v>
      </c>
      <c r="R151" s="16">
        <f>VLOOKUP(C151,consequence!$B$2:$K$302,10,FALSE)</f>
        <v>3</v>
      </c>
      <c r="S151" s="16">
        <f>VLOOKUP(C151,consequence!B11:$K$302,9,FALSE)</f>
        <v>7</v>
      </c>
      <c r="T151" s="16">
        <f t="shared" si="11"/>
        <v>50</v>
      </c>
      <c r="U151" s="16">
        <f>RANK(Table5[[#This Row],[Consequence]],$T$62:$T$264)</f>
        <v>1</v>
      </c>
      <c r="V151" s="16"/>
      <c r="X151" s="14">
        <f t="shared" si="13"/>
        <v>0</v>
      </c>
      <c r="Y151" s="14">
        <v>19.493670886075947</v>
      </c>
    </row>
    <row r="152" spans="1:25" s="9" customFormat="1">
      <c r="A152" s="80">
        <v>35</v>
      </c>
      <c r="B152" s="80">
        <v>1</v>
      </c>
      <c r="C152" s="81">
        <v>431120108</v>
      </c>
      <c r="D152" s="82" t="s">
        <v>589</v>
      </c>
      <c r="E152" s="57" t="e">
        <f t="shared" si="12"/>
        <v>#REF!</v>
      </c>
      <c r="F152" s="16">
        <v>1490.514684388889</v>
      </c>
      <c r="G152" s="16">
        <f>Table5[[#This Row],[Probability]]*Table5[[#This Row],[Consequence]]</f>
        <v>1412.8068661296511</v>
      </c>
      <c r="H152" s="16">
        <f>RANK(Table5[[#This Row],[Risk Score]],$G$62:$G$312)</f>
        <v>207</v>
      </c>
      <c r="I152" s="16">
        <f>VLOOKUP(C152,Table1[[#All],[RC]:[Total Internal Corrosion Score]],27,FALSE)</f>
        <v>34.166666666666664</v>
      </c>
      <c r="J152" s="16">
        <f>RANK(Table5[[#This Row],[INTERNAL CORROSION]],$I$62:$I$312)</f>
        <v>8</v>
      </c>
      <c r="K152" s="16">
        <f>VLOOKUP(C152,Ext.Mo!$C$2:$AK$326,35,FALSE)</f>
        <v>15.221518987341771</v>
      </c>
      <c r="L152" s="16">
        <f>RANK(Table5[[#This Row],[EXTERNAL CORROSION]],$K$62:$K$312)</f>
        <v>211</v>
      </c>
      <c r="M152" s="16">
        <f>VLOOKUP(Table5[[#This Row],[RC]],Table3[[RC]:[Total TPI Score10]],23,0)</f>
        <v>43.63636363636364</v>
      </c>
      <c r="N152" s="9">
        <f>RANK(Table5[[#This Row],[THIRD PARTY INTERFERENCE]],$M$62:$M$312)</f>
        <v>2</v>
      </c>
      <c r="O152" s="9">
        <f>VLOOKUP(Table5[[#This Row],[RC]],LGS_Mo.!$C$5:$P$322,14,0)</f>
        <v>20</v>
      </c>
      <c r="P152" s="9">
        <f>RANK(Table5[[#This Row],[Loss  of ground support]],$O$62:$O$312)</f>
        <v>15</v>
      </c>
      <c r="Q152" s="9">
        <f>(I152+K152+M152+Table5[[#This Row],[Loss  of ground support]])/4</f>
        <v>28.25613732259302</v>
      </c>
      <c r="R152" s="9">
        <f>VLOOKUP(C152,consequence!$B$2:$K$302,10,FALSE)</f>
        <v>3</v>
      </c>
      <c r="S152" s="9">
        <f>VLOOKUP(C152,consequence!B12:$K$302,9,FALSE)</f>
        <v>7</v>
      </c>
      <c r="T152" s="9">
        <f t="shared" si="11"/>
        <v>50</v>
      </c>
      <c r="U152" s="9">
        <f>RANK(Table5[[#This Row],[Consequence]],$T$62:$T$264)</f>
        <v>1</v>
      </c>
      <c r="X152" s="14">
        <f t="shared" si="13"/>
        <v>0</v>
      </c>
      <c r="Y152" s="14">
        <v>19.493670886075947</v>
      </c>
    </row>
    <row r="153" spans="1:25">
      <c r="A153" s="80">
        <v>35</v>
      </c>
      <c r="B153" s="80">
        <v>1</v>
      </c>
      <c r="C153" s="81">
        <v>431120001</v>
      </c>
      <c r="D153" s="82" t="s">
        <v>586</v>
      </c>
      <c r="E153" s="57" t="e">
        <f t="shared" si="12"/>
        <v>#REF!</v>
      </c>
      <c r="F153" s="16">
        <v>1490.514684388889</v>
      </c>
      <c r="G153" s="16">
        <f>Table5[[#This Row],[Probability]]*Table5[[#This Row],[Consequence]]</f>
        <v>1412.8068661296511</v>
      </c>
      <c r="H153" s="16">
        <f>RANK(Table5[[#This Row],[Risk Score]],$G$62:$G$312)</f>
        <v>207</v>
      </c>
      <c r="I153" s="16">
        <f>VLOOKUP(C153,Table1[[#All],[RC]:[Total Internal Corrosion Score]],27,FALSE)</f>
        <v>34.166666666666664</v>
      </c>
      <c r="J153" s="16">
        <f>RANK(Table5[[#This Row],[INTERNAL CORROSION]],$I$62:$I$312)</f>
        <v>8</v>
      </c>
      <c r="K153" s="16">
        <f>VLOOKUP(C153,Ext.Mo!$C$2:$AK$326,35,FALSE)</f>
        <v>15.221518987341771</v>
      </c>
      <c r="L153" s="16">
        <f>RANK(Table5[[#This Row],[EXTERNAL CORROSION]],$K$62:$K$312)</f>
        <v>211</v>
      </c>
      <c r="M153" s="16">
        <f>VLOOKUP(Table5[[#This Row],[RC]],Table3[[RC]:[Total TPI Score10]],23,0)</f>
        <v>43.63636363636364</v>
      </c>
      <c r="N153" s="16">
        <f>RANK(Table5[[#This Row],[THIRD PARTY INTERFERENCE]],$M$62:$M$312)</f>
        <v>2</v>
      </c>
      <c r="O153" s="16">
        <f>VLOOKUP(Table5[[#This Row],[RC]],LGS_Mo.!$C$5:$P$322,14,0)</f>
        <v>20</v>
      </c>
      <c r="P153" s="16">
        <f>RANK(Table5[[#This Row],[Loss  of ground support]],$O$62:$O$312)</f>
        <v>15</v>
      </c>
      <c r="Q153" s="16">
        <f>(I153+K153+M153+Table5[[#This Row],[Loss  of ground support]])/4</f>
        <v>28.25613732259302</v>
      </c>
      <c r="R153" s="16">
        <f>VLOOKUP(C153,consequence!$B$2:$K$302,10,FALSE)</f>
        <v>3</v>
      </c>
      <c r="S153" s="16">
        <f>VLOOKUP(C153,consequence!B13:$K$302,9,FALSE)</f>
        <v>7</v>
      </c>
      <c r="T153" s="16">
        <f t="shared" si="11"/>
        <v>50</v>
      </c>
      <c r="U153" s="16">
        <f>RANK(Table5[[#This Row],[Consequence]],$T$62:$T$264)</f>
        <v>1</v>
      </c>
      <c r="V153" s="16"/>
      <c r="X153" s="14">
        <f t="shared" si="13"/>
        <v>0</v>
      </c>
      <c r="Y153" s="14">
        <v>19.493670886075947</v>
      </c>
    </row>
    <row r="154" spans="1:25">
      <c r="A154" s="84">
        <v>35</v>
      </c>
      <c r="B154" s="84">
        <v>1</v>
      </c>
      <c r="C154" s="81">
        <v>4401</v>
      </c>
      <c r="D154" s="82" t="s">
        <v>234</v>
      </c>
      <c r="E154" s="57" t="e">
        <f t="shared" si="12"/>
        <v>#REF!</v>
      </c>
      <c r="F154" s="16">
        <v>1490.514684388889</v>
      </c>
      <c r="G154" s="16">
        <f>Table5[[#This Row],[Probability]]*Table5[[#This Row],[Consequence]]</f>
        <v>1373.0341388569236</v>
      </c>
      <c r="H154" s="16">
        <f>RANK(Table5[[#This Row],[Risk Score]],$G$62:$G$312)</f>
        <v>245</v>
      </c>
      <c r="I154" s="16">
        <f>VLOOKUP(C154,Table1[[#All],[RC]:[Total Internal Corrosion Score]],27,FALSE)</f>
        <v>34.166666666666664</v>
      </c>
      <c r="J154" s="16">
        <f>RANK(Table5[[#This Row],[INTERNAL CORROSION]],$I$62:$I$312)</f>
        <v>8</v>
      </c>
      <c r="K154" s="16">
        <f>VLOOKUP(C154,Ext.Mo!$C$2:$AK$326,35,FALSE)</f>
        <v>15.221518987341771</v>
      </c>
      <c r="L154" s="16">
        <f>RANK(Table5[[#This Row],[EXTERNAL CORROSION]],$K$62:$K$312)</f>
        <v>211</v>
      </c>
      <c r="M154" s="16">
        <f>VLOOKUP(Table5[[#This Row],[RC]],Table3[[RC]:[Total TPI Score10]],23,0)</f>
        <v>40.454545454545453</v>
      </c>
      <c r="N154" s="16">
        <f>RANK(Table5[[#This Row],[THIRD PARTY INTERFERENCE]],$M$62:$M$312)</f>
        <v>224</v>
      </c>
      <c r="O154" s="16">
        <f>VLOOKUP(Table5[[#This Row],[RC]],LGS_Mo.!$C$5:$P$322,14,0)</f>
        <v>20</v>
      </c>
      <c r="P154" s="16">
        <f>RANK(Table5[[#This Row],[Loss  of ground support]],$O$62:$O$312)</f>
        <v>15</v>
      </c>
      <c r="Q154" s="16">
        <f>(I154+K154+M154+Table5[[#This Row],[Loss  of ground support]])/4</f>
        <v>27.460682777138473</v>
      </c>
      <c r="R154" s="16">
        <f>VLOOKUP(C154,consequence!$B$2:$K$302,10,FALSE)</f>
        <v>3</v>
      </c>
      <c r="S154" s="16">
        <f>VLOOKUP(C154,consequence!B14:$K$302,9,FALSE)</f>
        <v>7</v>
      </c>
      <c r="T154" s="16">
        <f t="shared" si="11"/>
        <v>50</v>
      </c>
      <c r="U154" s="16">
        <f>RANK(Table5[[#This Row],[Consequence]],$T$62:$T$264)</f>
        <v>1</v>
      </c>
      <c r="V154" s="16"/>
      <c r="X154" s="14">
        <f t="shared" si="13"/>
        <v>0</v>
      </c>
      <c r="Y154" s="14">
        <v>19.493670886075947</v>
      </c>
    </row>
    <row r="155" spans="1:25" ht="25.5">
      <c r="A155" s="84">
        <v>35</v>
      </c>
      <c r="B155" s="84">
        <v>1</v>
      </c>
      <c r="C155" s="81">
        <v>44041</v>
      </c>
      <c r="D155" s="82" t="s">
        <v>237</v>
      </c>
      <c r="E155" s="57" t="e">
        <f>E259</f>
        <v>#REF!</v>
      </c>
      <c r="F155" s="16">
        <v>1490.514684388889</v>
      </c>
      <c r="G155" s="16">
        <f>Table5[[#This Row],[Probability]]*Table5[[#This Row],[Consequence]]</f>
        <v>1412.8068661296511</v>
      </c>
      <c r="H155" s="16">
        <f>RANK(Table5[[#This Row],[Risk Score]],$G$62:$G$312)</f>
        <v>207</v>
      </c>
      <c r="I155" s="16">
        <f>VLOOKUP(C155,Table1[[#All],[RC]:[Total Internal Corrosion Score]],27,FALSE)</f>
        <v>34.166666666666664</v>
      </c>
      <c r="J155" s="16">
        <f>RANK(Table5[[#This Row],[INTERNAL CORROSION]],$I$62:$I$312)</f>
        <v>8</v>
      </c>
      <c r="K155" s="16">
        <f>VLOOKUP(C155,Ext.Mo!$C$2:$AK$326,35,FALSE)</f>
        <v>15.221518987341771</v>
      </c>
      <c r="L155" s="16">
        <f>RANK(Table5[[#This Row],[EXTERNAL CORROSION]],$K$62:$K$312)</f>
        <v>211</v>
      </c>
      <c r="M155" s="16">
        <f>VLOOKUP(Table5[[#This Row],[RC]],Table3[[RC]:[Total TPI Score10]],23,0)</f>
        <v>43.63636363636364</v>
      </c>
      <c r="N155" s="16">
        <f>RANK(Table5[[#This Row],[THIRD PARTY INTERFERENCE]],$M$62:$M$312)</f>
        <v>2</v>
      </c>
      <c r="O155" s="16">
        <f>VLOOKUP(Table5[[#This Row],[RC]],LGS_Mo.!$C$5:$P$322,14,0)</f>
        <v>20</v>
      </c>
      <c r="P155" s="16">
        <f>RANK(Table5[[#This Row],[Loss  of ground support]],$O$62:$O$312)</f>
        <v>15</v>
      </c>
      <c r="Q155" s="16">
        <f>(I155+K155+M155+Table5[[#This Row],[Loss  of ground support]])/4</f>
        <v>28.25613732259302</v>
      </c>
      <c r="R155" s="16">
        <f>VLOOKUP(C155,consequence!$B$2:$K$302,10,FALSE)</f>
        <v>3</v>
      </c>
      <c r="S155" s="16">
        <f>VLOOKUP(C155,consequence!B17:$K$302,9,FALSE)</f>
        <v>7</v>
      </c>
      <c r="T155" s="16">
        <f t="shared" si="11"/>
        <v>50</v>
      </c>
      <c r="U155" s="16">
        <f>RANK(Table5[[#This Row],[Consequence]],$T$62:$T$264)</f>
        <v>1</v>
      </c>
      <c r="V155" s="16"/>
      <c r="X155" s="14">
        <f>J328</f>
        <v>0</v>
      </c>
      <c r="Y155" s="14">
        <v>19.493670886075947</v>
      </c>
    </row>
    <row r="156" spans="1:25">
      <c r="A156" s="80">
        <v>35</v>
      </c>
      <c r="B156" s="80">
        <v>1</v>
      </c>
      <c r="C156" s="81" t="s">
        <v>891</v>
      </c>
      <c r="D156" s="82" t="s">
        <v>579</v>
      </c>
      <c r="E156" s="57" t="e">
        <f>E173</f>
        <v>#REF!</v>
      </c>
      <c r="F156" s="16">
        <v>1490.514684388889</v>
      </c>
      <c r="G156" s="16">
        <f>Table5[[#This Row],[Probability]]*Table5[[#This Row],[Consequence]]</f>
        <v>1412.8068661296511</v>
      </c>
      <c r="H156" s="16">
        <f>RANK(Table5[[#This Row],[Risk Score]],$G$62:$G$312)</f>
        <v>207</v>
      </c>
      <c r="I156" s="16">
        <f>VLOOKUP(C156,Table1[[#All],[RC]:[Total Internal Corrosion Score]],27,FALSE)</f>
        <v>34.166666666666664</v>
      </c>
      <c r="J156" s="16">
        <f>RANK(Table5[[#This Row],[INTERNAL CORROSION]],$I$62:$I$312)</f>
        <v>8</v>
      </c>
      <c r="K156" s="16">
        <f>VLOOKUP(C156,Ext.Mo!$C$2:$AK$326,35,FALSE)</f>
        <v>15.221518987341771</v>
      </c>
      <c r="L156" s="16">
        <f>RANK(Table5[[#This Row],[EXTERNAL CORROSION]],$K$62:$K$312)</f>
        <v>211</v>
      </c>
      <c r="M156" s="16">
        <f>VLOOKUP(Table5[[#This Row],[RC]],Table3[[RC]:[Total TPI Score10]],23,0)</f>
        <v>43.63636363636364</v>
      </c>
      <c r="N156" s="16">
        <f>RANK(Table5[[#This Row],[THIRD PARTY INTERFERENCE]],$M$62:$M$312)</f>
        <v>2</v>
      </c>
      <c r="O156" s="16">
        <f>VLOOKUP(Table5[[#This Row],[RC]],LGS_Mo.!$C$5:$P$322,14,0)</f>
        <v>20</v>
      </c>
      <c r="P156" s="16">
        <f>RANK(Table5[[#This Row],[Loss  of ground support]],$O$62:$O$312)</f>
        <v>15</v>
      </c>
      <c r="Q156" s="16">
        <f>(I156+K156+M156+Table5[[#This Row],[Loss  of ground support]])/4</f>
        <v>28.25613732259302</v>
      </c>
      <c r="R156" s="16">
        <v>7</v>
      </c>
      <c r="S156" s="16">
        <v>3</v>
      </c>
      <c r="T156" s="16">
        <f t="shared" si="11"/>
        <v>50</v>
      </c>
      <c r="U156" s="16">
        <f>RANK(Table5[[#This Row],[Consequence]],$T$62:$T$264)</f>
        <v>1</v>
      </c>
      <c r="V156" s="16"/>
      <c r="X156" s="14">
        <f>J334</f>
        <v>0</v>
      </c>
      <c r="Y156" s="14">
        <v>19.493670886075947</v>
      </c>
    </row>
    <row r="157" spans="1:25">
      <c r="A157" s="80">
        <v>35</v>
      </c>
      <c r="B157" s="80">
        <v>1</v>
      </c>
      <c r="C157" s="81" t="s">
        <v>892</v>
      </c>
      <c r="D157" s="82" t="s">
        <v>580</v>
      </c>
      <c r="E157" s="57" t="e">
        <f>E156</f>
        <v>#REF!</v>
      </c>
      <c r="F157" s="16">
        <v>1490.514684388889</v>
      </c>
      <c r="G157" s="16">
        <f>Table5[[#This Row],[Probability]]*Table5[[#This Row],[Consequence]]</f>
        <v>1412.8068661296511</v>
      </c>
      <c r="H157" s="16">
        <f>RANK(Table5[[#This Row],[Risk Score]],$G$62:$G$312)</f>
        <v>207</v>
      </c>
      <c r="I157" s="16">
        <f>VLOOKUP(C157,Table1[[#All],[RC]:[Total Internal Corrosion Score]],27,FALSE)</f>
        <v>34.166666666666664</v>
      </c>
      <c r="J157" s="16">
        <f>RANK(Table5[[#This Row],[INTERNAL CORROSION]],$I$62:$I$312)</f>
        <v>8</v>
      </c>
      <c r="K157" s="16">
        <f>VLOOKUP(C157,Ext.Mo!$C$2:$AK$326,35,FALSE)</f>
        <v>15.221518987341771</v>
      </c>
      <c r="L157" s="16">
        <f>RANK(Table5[[#This Row],[EXTERNAL CORROSION]],$K$62:$K$312)</f>
        <v>211</v>
      </c>
      <c r="M157" s="16">
        <f>VLOOKUP(Table5[[#This Row],[RC]],Table3[[RC]:[Total TPI Score10]],23,0)</f>
        <v>43.63636363636364</v>
      </c>
      <c r="N157" s="16">
        <f>RANK(Table5[[#This Row],[THIRD PARTY INTERFERENCE]],$M$62:$M$312)</f>
        <v>2</v>
      </c>
      <c r="O157" s="16">
        <f>VLOOKUP(Table5[[#This Row],[RC]],LGS_Mo.!$C$5:$P$322,14,0)</f>
        <v>20</v>
      </c>
      <c r="P157" s="16">
        <f>RANK(Table5[[#This Row],[Loss  of ground support]],$O$62:$O$312)</f>
        <v>15</v>
      </c>
      <c r="Q157" s="16">
        <f>(I157+K157+M157+Table5[[#This Row],[Loss  of ground support]])/4</f>
        <v>28.25613732259302</v>
      </c>
      <c r="R157" s="16">
        <v>7</v>
      </c>
      <c r="S157" s="16">
        <v>3</v>
      </c>
      <c r="T157" s="16">
        <f t="shared" si="11"/>
        <v>50</v>
      </c>
      <c r="U157" s="16">
        <f>RANK(Table5[[#This Row],[Consequence]],$T$62:$T$264)</f>
        <v>1</v>
      </c>
      <c r="V157" s="16"/>
      <c r="X157" s="14">
        <f>J335</f>
        <v>0</v>
      </c>
      <c r="Y157" s="14">
        <v>19.493670886075947</v>
      </c>
    </row>
    <row r="158" spans="1:25">
      <c r="A158" s="80">
        <v>35</v>
      </c>
      <c r="B158" s="80">
        <v>1</v>
      </c>
      <c r="C158" s="81" t="s">
        <v>893</v>
      </c>
      <c r="D158" s="82" t="s">
        <v>581</v>
      </c>
      <c r="E158" s="57" t="e">
        <f>E157</f>
        <v>#REF!</v>
      </c>
      <c r="F158" s="16">
        <v>1490.514684388889</v>
      </c>
      <c r="G158" s="16">
        <f>Table5[[#This Row],[Probability]]*Table5[[#This Row],[Consequence]]</f>
        <v>1412.8068661296511</v>
      </c>
      <c r="H158" s="16">
        <f>RANK(Table5[[#This Row],[Risk Score]],$G$62:$G$312)</f>
        <v>207</v>
      </c>
      <c r="I158" s="16">
        <f>VLOOKUP(C158,Table1[[#All],[RC]:[Total Internal Corrosion Score]],27,FALSE)</f>
        <v>34.166666666666664</v>
      </c>
      <c r="J158" s="16">
        <f>RANK(Table5[[#This Row],[INTERNAL CORROSION]],$I$62:$I$312)</f>
        <v>8</v>
      </c>
      <c r="K158" s="16">
        <f>VLOOKUP(C158,Ext.Mo!$C$2:$AK$326,35,FALSE)</f>
        <v>15.221518987341771</v>
      </c>
      <c r="L158" s="16">
        <f>RANK(Table5[[#This Row],[EXTERNAL CORROSION]],$K$62:$K$312)</f>
        <v>211</v>
      </c>
      <c r="M158" s="16">
        <f>VLOOKUP(Table5[[#This Row],[RC]],Table3[[RC]:[Total TPI Score10]],23,0)</f>
        <v>43.63636363636364</v>
      </c>
      <c r="N158" s="16">
        <f>RANK(Table5[[#This Row],[THIRD PARTY INTERFERENCE]],$M$62:$M$312)</f>
        <v>2</v>
      </c>
      <c r="O158" s="16">
        <f>VLOOKUP(Table5[[#This Row],[RC]],LGS_Mo.!$C$5:$P$322,14,0)</f>
        <v>20</v>
      </c>
      <c r="P158" s="16">
        <f>RANK(Table5[[#This Row],[Loss  of ground support]],$O$62:$O$312)</f>
        <v>15</v>
      </c>
      <c r="Q158" s="16">
        <f>(I158+K158+M158+Table5[[#This Row],[Loss  of ground support]])/4</f>
        <v>28.25613732259302</v>
      </c>
      <c r="R158" s="16">
        <v>7</v>
      </c>
      <c r="S158" s="16">
        <v>3</v>
      </c>
      <c r="T158" s="16">
        <f t="shared" si="11"/>
        <v>50</v>
      </c>
      <c r="U158" s="16">
        <f>RANK(Table5[[#This Row],[Consequence]],$T$62:$T$264)</f>
        <v>1</v>
      </c>
      <c r="V158" s="16"/>
      <c r="X158" s="14">
        <f>J336</f>
        <v>0</v>
      </c>
      <c r="Y158" s="14">
        <v>19.493670886075947</v>
      </c>
    </row>
    <row r="159" spans="1:25">
      <c r="A159" s="80">
        <v>35</v>
      </c>
      <c r="B159" s="80">
        <v>1</v>
      </c>
      <c r="C159" s="81" t="s">
        <v>894</v>
      </c>
      <c r="D159" s="82" t="s">
        <v>582</v>
      </c>
      <c r="E159" s="57" t="e">
        <f>E158</f>
        <v>#REF!</v>
      </c>
      <c r="F159" s="16">
        <v>1490.514684388889</v>
      </c>
      <c r="G159" s="16">
        <f>Table5[[#This Row],[Probability]]*Table5[[#This Row],[Consequence]]</f>
        <v>1412.8068661296511</v>
      </c>
      <c r="H159" s="16">
        <f>RANK(Table5[[#This Row],[Risk Score]],$G$62:$G$312)</f>
        <v>207</v>
      </c>
      <c r="I159" s="16">
        <f>VLOOKUP(C159,Table1[[#All],[RC]:[Total Internal Corrosion Score]],27,FALSE)</f>
        <v>34.166666666666664</v>
      </c>
      <c r="J159" s="16">
        <f>RANK(Table5[[#This Row],[INTERNAL CORROSION]],$I$62:$I$312)</f>
        <v>8</v>
      </c>
      <c r="K159" s="16">
        <f>VLOOKUP(C159,Ext.Mo!$C$2:$AK$326,35,FALSE)</f>
        <v>15.221518987341771</v>
      </c>
      <c r="L159" s="16">
        <f>RANK(Table5[[#This Row],[EXTERNAL CORROSION]],$K$62:$K$312)</f>
        <v>211</v>
      </c>
      <c r="M159" s="16">
        <f>VLOOKUP(Table5[[#This Row],[RC]],Table3[[RC]:[Total TPI Score10]],23,0)</f>
        <v>43.63636363636364</v>
      </c>
      <c r="N159" s="16">
        <f>RANK(Table5[[#This Row],[THIRD PARTY INTERFERENCE]],$M$62:$M$312)</f>
        <v>2</v>
      </c>
      <c r="O159" s="16">
        <f>VLOOKUP(Table5[[#This Row],[RC]],LGS_Mo.!$C$5:$P$322,14,0)</f>
        <v>20</v>
      </c>
      <c r="P159" s="16">
        <f>RANK(Table5[[#This Row],[Loss  of ground support]],$O$62:$O$312)</f>
        <v>15</v>
      </c>
      <c r="Q159" s="16">
        <f>(I159+K159+M159+Table5[[#This Row],[Loss  of ground support]])/4</f>
        <v>28.25613732259302</v>
      </c>
      <c r="R159" s="16">
        <v>7</v>
      </c>
      <c r="S159" s="16">
        <v>3</v>
      </c>
      <c r="T159" s="16">
        <f t="shared" si="11"/>
        <v>50</v>
      </c>
      <c r="U159" s="16">
        <f>RANK(Table5[[#This Row],[Consequence]],$T$62:$T$264)</f>
        <v>1</v>
      </c>
      <c r="V159" s="16"/>
      <c r="X159" s="14">
        <f>J337</f>
        <v>0</v>
      </c>
      <c r="Y159" s="14">
        <v>19.493670886075947</v>
      </c>
    </row>
    <row r="160" spans="1:25">
      <c r="A160" s="80">
        <v>35</v>
      </c>
      <c r="B160" s="87">
        <v>1</v>
      </c>
      <c r="C160" s="88" t="s">
        <v>895</v>
      </c>
      <c r="D160" s="89" t="s">
        <v>587</v>
      </c>
      <c r="E160" s="57" t="e">
        <f>E159</f>
        <v>#REF!</v>
      </c>
      <c r="F160" s="16">
        <v>1490.514684388889</v>
      </c>
      <c r="G160" s="16">
        <f>Table5[[#This Row],[Probability]]*Table5[[#This Row],[Consequence]]</f>
        <v>1412.8068661296511</v>
      </c>
      <c r="H160" s="16">
        <f>RANK(Table5[[#This Row],[Risk Score]],$G$62:$G$312)</f>
        <v>207</v>
      </c>
      <c r="I160" s="16">
        <f>VLOOKUP(C160,Table1[[#All],[RC]:[Total Internal Corrosion Score]],27,FALSE)</f>
        <v>34.166666666666664</v>
      </c>
      <c r="J160" s="16">
        <f>RANK(Table5[[#This Row],[INTERNAL CORROSION]],$I$62:$I$312)</f>
        <v>8</v>
      </c>
      <c r="K160" s="16">
        <f>VLOOKUP(C160,Ext.Mo!$C$2:$AK$326,35,FALSE)</f>
        <v>15.221518987341771</v>
      </c>
      <c r="L160" s="16">
        <f>RANK(Table5[[#This Row],[EXTERNAL CORROSION]],$K$62:$K$312)</f>
        <v>211</v>
      </c>
      <c r="M160" s="16">
        <f>VLOOKUP(Table5[[#This Row],[RC]],Table3[[RC]:[Total TPI Score10]],23,0)</f>
        <v>43.63636363636364</v>
      </c>
      <c r="N160" s="16">
        <f>RANK(Table5[[#This Row],[THIRD PARTY INTERFERENCE]],$M$62:$M$312)</f>
        <v>2</v>
      </c>
      <c r="O160" s="16">
        <f>VLOOKUP(Table5[[#This Row],[RC]],LGS_Mo.!$C$5:$P$322,14,0)</f>
        <v>20</v>
      </c>
      <c r="P160" s="16">
        <f>RANK(Table5[[#This Row],[Loss  of ground support]],$O$62:$O$312)</f>
        <v>15</v>
      </c>
      <c r="Q160" s="16">
        <f>(I160+K160+M160+Table5[[#This Row],[Loss  of ground support]])/4</f>
        <v>28.25613732259302</v>
      </c>
      <c r="R160" s="16">
        <v>7</v>
      </c>
      <c r="S160" s="16">
        <v>3</v>
      </c>
      <c r="T160" s="16">
        <f t="shared" si="11"/>
        <v>50</v>
      </c>
      <c r="U160" s="16">
        <f>RANK(Table5[[#This Row],[Consequence]],$T$62:$T$264)</f>
        <v>1</v>
      </c>
      <c r="V160" s="16"/>
      <c r="X160" s="14">
        <f>J338</f>
        <v>0</v>
      </c>
      <c r="Y160" s="14">
        <v>19.493670886075947</v>
      </c>
    </row>
    <row r="161" spans="1:25">
      <c r="A161" s="80">
        <v>35</v>
      </c>
      <c r="B161" s="80">
        <v>1</v>
      </c>
      <c r="C161" s="81" t="s">
        <v>896</v>
      </c>
      <c r="D161" s="82" t="s">
        <v>592</v>
      </c>
      <c r="E161" s="57" t="e">
        <f>E261</f>
        <v>#REF!</v>
      </c>
      <c r="F161" s="16">
        <v>1490.514684388889</v>
      </c>
      <c r="G161" s="16">
        <f>Table5[[#This Row],[Probability]]*Table5[[#This Row],[Consequence]]</f>
        <v>1412.8068661296511</v>
      </c>
      <c r="H161" s="16">
        <f>RANK(Table5[[#This Row],[Risk Score]],$G$62:$G$312)</f>
        <v>207</v>
      </c>
      <c r="I161" s="16">
        <f>VLOOKUP(C161,Table1[[#All],[RC]:[Total Internal Corrosion Score]],27,FALSE)</f>
        <v>34.166666666666664</v>
      </c>
      <c r="J161" s="16">
        <f>RANK(Table5[[#This Row],[INTERNAL CORROSION]],$I$62:$I$312)</f>
        <v>8</v>
      </c>
      <c r="K161" s="16">
        <f>VLOOKUP(C161,Ext.Mo!$C$2:$AK$326,35,FALSE)</f>
        <v>15.221518987341771</v>
      </c>
      <c r="L161" s="16">
        <f>RANK(Table5[[#This Row],[EXTERNAL CORROSION]],$K$62:$K$312)</f>
        <v>211</v>
      </c>
      <c r="M161" s="16">
        <f>VLOOKUP(Table5[[#This Row],[RC]],Table3[[RC]:[Total TPI Score10]],23,0)</f>
        <v>43.63636363636364</v>
      </c>
      <c r="N161" s="16">
        <f>RANK(Table5[[#This Row],[THIRD PARTY INTERFERENCE]],$M$62:$M$312)</f>
        <v>2</v>
      </c>
      <c r="O161" s="16">
        <f>VLOOKUP(Table5[[#This Row],[RC]],LGS_Mo.!$C$5:$P$322,14,0)</f>
        <v>20</v>
      </c>
      <c r="P161" s="16">
        <f>RANK(Table5[[#This Row],[Loss  of ground support]],$O$62:$O$312)</f>
        <v>15</v>
      </c>
      <c r="Q161" s="16">
        <f>(I161+K161+M161+Table5[[#This Row],[Loss  of ground support]])/4</f>
        <v>28.25613732259302</v>
      </c>
      <c r="R161" s="16">
        <v>7</v>
      </c>
      <c r="S161" s="16">
        <v>3</v>
      </c>
      <c r="T161" s="16">
        <f t="shared" si="11"/>
        <v>50</v>
      </c>
      <c r="U161" s="16">
        <f>RANK(Table5[[#This Row],[Consequence]],$T$62:$T$264)</f>
        <v>1</v>
      </c>
      <c r="V161" s="16"/>
      <c r="X161" s="14">
        <f t="shared" ref="X161:X169" si="14">J340</f>
        <v>0</v>
      </c>
      <c r="Y161" s="14">
        <v>19.493670886075947</v>
      </c>
    </row>
    <row r="162" spans="1:25">
      <c r="A162" s="80">
        <v>35</v>
      </c>
      <c r="B162" s="80">
        <v>1</v>
      </c>
      <c r="C162" s="81" t="s">
        <v>897</v>
      </c>
      <c r="D162" s="82" t="s">
        <v>590</v>
      </c>
      <c r="E162" s="57" t="e">
        <f>E161</f>
        <v>#REF!</v>
      </c>
      <c r="F162" s="16">
        <v>1490.514684388889</v>
      </c>
      <c r="G162" s="16">
        <f>Table5[[#This Row],[Probability]]*Table5[[#This Row],[Consequence]]</f>
        <v>1412.8068661296511</v>
      </c>
      <c r="H162" s="16">
        <f>RANK(Table5[[#This Row],[Risk Score]],$G$62:$G$312)</f>
        <v>207</v>
      </c>
      <c r="I162" s="16">
        <f>VLOOKUP(C162,Table1[[#All],[RC]:[Total Internal Corrosion Score]],27,FALSE)</f>
        <v>34.166666666666664</v>
      </c>
      <c r="J162" s="16">
        <f>RANK(Table5[[#This Row],[INTERNAL CORROSION]],$I$62:$I$312)</f>
        <v>8</v>
      </c>
      <c r="K162" s="16">
        <f>VLOOKUP(C162,Ext.Mo!$C$2:$AK$326,35,FALSE)</f>
        <v>15.221518987341771</v>
      </c>
      <c r="L162" s="16">
        <f>RANK(Table5[[#This Row],[EXTERNAL CORROSION]],$K$62:$K$312)</f>
        <v>211</v>
      </c>
      <c r="M162" s="16">
        <f>VLOOKUP(Table5[[#This Row],[RC]],Table3[[RC]:[Total TPI Score10]],23,0)</f>
        <v>43.63636363636364</v>
      </c>
      <c r="N162" s="16">
        <f>RANK(Table5[[#This Row],[THIRD PARTY INTERFERENCE]],$M$62:$M$312)</f>
        <v>2</v>
      </c>
      <c r="O162" s="16">
        <f>VLOOKUP(Table5[[#This Row],[RC]],LGS_Mo.!$C$5:$P$322,14,0)</f>
        <v>20</v>
      </c>
      <c r="P162" s="16">
        <f>RANK(Table5[[#This Row],[Loss  of ground support]],$O$62:$O$312)</f>
        <v>15</v>
      </c>
      <c r="Q162" s="16">
        <f>(I162+K162+M162+Table5[[#This Row],[Loss  of ground support]])/4</f>
        <v>28.25613732259302</v>
      </c>
      <c r="R162" s="16">
        <v>7</v>
      </c>
      <c r="S162" s="16">
        <v>3</v>
      </c>
      <c r="T162" s="16">
        <f t="shared" si="11"/>
        <v>50</v>
      </c>
      <c r="U162" s="16">
        <f>RANK(Table5[[#This Row],[Consequence]],$T$62:$T$264)</f>
        <v>1</v>
      </c>
      <c r="V162" s="16"/>
      <c r="X162" s="14">
        <f t="shared" si="14"/>
        <v>0</v>
      </c>
      <c r="Y162" s="14">
        <v>19.493670886075947</v>
      </c>
    </row>
    <row r="163" spans="1:25">
      <c r="A163" s="80">
        <v>35</v>
      </c>
      <c r="B163" s="80">
        <v>1</v>
      </c>
      <c r="C163" s="81" t="s">
        <v>898</v>
      </c>
      <c r="D163" s="82" t="s">
        <v>599</v>
      </c>
      <c r="E163" s="57">
        <f>F347</f>
        <v>0</v>
      </c>
      <c r="F163" s="16">
        <v>1490.514684388889</v>
      </c>
      <c r="G163" s="16">
        <f>Table5[[#This Row],[Probability]]*Table5[[#This Row],[Consequence]]</f>
        <v>1412.8068661296511</v>
      </c>
      <c r="H163" s="16">
        <f>RANK(Table5[[#This Row],[Risk Score]],$G$62:$G$312)</f>
        <v>207</v>
      </c>
      <c r="I163" s="16">
        <f>VLOOKUP(C163,Table1[[#All],[RC]:[Total Internal Corrosion Score]],27,FALSE)</f>
        <v>34.166666666666664</v>
      </c>
      <c r="J163" s="16">
        <f>RANK(Table5[[#This Row],[INTERNAL CORROSION]],$I$62:$I$312)</f>
        <v>8</v>
      </c>
      <c r="K163" s="16">
        <f>VLOOKUP(C163,Ext.Mo!$C$2:$AK$326,35,FALSE)</f>
        <v>15.221518987341771</v>
      </c>
      <c r="L163" s="16">
        <f>RANK(Table5[[#This Row],[EXTERNAL CORROSION]],$K$62:$K$312)</f>
        <v>211</v>
      </c>
      <c r="M163" s="16">
        <f>VLOOKUP(Table5[[#This Row],[RC]],Table3[[RC]:[Total TPI Score10]],23,0)</f>
        <v>43.63636363636364</v>
      </c>
      <c r="N163" s="16">
        <f>RANK(Table5[[#This Row],[THIRD PARTY INTERFERENCE]],$M$62:$M$312)</f>
        <v>2</v>
      </c>
      <c r="O163" s="16">
        <f>VLOOKUP(Table5[[#This Row],[RC]],LGS_Mo.!$C$5:$P$322,14,0)</f>
        <v>20</v>
      </c>
      <c r="P163" s="16">
        <f>RANK(Table5[[#This Row],[Loss  of ground support]],$O$62:$O$312)</f>
        <v>15</v>
      </c>
      <c r="Q163" s="16">
        <f>(I163+K163+M163+Table5[[#This Row],[Loss  of ground support]])/4</f>
        <v>28.25613732259302</v>
      </c>
      <c r="R163" s="16">
        <v>7</v>
      </c>
      <c r="S163" s="16">
        <v>3</v>
      </c>
      <c r="T163" s="16">
        <f t="shared" si="11"/>
        <v>50</v>
      </c>
      <c r="U163" s="16">
        <f>RANK(Table5[[#This Row],[Consequence]],$T$62:$T$264)</f>
        <v>1</v>
      </c>
      <c r="V163" s="16"/>
      <c r="X163" s="14">
        <f t="shared" si="14"/>
        <v>0</v>
      </c>
      <c r="Y163" s="14">
        <v>19.493670886075947</v>
      </c>
    </row>
    <row r="164" spans="1:25">
      <c r="A164" s="80">
        <v>35</v>
      </c>
      <c r="B164" s="80">
        <v>1</v>
      </c>
      <c r="C164" s="81" t="s">
        <v>899</v>
      </c>
      <c r="D164" s="82" t="s">
        <v>602</v>
      </c>
      <c r="E164" s="57">
        <f t="shared" ref="E164:E169" si="15">E163</f>
        <v>0</v>
      </c>
      <c r="F164" s="16">
        <v>1490.514684388889</v>
      </c>
      <c r="G164" s="16">
        <f>Table5[[#This Row],[Probability]]*Table5[[#This Row],[Consequence]]</f>
        <v>1412.8068661296511</v>
      </c>
      <c r="H164" s="16">
        <f>RANK(Table5[[#This Row],[Risk Score]],$G$62:$G$312)</f>
        <v>207</v>
      </c>
      <c r="I164" s="16">
        <f>VLOOKUP(C164,Table1[[#All],[RC]:[Total Internal Corrosion Score]],27,FALSE)</f>
        <v>34.166666666666664</v>
      </c>
      <c r="J164" s="16">
        <f>RANK(Table5[[#This Row],[INTERNAL CORROSION]],$I$62:$I$312)</f>
        <v>8</v>
      </c>
      <c r="K164" s="16">
        <f>VLOOKUP(C164,Ext.Mo!$C$2:$AK$326,35,FALSE)</f>
        <v>15.221518987341771</v>
      </c>
      <c r="L164" s="16">
        <f>RANK(Table5[[#This Row],[EXTERNAL CORROSION]],$K$62:$K$312)</f>
        <v>211</v>
      </c>
      <c r="M164" s="16">
        <f>VLOOKUP(Table5[[#This Row],[RC]],Table3[[RC]:[Total TPI Score10]],23,0)</f>
        <v>43.63636363636364</v>
      </c>
      <c r="N164" s="16">
        <f>RANK(Table5[[#This Row],[THIRD PARTY INTERFERENCE]],$M$62:$M$312)</f>
        <v>2</v>
      </c>
      <c r="O164" s="16">
        <f>VLOOKUP(Table5[[#This Row],[RC]],LGS_Mo.!$C$5:$P$322,14,0)</f>
        <v>20</v>
      </c>
      <c r="P164" s="16">
        <f>RANK(Table5[[#This Row],[Loss  of ground support]],$O$62:$O$312)</f>
        <v>15</v>
      </c>
      <c r="Q164" s="16">
        <f>(I164+K164+M164+Table5[[#This Row],[Loss  of ground support]])/4</f>
        <v>28.25613732259302</v>
      </c>
      <c r="R164" s="16">
        <v>7</v>
      </c>
      <c r="S164" s="16">
        <v>3</v>
      </c>
      <c r="T164" s="16">
        <f t="shared" si="11"/>
        <v>50</v>
      </c>
      <c r="U164" s="16">
        <f>RANK(Table5[[#This Row],[Consequence]],$T$62:$T$264)</f>
        <v>1</v>
      </c>
      <c r="V164" s="16"/>
      <c r="X164" s="14">
        <f t="shared" si="14"/>
        <v>0</v>
      </c>
      <c r="Y164" s="14">
        <v>19.493670886075947</v>
      </c>
    </row>
    <row r="165" spans="1:25">
      <c r="A165" s="80">
        <v>35</v>
      </c>
      <c r="B165" s="80">
        <v>1</v>
      </c>
      <c r="C165" s="81" t="s">
        <v>900</v>
      </c>
      <c r="D165" s="82" t="s">
        <v>603</v>
      </c>
      <c r="E165" s="57">
        <f t="shared" si="15"/>
        <v>0</v>
      </c>
      <c r="F165" s="16">
        <v>1490.514684388889</v>
      </c>
      <c r="G165" s="16">
        <f>Table5[[#This Row],[Probability]]*Table5[[#This Row],[Consequence]]</f>
        <v>1412.8068661296511</v>
      </c>
      <c r="H165" s="16">
        <f>RANK(Table5[[#This Row],[Risk Score]],$G$62:$G$312)</f>
        <v>207</v>
      </c>
      <c r="I165" s="16">
        <f>VLOOKUP(C165,Table1[[#All],[RC]:[Total Internal Corrosion Score]],27,FALSE)</f>
        <v>34.166666666666664</v>
      </c>
      <c r="J165" s="16">
        <f>RANK(Table5[[#This Row],[INTERNAL CORROSION]],$I$62:$I$312)</f>
        <v>8</v>
      </c>
      <c r="K165" s="16">
        <f>VLOOKUP(C165,Ext.Mo!$C$2:$AK$326,35,FALSE)</f>
        <v>15.221518987341771</v>
      </c>
      <c r="L165" s="16">
        <f>RANK(Table5[[#This Row],[EXTERNAL CORROSION]],$K$62:$K$312)</f>
        <v>211</v>
      </c>
      <c r="M165" s="16">
        <f>VLOOKUP(Table5[[#This Row],[RC]],Table3[[RC]:[Total TPI Score10]],23,0)</f>
        <v>43.63636363636364</v>
      </c>
      <c r="N165" s="16">
        <f>RANK(Table5[[#This Row],[THIRD PARTY INTERFERENCE]],$M$62:$M$312)</f>
        <v>2</v>
      </c>
      <c r="O165" s="16">
        <f>VLOOKUP(Table5[[#This Row],[RC]],LGS_Mo.!$C$5:$P$322,14,0)</f>
        <v>20</v>
      </c>
      <c r="P165" s="16">
        <f>RANK(Table5[[#This Row],[Loss  of ground support]],$O$62:$O$312)</f>
        <v>15</v>
      </c>
      <c r="Q165" s="16">
        <f>(I165+K165+M165+Table5[[#This Row],[Loss  of ground support]])/4</f>
        <v>28.25613732259302</v>
      </c>
      <c r="R165" s="16">
        <v>7</v>
      </c>
      <c r="S165" s="16">
        <v>3</v>
      </c>
      <c r="T165" s="16">
        <f t="shared" si="11"/>
        <v>50</v>
      </c>
      <c r="U165" s="16">
        <f>RANK(Table5[[#This Row],[Consequence]],$T$62:$T$264)</f>
        <v>1</v>
      </c>
      <c r="V165" s="16"/>
      <c r="X165" s="14">
        <f t="shared" si="14"/>
        <v>0</v>
      </c>
      <c r="Y165" s="14">
        <v>19.493670886075947</v>
      </c>
    </row>
    <row r="166" spans="1:25">
      <c r="A166" s="80">
        <v>35</v>
      </c>
      <c r="B166" s="80">
        <v>1</v>
      </c>
      <c r="C166" s="81" t="s">
        <v>901</v>
      </c>
      <c r="D166" s="82" t="s">
        <v>604</v>
      </c>
      <c r="E166" s="57">
        <f t="shared" si="15"/>
        <v>0</v>
      </c>
      <c r="F166" s="16">
        <v>1490.514684388889</v>
      </c>
      <c r="G166" s="16">
        <f>Table5[[#This Row],[Probability]]*Table5[[#This Row],[Consequence]]</f>
        <v>1412.8068661296511</v>
      </c>
      <c r="H166" s="16">
        <f>RANK(Table5[[#This Row],[Risk Score]],$G$62:$G$312)</f>
        <v>207</v>
      </c>
      <c r="I166" s="16">
        <f>VLOOKUP(C166,Table1[[#All],[RC]:[Total Internal Corrosion Score]],27,FALSE)</f>
        <v>34.166666666666664</v>
      </c>
      <c r="J166" s="16">
        <f>RANK(Table5[[#This Row],[INTERNAL CORROSION]],$I$62:$I$312)</f>
        <v>8</v>
      </c>
      <c r="K166" s="16">
        <f>VLOOKUP(C166,Ext.Mo!$C$2:$AK$326,35,FALSE)</f>
        <v>15.221518987341771</v>
      </c>
      <c r="L166" s="16">
        <f>RANK(Table5[[#This Row],[EXTERNAL CORROSION]],$K$62:$K$312)</f>
        <v>211</v>
      </c>
      <c r="M166" s="16">
        <f>VLOOKUP(Table5[[#This Row],[RC]],Table3[[RC]:[Total TPI Score10]],23,0)</f>
        <v>43.63636363636364</v>
      </c>
      <c r="N166" s="16">
        <f>RANK(Table5[[#This Row],[THIRD PARTY INTERFERENCE]],$M$62:$M$312)</f>
        <v>2</v>
      </c>
      <c r="O166" s="16">
        <f>VLOOKUP(Table5[[#This Row],[RC]],LGS_Mo.!$C$5:$P$322,14,0)</f>
        <v>20</v>
      </c>
      <c r="P166" s="16">
        <f>RANK(Table5[[#This Row],[Loss  of ground support]],$O$62:$O$312)</f>
        <v>15</v>
      </c>
      <c r="Q166" s="16">
        <f>(I166+K166+M166+Table5[[#This Row],[Loss  of ground support]])/4</f>
        <v>28.25613732259302</v>
      </c>
      <c r="R166" s="16">
        <v>7</v>
      </c>
      <c r="S166" s="16">
        <v>3</v>
      </c>
      <c r="T166" s="16">
        <f t="shared" si="11"/>
        <v>50</v>
      </c>
      <c r="U166" s="16">
        <f>RANK(Table5[[#This Row],[Consequence]],$T$62:$T$264)</f>
        <v>1</v>
      </c>
      <c r="V166" s="16"/>
      <c r="X166" s="14">
        <f t="shared" si="14"/>
        <v>0</v>
      </c>
      <c r="Y166" s="14">
        <v>19.493670886075947</v>
      </c>
    </row>
    <row r="167" spans="1:25">
      <c r="A167" s="80">
        <v>35</v>
      </c>
      <c r="B167" s="80">
        <v>1</v>
      </c>
      <c r="C167" s="81" t="s">
        <v>902</v>
      </c>
      <c r="D167" s="82" t="s">
        <v>605</v>
      </c>
      <c r="E167" s="57">
        <f t="shared" si="15"/>
        <v>0</v>
      </c>
      <c r="F167" s="16">
        <v>1490.514684388889</v>
      </c>
      <c r="G167" s="16">
        <f>Table5[[#This Row],[Probability]]*Table5[[#This Row],[Consequence]]</f>
        <v>1412.8068661296511</v>
      </c>
      <c r="H167" s="16">
        <f>RANK(Table5[[#This Row],[Risk Score]],$G$62:$G$312)</f>
        <v>207</v>
      </c>
      <c r="I167" s="16">
        <f>VLOOKUP(C167,Table1[[#All],[RC]:[Total Internal Corrosion Score]],27,FALSE)</f>
        <v>34.166666666666664</v>
      </c>
      <c r="J167" s="16">
        <f>RANK(Table5[[#This Row],[INTERNAL CORROSION]],$I$62:$I$312)</f>
        <v>8</v>
      </c>
      <c r="K167" s="16">
        <f>VLOOKUP(C167,Ext.Mo!$C$2:$AK$326,35,FALSE)</f>
        <v>15.221518987341771</v>
      </c>
      <c r="L167" s="16">
        <f>RANK(Table5[[#This Row],[EXTERNAL CORROSION]],$K$62:$K$312)</f>
        <v>211</v>
      </c>
      <c r="M167" s="16">
        <f>VLOOKUP(Table5[[#This Row],[RC]],Table3[[RC]:[Total TPI Score10]],23,0)</f>
        <v>43.63636363636364</v>
      </c>
      <c r="N167" s="16">
        <f>RANK(Table5[[#This Row],[THIRD PARTY INTERFERENCE]],$M$62:$M$312)</f>
        <v>2</v>
      </c>
      <c r="O167" s="16">
        <f>VLOOKUP(Table5[[#This Row],[RC]],LGS_Mo.!$C$5:$P$322,14,0)</f>
        <v>20</v>
      </c>
      <c r="P167" s="16">
        <f>RANK(Table5[[#This Row],[Loss  of ground support]],$O$62:$O$312)</f>
        <v>15</v>
      </c>
      <c r="Q167" s="16">
        <f>(I167+K167+M167+Table5[[#This Row],[Loss  of ground support]])/4</f>
        <v>28.25613732259302</v>
      </c>
      <c r="R167" s="16">
        <v>7</v>
      </c>
      <c r="S167" s="16">
        <v>3</v>
      </c>
      <c r="T167" s="16">
        <f t="shared" si="11"/>
        <v>50</v>
      </c>
      <c r="U167" s="16">
        <f>RANK(Table5[[#This Row],[Consequence]],$T$62:$T$264)</f>
        <v>1</v>
      </c>
      <c r="V167" s="16"/>
      <c r="X167" s="14">
        <f t="shared" si="14"/>
        <v>0</v>
      </c>
      <c r="Y167" s="14">
        <v>19.493670886075947</v>
      </c>
    </row>
    <row r="168" spans="1:25">
      <c r="A168" s="80">
        <v>35</v>
      </c>
      <c r="B168" s="80">
        <v>1</v>
      </c>
      <c r="C168" s="81" t="s">
        <v>903</v>
      </c>
      <c r="D168" s="82" t="s">
        <v>606</v>
      </c>
      <c r="E168" s="57">
        <f t="shared" si="15"/>
        <v>0</v>
      </c>
      <c r="F168" s="16">
        <v>1490.514684388889</v>
      </c>
      <c r="G168" s="16">
        <f>Table5[[#This Row],[Probability]]*Table5[[#This Row],[Consequence]]</f>
        <v>1412.8068661296511</v>
      </c>
      <c r="H168" s="16">
        <f>RANK(Table5[[#This Row],[Risk Score]],$G$62:$G$312)</f>
        <v>207</v>
      </c>
      <c r="I168" s="16">
        <f>VLOOKUP(C168,Table1[[#All],[RC]:[Total Internal Corrosion Score]],27,FALSE)</f>
        <v>34.166666666666664</v>
      </c>
      <c r="J168" s="16">
        <f>RANK(Table5[[#This Row],[INTERNAL CORROSION]],$I$62:$I$312)</f>
        <v>8</v>
      </c>
      <c r="K168" s="16">
        <f>VLOOKUP(C168,Ext.Mo!$C$2:$AK$326,35,FALSE)</f>
        <v>15.221518987341771</v>
      </c>
      <c r="L168" s="16">
        <f>RANK(Table5[[#This Row],[EXTERNAL CORROSION]],$K$62:$K$312)</f>
        <v>211</v>
      </c>
      <c r="M168" s="16">
        <f>VLOOKUP(Table5[[#This Row],[RC]],Table3[[RC]:[Total TPI Score10]],23,0)</f>
        <v>43.63636363636364</v>
      </c>
      <c r="N168" s="16">
        <f>RANK(Table5[[#This Row],[THIRD PARTY INTERFERENCE]],$M$62:$M$312)</f>
        <v>2</v>
      </c>
      <c r="O168" s="16">
        <f>VLOOKUP(Table5[[#This Row],[RC]],LGS_Mo.!$C$5:$P$322,14,0)</f>
        <v>20</v>
      </c>
      <c r="P168" s="16">
        <f>RANK(Table5[[#This Row],[Loss  of ground support]],$O$62:$O$312)</f>
        <v>15</v>
      </c>
      <c r="Q168" s="16">
        <f>(I168+K168+M168+Table5[[#This Row],[Loss  of ground support]])/4</f>
        <v>28.25613732259302</v>
      </c>
      <c r="R168" s="16">
        <v>7</v>
      </c>
      <c r="S168" s="16">
        <v>3</v>
      </c>
      <c r="T168" s="16">
        <f t="shared" si="11"/>
        <v>50</v>
      </c>
      <c r="U168" s="16">
        <f>RANK(Table5[[#This Row],[Consequence]],$T$62:$T$264)</f>
        <v>1</v>
      </c>
      <c r="V168" s="16"/>
      <c r="X168" s="14">
        <f t="shared" si="14"/>
        <v>0</v>
      </c>
      <c r="Y168" s="14">
        <v>19.493670886075947</v>
      </c>
    </row>
    <row r="169" spans="1:25">
      <c r="A169" s="80">
        <v>35</v>
      </c>
      <c r="B169" s="80">
        <v>1</v>
      </c>
      <c r="C169" s="81" t="s">
        <v>904</v>
      </c>
      <c r="D169" s="82" t="s">
        <v>607</v>
      </c>
      <c r="E169" s="57">
        <f t="shared" si="15"/>
        <v>0</v>
      </c>
      <c r="F169" s="16">
        <v>1490.514684388889</v>
      </c>
      <c r="G169" s="16">
        <f>Table5[[#This Row],[Probability]]*Table5[[#This Row],[Consequence]]</f>
        <v>1412.8068661296511</v>
      </c>
      <c r="H169" s="16">
        <f>RANK(Table5[[#This Row],[Risk Score]],$G$62:$G$312)</f>
        <v>207</v>
      </c>
      <c r="I169" s="16">
        <f>VLOOKUP(C169,Table1[[#All],[RC]:[Total Internal Corrosion Score]],27,FALSE)</f>
        <v>34.166666666666664</v>
      </c>
      <c r="J169" s="16">
        <f>RANK(Table5[[#This Row],[INTERNAL CORROSION]],$I$62:$I$312)</f>
        <v>8</v>
      </c>
      <c r="K169" s="16">
        <f>VLOOKUP(C169,Ext.Mo!$C$2:$AK$326,35,FALSE)</f>
        <v>15.221518987341771</v>
      </c>
      <c r="L169" s="16">
        <f>RANK(Table5[[#This Row],[EXTERNAL CORROSION]],$K$62:$K$312)</f>
        <v>211</v>
      </c>
      <c r="M169" s="16">
        <f>VLOOKUP(Table5[[#This Row],[RC]],Table3[[RC]:[Total TPI Score10]],23,0)</f>
        <v>43.63636363636364</v>
      </c>
      <c r="N169" s="16">
        <f>RANK(Table5[[#This Row],[THIRD PARTY INTERFERENCE]],$M$62:$M$312)</f>
        <v>2</v>
      </c>
      <c r="O169" s="16">
        <f>VLOOKUP(Table5[[#This Row],[RC]],LGS_Mo.!$C$5:$P$322,14,0)</f>
        <v>20</v>
      </c>
      <c r="P169" s="16">
        <f>RANK(Table5[[#This Row],[Loss  of ground support]],$O$62:$O$312)</f>
        <v>15</v>
      </c>
      <c r="Q169" s="16">
        <f>(I169+K169+M169+Table5[[#This Row],[Loss  of ground support]])/4</f>
        <v>28.25613732259302</v>
      </c>
      <c r="R169" s="16">
        <v>7</v>
      </c>
      <c r="S169" s="16">
        <v>3</v>
      </c>
      <c r="T169" s="16">
        <f t="shared" si="11"/>
        <v>50</v>
      </c>
      <c r="U169" s="16">
        <f>RANK(Table5[[#This Row],[Consequence]],$T$62:$T$264)</f>
        <v>1</v>
      </c>
      <c r="V169" s="16"/>
      <c r="X169" s="14">
        <f t="shared" si="14"/>
        <v>0</v>
      </c>
      <c r="Y169" s="14">
        <v>19.493670886075947</v>
      </c>
    </row>
    <row r="170" spans="1:25">
      <c r="A170" s="84" t="s">
        <v>987</v>
      </c>
      <c r="B170" s="84">
        <v>1</v>
      </c>
      <c r="C170" s="81">
        <v>632102</v>
      </c>
      <c r="D170" s="82" t="s">
        <v>238</v>
      </c>
      <c r="E170" s="57" t="e">
        <f>E260</f>
        <v>#REF!</v>
      </c>
      <c r="F170" s="16">
        <v>1490.514684388889</v>
      </c>
      <c r="G170" s="16">
        <f>Table5[[#This Row],[Probability]]*Table5[[#This Row],[Consequence]]</f>
        <v>1412.8068661296511</v>
      </c>
      <c r="H170" s="16">
        <f>RANK(Table5[[#This Row],[Risk Score]],$G$62:$G$312)</f>
        <v>207</v>
      </c>
      <c r="I170" s="16">
        <f>VLOOKUP(C170,Table1[[#All],[RC]:[Total Internal Corrosion Score]],27,FALSE)</f>
        <v>34.166666666666664</v>
      </c>
      <c r="J170" s="16">
        <f>RANK(Table5[[#This Row],[INTERNAL CORROSION]],$I$62:$I$312)</f>
        <v>8</v>
      </c>
      <c r="K170" s="16">
        <f>VLOOKUP(C170,Ext.Mo!$C$2:$AK$326,35,FALSE)</f>
        <v>15.221518987341771</v>
      </c>
      <c r="L170" s="16">
        <f>RANK(Table5[[#This Row],[EXTERNAL CORROSION]],$K$62:$K$312)</f>
        <v>211</v>
      </c>
      <c r="M170" s="16">
        <f>VLOOKUP(Table5[[#This Row],[RC]],Table3[[RC]:[Total TPI Score10]],23,0)</f>
        <v>43.63636363636364</v>
      </c>
      <c r="N170" s="16">
        <f>RANK(Table5[[#This Row],[THIRD PARTY INTERFERENCE]],$M$62:$M$312)</f>
        <v>2</v>
      </c>
      <c r="O170" s="16">
        <f>VLOOKUP(Table5[[#This Row],[RC]],LGS_Mo.!$C$5:$P$322,14,0)</f>
        <v>20</v>
      </c>
      <c r="P170" s="16">
        <f>RANK(Table5[[#This Row],[Loss  of ground support]],$O$62:$O$312)</f>
        <v>15</v>
      </c>
      <c r="Q170" s="16">
        <f>(I170+K170+M170+Table5[[#This Row],[Loss  of ground support]])/4</f>
        <v>28.25613732259302</v>
      </c>
      <c r="R170" s="16">
        <f>VLOOKUP(C170,consequence!$B$2:$K$302,10,FALSE)</f>
        <v>3</v>
      </c>
      <c r="S170" s="16">
        <f>VLOOKUP(C170,consequence!B19:$K$302,9,FALSE)</f>
        <v>7</v>
      </c>
      <c r="T170" s="16">
        <f t="shared" si="11"/>
        <v>50</v>
      </c>
      <c r="U170" s="16">
        <f>RANK(Table5[[#This Row],[Consequence]],$T$62:$T$264)</f>
        <v>1</v>
      </c>
      <c r="V170" s="16"/>
      <c r="X170" s="14">
        <f>J330</f>
        <v>0</v>
      </c>
      <c r="Y170" s="14">
        <v>19.493670886075947</v>
      </c>
    </row>
    <row r="171" spans="1:25">
      <c r="A171" s="84" t="s">
        <v>987</v>
      </c>
      <c r="B171" s="80">
        <v>1</v>
      </c>
      <c r="C171" s="81" t="s">
        <v>888</v>
      </c>
      <c r="D171" s="82" t="s">
        <v>568</v>
      </c>
      <c r="E171" s="57" t="e">
        <f>E170</f>
        <v>#REF!</v>
      </c>
      <c r="F171" s="16">
        <v>1490.514684388889</v>
      </c>
      <c r="G171" s="16">
        <f>Table5[[#This Row],[Probability]]*Table5[[#This Row],[Consequence]]</f>
        <v>1373.0341388569236</v>
      </c>
      <c r="H171" s="16">
        <f>RANK(Table5[[#This Row],[Risk Score]],$G$62:$G$312)</f>
        <v>245</v>
      </c>
      <c r="I171" s="16">
        <f>VLOOKUP(C171,Table1[[#All],[RC]:[Total Internal Corrosion Score]],27,FALSE)</f>
        <v>34.166666666666664</v>
      </c>
      <c r="J171" s="16">
        <f>RANK(Table5[[#This Row],[INTERNAL CORROSION]],$I$62:$I$312)</f>
        <v>8</v>
      </c>
      <c r="K171" s="16">
        <f>VLOOKUP(C171,Ext.Mo!$C$2:$AK$326,35,FALSE)</f>
        <v>15.221518987341771</v>
      </c>
      <c r="L171" s="16">
        <f>RANK(Table5[[#This Row],[EXTERNAL CORROSION]],$K$62:$K$312)</f>
        <v>211</v>
      </c>
      <c r="M171" s="16">
        <f>VLOOKUP(Table5[[#This Row],[RC]],Table3[[RC]:[Total TPI Score10]],23,0)</f>
        <v>40.454545454545453</v>
      </c>
      <c r="N171" s="16">
        <f>RANK(Table5[[#This Row],[THIRD PARTY INTERFERENCE]],$M$62:$M$312)</f>
        <v>224</v>
      </c>
      <c r="O171" s="16">
        <f>VLOOKUP(Table5[[#This Row],[RC]],LGS_Mo.!$C$5:$P$322,14,0)</f>
        <v>20</v>
      </c>
      <c r="P171" s="16">
        <f>RANK(Table5[[#This Row],[Loss  of ground support]],$O$62:$O$312)</f>
        <v>15</v>
      </c>
      <c r="Q171" s="16">
        <f>(I171+K171+M171+Table5[[#This Row],[Loss  of ground support]])/4</f>
        <v>27.460682777138473</v>
      </c>
      <c r="R171" s="16">
        <v>7</v>
      </c>
      <c r="S171" s="16">
        <v>3</v>
      </c>
      <c r="T171" s="16">
        <f t="shared" si="11"/>
        <v>50</v>
      </c>
      <c r="U171" s="16">
        <f>RANK(Table5[[#This Row],[Consequence]],$T$62:$T$264)</f>
        <v>1</v>
      </c>
      <c r="V171" s="16"/>
      <c r="X171" s="14">
        <f>J331</f>
        <v>0</v>
      </c>
      <c r="Y171" s="14">
        <v>19.493670886075947</v>
      </c>
    </row>
    <row r="172" spans="1:25">
      <c r="A172" s="84" t="s">
        <v>987</v>
      </c>
      <c r="B172" s="80">
        <v>1</v>
      </c>
      <c r="C172" s="81" t="s">
        <v>889</v>
      </c>
      <c r="D172" s="82" t="s">
        <v>569</v>
      </c>
      <c r="E172" s="57" t="e">
        <f>E171</f>
        <v>#REF!</v>
      </c>
      <c r="F172" s="16">
        <v>1490.514684388889</v>
      </c>
      <c r="G172" s="16">
        <f>Table5[[#This Row],[Probability]]*Table5[[#This Row],[Consequence]]</f>
        <v>1412.8068661296511</v>
      </c>
      <c r="H172" s="16">
        <f>RANK(Table5[[#This Row],[Risk Score]],$G$62:$G$312)</f>
        <v>207</v>
      </c>
      <c r="I172" s="16">
        <f>VLOOKUP(C172,Table1[[#All],[RC]:[Total Internal Corrosion Score]],27,FALSE)</f>
        <v>34.166666666666664</v>
      </c>
      <c r="J172" s="16">
        <f>RANK(Table5[[#This Row],[INTERNAL CORROSION]],$I$62:$I$312)</f>
        <v>8</v>
      </c>
      <c r="K172" s="16">
        <f>VLOOKUP(C172,Ext.Mo!$C$2:$AK$326,35,FALSE)</f>
        <v>15.221518987341771</v>
      </c>
      <c r="L172" s="16">
        <f>RANK(Table5[[#This Row],[EXTERNAL CORROSION]],$K$62:$K$312)</f>
        <v>211</v>
      </c>
      <c r="M172" s="16">
        <f>VLOOKUP(Table5[[#This Row],[RC]],Table3[[RC]:[Total TPI Score10]],23,0)</f>
        <v>43.63636363636364</v>
      </c>
      <c r="N172" s="16">
        <f>RANK(Table5[[#This Row],[THIRD PARTY INTERFERENCE]],$M$62:$M$312)</f>
        <v>2</v>
      </c>
      <c r="O172" s="16">
        <f>VLOOKUP(Table5[[#This Row],[RC]],LGS_Mo.!$C$5:$P$322,14,0)</f>
        <v>20</v>
      </c>
      <c r="P172" s="16">
        <f>RANK(Table5[[#This Row],[Loss  of ground support]],$O$62:$O$312)</f>
        <v>15</v>
      </c>
      <c r="Q172" s="16">
        <f>(I172+K172+M172+Table5[[#This Row],[Loss  of ground support]])/4</f>
        <v>28.25613732259302</v>
      </c>
      <c r="R172" s="16">
        <v>7</v>
      </c>
      <c r="S172" s="16">
        <v>3</v>
      </c>
      <c r="T172" s="16">
        <f t="shared" si="11"/>
        <v>50</v>
      </c>
      <c r="U172" s="16">
        <f>RANK(Table5[[#This Row],[Consequence]],$T$62:$T$264)</f>
        <v>1</v>
      </c>
      <c r="V172" s="16"/>
      <c r="X172" s="14">
        <f>J332</f>
        <v>0</v>
      </c>
      <c r="Y172" s="14">
        <v>19.493670886075947</v>
      </c>
    </row>
    <row r="173" spans="1:25">
      <c r="A173" s="84" t="s">
        <v>987</v>
      </c>
      <c r="B173" s="80">
        <v>1</v>
      </c>
      <c r="C173" s="81" t="s">
        <v>890</v>
      </c>
      <c r="D173" s="82" t="s">
        <v>572</v>
      </c>
      <c r="E173" s="57" t="e">
        <f>E172</f>
        <v>#REF!</v>
      </c>
      <c r="F173" s="16">
        <v>1490.514684388889</v>
      </c>
      <c r="G173" s="16">
        <f>Table5[[#This Row],[Probability]]*Table5[[#This Row],[Consequence]]</f>
        <v>1412.8068661296511</v>
      </c>
      <c r="H173" s="16">
        <f>RANK(Table5[[#This Row],[Risk Score]],$G$62:$G$312)</f>
        <v>207</v>
      </c>
      <c r="I173" s="16">
        <f>VLOOKUP(C173,Table1[[#All],[RC]:[Total Internal Corrosion Score]],27,FALSE)</f>
        <v>34.166666666666664</v>
      </c>
      <c r="J173" s="16">
        <f>RANK(Table5[[#This Row],[INTERNAL CORROSION]],$I$62:$I$312)</f>
        <v>8</v>
      </c>
      <c r="K173" s="16">
        <f>VLOOKUP(C173,Ext.Mo!$C$2:$AK$326,35,FALSE)</f>
        <v>15.221518987341771</v>
      </c>
      <c r="L173" s="16">
        <f>RANK(Table5[[#This Row],[EXTERNAL CORROSION]],$K$62:$K$312)</f>
        <v>211</v>
      </c>
      <c r="M173" s="16">
        <f>VLOOKUP(Table5[[#This Row],[RC]],Table3[[RC]:[Total TPI Score10]],23,0)</f>
        <v>43.63636363636364</v>
      </c>
      <c r="N173" s="16">
        <f>RANK(Table5[[#This Row],[THIRD PARTY INTERFERENCE]],$M$62:$M$312)</f>
        <v>2</v>
      </c>
      <c r="O173" s="16">
        <f>VLOOKUP(Table5[[#This Row],[RC]],LGS_Mo.!$C$5:$P$322,14,0)</f>
        <v>20</v>
      </c>
      <c r="P173" s="16">
        <f>RANK(Table5[[#This Row],[Loss  of ground support]],$O$62:$O$312)</f>
        <v>15</v>
      </c>
      <c r="Q173" s="16">
        <f>(I173+K173+M173+Table5[[#This Row],[Loss  of ground support]])/4</f>
        <v>28.25613732259302</v>
      </c>
      <c r="R173" s="16">
        <v>7</v>
      </c>
      <c r="S173" s="16">
        <v>3</v>
      </c>
      <c r="T173" s="16">
        <f t="shared" si="11"/>
        <v>50</v>
      </c>
      <c r="U173" s="16">
        <f>RANK(Table5[[#This Row],[Consequence]],$T$62:$T$264)</f>
        <v>1</v>
      </c>
      <c r="V173" s="16"/>
      <c r="X173" s="14">
        <f>J333</f>
        <v>0</v>
      </c>
      <c r="Y173" s="14">
        <v>19.493670886075947</v>
      </c>
    </row>
    <row r="174" spans="1:25">
      <c r="A174" s="84" t="s">
        <v>987</v>
      </c>
      <c r="B174" s="80">
        <v>1</v>
      </c>
      <c r="C174" s="81">
        <v>631100002</v>
      </c>
      <c r="D174" s="82" t="s">
        <v>574</v>
      </c>
      <c r="E174" s="57">
        <f>E169</f>
        <v>0</v>
      </c>
      <c r="F174" s="16">
        <v>1490.514684388889</v>
      </c>
      <c r="G174" s="16">
        <f>Table5[[#This Row],[Probability]]*Table5[[#This Row],[Consequence]]</f>
        <v>1412.8068661296511</v>
      </c>
      <c r="H174" s="16">
        <f>RANK(Table5[[#This Row],[Risk Score]],$G$62:$G$312)</f>
        <v>207</v>
      </c>
      <c r="I174" s="16">
        <f>VLOOKUP(C174,Table1[[#All],[RC]:[Total Internal Corrosion Score]],27,FALSE)</f>
        <v>34.166666666666664</v>
      </c>
      <c r="J174" s="16">
        <f>RANK(Table5[[#This Row],[INTERNAL CORROSION]],$I$62:$I$312)</f>
        <v>8</v>
      </c>
      <c r="K174" s="16">
        <f>VLOOKUP(C174,Ext.Mo!$C$2:$AK$326,35,FALSE)</f>
        <v>15.221518987341771</v>
      </c>
      <c r="L174" s="16">
        <f>RANK(Table5[[#This Row],[EXTERNAL CORROSION]],$K$62:$K$312)</f>
        <v>211</v>
      </c>
      <c r="M174" s="16">
        <f>VLOOKUP(Table5[[#This Row],[RC]],Table3[[RC]:[Total TPI Score10]],23,0)</f>
        <v>43.63636363636364</v>
      </c>
      <c r="N174" s="16">
        <f>RANK(Table5[[#This Row],[THIRD PARTY INTERFERENCE]],$M$62:$M$312)</f>
        <v>2</v>
      </c>
      <c r="O174" s="16">
        <f>VLOOKUP(Table5[[#This Row],[RC]],LGS_Mo.!$C$5:$P$322,14,0)</f>
        <v>20</v>
      </c>
      <c r="P174" s="16">
        <f>RANK(Table5[[#This Row],[Loss  of ground support]],$O$62:$O$312)</f>
        <v>15</v>
      </c>
      <c r="Q174" s="16">
        <f>(I174+K174+M174+Table5[[#This Row],[Loss  of ground support]])/4</f>
        <v>28.25613732259302</v>
      </c>
      <c r="R174" s="16">
        <v>7</v>
      </c>
      <c r="S174" s="16">
        <v>3</v>
      </c>
      <c r="T174" s="16">
        <f t="shared" si="11"/>
        <v>50</v>
      </c>
      <c r="U174" s="16">
        <f>RANK(Table5[[#This Row],[Consequence]],$T$62:$T$264)</f>
        <v>1</v>
      </c>
      <c r="V174" s="16"/>
      <c r="X174" s="14">
        <f>J349</f>
        <v>0</v>
      </c>
      <c r="Y174" s="14">
        <v>19.493670886075947</v>
      </c>
    </row>
    <row r="175" spans="1:25">
      <c r="A175" s="84" t="s">
        <v>987</v>
      </c>
      <c r="B175" s="80">
        <v>1</v>
      </c>
      <c r="C175" s="81">
        <v>631100004</v>
      </c>
      <c r="D175" s="82" t="s">
        <v>571</v>
      </c>
      <c r="E175" s="57">
        <f>E174</f>
        <v>0</v>
      </c>
      <c r="F175" s="16">
        <v>1490.514684388889</v>
      </c>
      <c r="G175" s="16">
        <f>Table5[[#This Row],[Probability]]*Table5[[#This Row],[Consequence]]</f>
        <v>1412.8068661296511</v>
      </c>
      <c r="H175" s="16">
        <f>RANK(Table5[[#This Row],[Risk Score]],$G$62:$G$312)</f>
        <v>207</v>
      </c>
      <c r="I175" s="16">
        <f>VLOOKUP(C175,Table1[[#All],[RC]:[Total Internal Corrosion Score]],27,FALSE)</f>
        <v>34.166666666666664</v>
      </c>
      <c r="J175" s="16">
        <f>RANK(Table5[[#This Row],[INTERNAL CORROSION]],$I$62:$I$312)</f>
        <v>8</v>
      </c>
      <c r="K175" s="16">
        <f>VLOOKUP(C175,Ext.Mo!$C$2:$AK$326,35,FALSE)</f>
        <v>15.221518987341771</v>
      </c>
      <c r="L175" s="16">
        <f>RANK(Table5[[#This Row],[EXTERNAL CORROSION]],$K$62:$K$312)</f>
        <v>211</v>
      </c>
      <c r="M175" s="16">
        <f>VLOOKUP(Table5[[#This Row],[RC]],Table3[[RC]:[Total TPI Score10]],23,0)</f>
        <v>43.63636363636364</v>
      </c>
      <c r="N175" s="16">
        <f>RANK(Table5[[#This Row],[THIRD PARTY INTERFERENCE]],$M$62:$M$312)</f>
        <v>2</v>
      </c>
      <c r="O175" s="16">
        <f>VLOOKUP(Table5[[#This Row],[RC]],LGS_Mo.!$C$5:$P$322,14,0)</f>
        <v>20</v>
      </c>
      <c r="P175" s="16">
        <f>RANK(Table5[[#This Row],[Loss  of ground support]],$O$62:$O$312)</f>
        <v>15</v>
      </c>
      <c r="Q175" s="16">
        <f>(I175+K175+M175+Table5[[#This Row],[Loss  of ground support]])/4</f>
        <v>28.25613732259302</v>
      </c>
      <c r="R175" s="16">
        <v>7</v>
      </c>
      <c r="S175" s="16">
        <v>3</v>
      </c>
      <c r="T175" s="16">
        <f t="shared" si="11"/>
        <v>50</v>
      </c>
      <c r="U175" s="16">
        <f>RANK(Table5[[#This Row],[Consequence]],$T$62:$T$264)</f>
        <v>1</v>
      </c>
      <c r="V175" s="16"/>
      <c r="X175" s="14">
        <f>J350</f>
        <v>0</v>
      </c>
      <c r="Y175" s="14">
        <v>19.493670886075947</v>
      </c>
    </row>
    <row r="176" spans="1:25">
      <c r="A176" s="84" t="s">
        <v>987</v>
      </c>
      <c r="B176" s="84">
        <v>1</v>
      </c>
      <c r="C176" s="81">
        <v>6322101</v>
      </c>
      <c r="D176" s="82" t="s">
        <v>239</v>
      </c>
      <c r="E176" s="57">
        <f>E175</f>
        <v>0</v>
      </c>
      <c r="F176" s="16">
        <v>1490.514684388889</v>
      </c>
      <c r="G176" s="16">
        <f>Table5[[#This Row],[Probability]]*Table5[[#This Row],[Consequence]]</f>
        <v>1373.0341388569236</v>
      </c>
      <c r="H176" s="16">
        <f>RANK(Table5[[#This Row],[Risk Score]],$G$62:$G$312)</f>
        <v>245</v>
      </c>
      <c r="I176" s="16">
        <f>VLOOKUP(C176,Table1[[#All],[RC]:[Total Internal Corrosion Score]],27,FALSE)</f>
        <v>34.166666666666664</v>
      </c>
      <c r="J176" s="16">
        <f>RANK(Table5[[#This Row],[INTERNAL CORROSION]],$I$62:$I$312)</f>
        <v>8</v>
      </c>
      <c r="K176" s="16">
        <f>VLOOKUP(C176,Ext.Mo!$C$2:$AK$326,35,FALSE)</f>
        <v>15.221518987341771</v>
      </c>
      <c r="L176" s="16">
        <f>RANK(Table5[[#This Row],[EXTERNAL CORROSION]],$K$62:$K$312)</f>
        <v>211</v>
      </c>
      <c r="M176" s="16">
        <f>VLOOKUP(Table5[[#This Row],[RC]],Table3[[RC]:[Total TPI Score10]],23,0)</f>
        <v>40.454545454545453</v>
      </c>
      <c r="N176" s="16">
        <f>RANK(Table5[[#This Row],[THIRD PARTY INTERFERENCE]],$M$62:$M$312)</f>
        <v>224</v>
      </c>
      <c r="O176" s="16">
        <f>VLOOKUP(Table5[[#This Row],[RC]],LGS_Mo.!$C$5:$P$322,14,0)</f>
        <v>20</v>
      </c>
      <c r="P176" s="16">
        <f>RANK(Table5[[#This Row],[Loss  of ground support]],$O$62:$O$312)</f>
        <v>15</v>
      </c>
      <c r="Q176" s="16">
        <f>(I176+K176+M176+Table5[[#This Row],[Loss  of ground support]])/4</f>
        <v>27.460682777138473</v>
      </c>
      <c r="R176" s="16">
        <v>7</v>
      </c>
      <c r="S176" s="16">
        <v>3</v>
      </c>
      <c r="T176" s="16">
        <f t="shared" si="11"/>
        <v>50</v>
      </c>
      <c r="U176" s="16">
        <f>RANK(Table5[[#This Row],[Consequence]],$T$62:$T$264)</f>
        <v>1</v>
      </c>
      <c r="V176" s="16"/>
      <c r="X176" s="14">
        <f>J351</f>
        <v>0</v>
      </c>
      <c r="Y176" s="14">
        <v>19.493670886075947</v>
      </c>
    </row>
    <row r="177" spans="1:25">
      <c r="A177" s="84" t="s">
        <v>987</v>
      </c>
      <c r="B177" s="84">
        <v>1</v>
      </c>
      <c r="C177" s="81">
        <v>6322104</v>
      </c>
      <c r="D177" s="82" t="s">
        <v>240</v>
      </c>
      <c r="E177" s="57">
        <f>E176</f>
        <v>0</v>
      </c>
      <c r="F177" s="16">
        <v>1490.514684388889</v>
      </c>
      <c r="G177" s="16">
        <f>Table5[[#This Row],[Probability]]*Table5[[#This Row],[Consequence]]</f>
        <v>1412.8068661296511</v>
      </c>
      <c r="H177" s="16">
        <f>RANK(Table5[[#This Row],[Risk Score]],$G$62:$G$312)</f>
        <v>207</v>
      </c>
      <c r="I177" s="16">
        <f>VLOOKUP(C177,Table1[[#All],[RC]:[Total Internal Corrosion Score]],27,FALSE)</f>
        <v>34.166666666666664</v>
      </c>
      <c r="J177" s="16">
        <f>RANK(Table5[[#This Row],[INTERNAL CORROSION]],$I$62:$I$312)</f>
        <v>8</v>
      </c>
      <c r="K177" s="16">
        <f>VLOOKUP(C177,Ext.Mo!$C$2:$AK$326,35,FALSE)</f>
        <v>15.221518987341771</v>
      </c>
      <c r="L177" s="16">
        <f>RANK(Table5[[#This Row],[EXTERNAL CORROSION]],$K$62:$K$312)</f>
        <v>211</v>
      </c>
      <c r="M177" s="16">
        <f>VLOOKUP(Table5[[#This Row],[RC]],Table3[[RC]:[Total TPI Score10]],23,0)</f>
        <v>43.63636363636364</v>
      </c>
      <c r="N177" s="16">
        <f>RANK(Table5[[#This Row],[THIRD PARTY INTERFERENCE]],$M$62:$M$312)</f>
        <v>2</v>
      </c>
      <c r="O177" s="16">
        <f>VLOOKUP(Table5[[#This Row],[RC]],LGS_Mo.!$C$5:$P$322,14,0)</f>
        <v>20</v>
      </c>
      <c r="P177" s="16">
        <f>RANK(Table5[[#This Row],[Loss  of ground support]],$O$62:$O$312)</f>
        <v>15</v>
      </c>
      <c r="Q177" s="16">
        <f>(I177+K177+M177+Table5[[#This Row],[Loss  of ground support]])/4</f>
        <v>28.25613732259302</v>
      </c>
      <c r="R177" s="16">
        <v>7</v>
      </c>
      <c r="S177" s="16">
        <v>3</v>
      </c>
      <c r="T177" s="16">
        <f t="shared" si="11"/>
        <v>50</v>
      </c>
      <c r="U177" s="16">
        <f>RANK(Table5[[#This Row],[Consequence]],$T$62:$T$264)</f>
        <v>1</v>
      </c>
      <c r="V177" s="16"/>
      <c r="X177" s="14">
        <f>J352</f>
        <v>0</v>
      </c>
      <c r="Y177" s="14">
        <v>19.493670886075947</v>
      </c>
    </row>
    <row r="178" spans="1:25" ht="25.5">
      <c r="A178" s="84" t="s">
        <v>987</v>
      </c>
      <c r="B178" s="84">
        <v>1</v>
      </c>
      <c r="C178" s="81">
        <v>405110101</v>
      </c>
      <c r="D178" s="82" t="s">
        <v>245</v>
      </c>
      <c r="E178" s="57">
        <f>E109</f>
        <v>0</v>
      </c>
      <c r="F178" s="16">
        <v>1490.514684388889</v>
      </c>
      <c r="G178" s="16">
        <f>Table5[[#This Row],[Probability]]*Table5[[#This Row],[Consequence]]</f>
        <v>1466.2087537878788</v>
      </c>
      <c r="H178" s="16">
        <f>RANK(Table5[[#This Row],[Risk Score]],$G$62:$G$312)</f>
        <v>23</v>
      </c>
      <c r="I178" s="16">
        <f>VLOOKUP(C178,Table1[[#All],[RC]:[Total Internal Corrosion Score]],27,FALSE)</f>
        <v>34.166666666666664</v>
      </c>
      <c r="J178" s="16">
        <f>RANK(Table5[[#This Row],[INTERNAL CORROSION]],$I$62:$I$312)</f>
        <v>8</v>
      </c>
      <c r="K178" s="16">
        <f>VLOOKUP(C178,Ext.Mo!$C$2:$AK$326,35,FALSE)</f>
        <v>19.493670000000002</v>
      </c>
      <c r="L178" s="16">
        <f>RANK(Table5[[#This Row],[EXTERNAL CORROSION]],$K$62:$K$312)</f>
        <v>3</v>
      </c>
      <c r="M178" s="16">
        <f>VLOOKUP(Table5[[#This Row],[RC]],Table3[[RC]:[Total TPI Score10]],23,0)</f>
        <v>43.63636363636364</v>
      </c>
      <c r="N178" s="16">
        <f>RANK(Table5[[#This Row],[THIRD PARTY INTERFERENCE]],$M$62:$M$312)</f>
        <v>2</v>
      </c>
      <c r="O178" s="16">
        <f>VLOOKUP(Table5[[#This Row],[RC]],LGS_Mo.!$C$5:$P$322,14,0)</f>
        <v>20</v>
      </c>
      <c r="P178" s="16">
        <f>RANK(Table5[[#This Row],[Loss  of ground support]],$O$62:$O$312)</f>
        <v>15</v>
      </c>
      <c r="Q178" s="16">
        <f>(I178+K178+M178+Table5[[#This Row],[Loss  of ground support]])/4</f>
        <v>29.324175075757577</v>
      </c>
      <c r="R178" s="16">
        <v>7</v>
      </c>
      <c r="S178" s="16">
        <v>3</v>
      </c>
      <c r="T178" s="16">
        <f t="shared" si="11"/>
        <v>50</v>
      </c>
      <c r="U178" s="16">
        <f>RANK(Table5[[#This Row],[Consequence]],$T$62:$T$264)</f>
        <v>1</v>
      </c>
      <c r="V178" s="16"/>
      <c r="X178" s="14">
        <f>J358</f>
        <v>0</v>
      </c>
      <c r="Y178" s="14">
        <v>19.493670886075947</v>
      </c>
    </row>
    <row r="179" spans="1:25">
      <c r="A179" s="84" t="s">
        <v>987</v>
      </c>
      <c r="B179" s="80">
        <v>1</v>
      </c>
      <c r="C179" s="81">
        <v>503100002</v>
      </c>
      <c r="D179" s="82" t="s">
        <v>561</v>
      </c>
      <c r="E179" s="57" t="e">
        <f>#REF!</f>
        <v>#REF!</v>
      </c>
      <c r="F179" s="16">
        <v>1490.514684388889</v>
      </c>
      <c r="G179" s="16">
        <f>Table5[[#This Row],[Probability]]*Table5[[#This Row],[Consequence]]</f>
        <v>1466.2087537878788</v>
      </c>
      <c r="H179" s="16">
        <f>RANK(Table5[[#This Row],[Risk Score]],$G$62:$G$312)</f>
        <v>23</v>
      </c>
      <c r="I179" s="16">
        <f>VLOOKUP(C179,Table1[[#All],[RC]:[Total Internal Corrosion Score]],27,FALSE)</f>
        <v>34.166666666666664</v>
      </c>
      <c r="J179" s="16">
        <f>RANK(Table5[[#This Row],[INTERNAL CORROSION]],$I$62:$I$312)</f>
        <v>8</v>
      </c>
      <c r="K179" s="16">
        <f>VLOOKUP(C179,Ext.Mo!$C$2:$AK$326,35,FALSE)</f>
        <v>19.493670000000002</v>
      </c>
      <c r="L179" s="16">
        <f>RANK(Table5[[#This Row],[EXTERNAL CORROSION]],$K$62:$K$312)</f>
        <v>3</v>
      </c>
      <c r="M179" s="16">
        <f>VLOOKUP(Table5[[#This Row],[RC]],Table3[[RC]:[Total TPI Score10]],23,0)</f>
        <v>43.63636363636364</v>
      </c>
      <c r="N179" s="16">
        <f>RANK(Table5[[#This Row],[THIRD PARTY INTERFERENCE]],$M$62:$M$312)</f>
        <v>2</v>
      </c>
      <c r="O179" s="16">
        <f>VLOOKUP(Table5[[#This Row],[RC]],LGS_Mo.!$C$5:$P$322,14,0)</f>
        <v>20</v>
      </c>
      <c r="P179" s="16">
        <f>RANK(Table5[[#This Row],[Loss  of ground support]],$O$62:$O$312)</f>
        <v>15</v>
      </c>
      <c r="Q179" s="16">
        <f>(I179+K179+M179+Table5[[#This Row],[Loss  of ground support]])/4</f>
        <v>29.324175075757577</v>
      </c>
      <c r="R179" s="16">
        <v>7</v>
      </c>
      <c r="S179" s="16">
        <v>3</v>
      </c>
      <c r="T179" s="16">
        <f t="shared" si="11"/>
        <v>50</v>
      </c>
      <c r="U179" s="16">
        <f>RANK(Table5[[#This Row],[Consequence]],$T$62:$T$264)</f>
        <v>1</v>
      </c>
      <c r="V179" s="16"/>
      <c r="X179" s="14">
        <f>J366</f>
        <v>0</v>
      </c>
      <c r="Y179" s="14">
        <v>19.493670886075947</v>
      </c>
    </row>
    <row r="180" spans="1:25" ht="25.5">
      <c r="A180" s="84" t="s">
        <v>988</v>
      </c>
      <c r="B180" s="84">
        <v>1</v>
      </c>
      <c r="C180" s="81">
        <v>5033</v>
      </c>
      <c r="D180" s="82" t="s">
        <v>235</v>
      </c>
      <c r="E180" s="57" t="e">
        <f>E154</f>
        <v>#REF!</v>
      </c>
      <c r="F180" s="16">
        <v>1490.514684388889</v>
      </c>
      <c r="G180" s="16">
        <f>Table5[[#This Row],[Probability]]*Table5[[#This Row],[Consequence]]</f>
        <v>1412.8068661296511</v>
      </c>
      <c r="H180" s="16">
        <f>RANK(Table5[[#This Row],[Risk Score]],$G$62:$G$312)</f>
        <v>207</v>
      </c>
      <c r="I180" s="16">
        <f>VLOOKUP(C180,Table1[[#All],[RC]:[Total Internal Corrosion Score]],27,FALSE)</f>
        <v>34.166666666666664</v>
      </c>
      <c r="J180" s="16">
        <f>RANK(Table5[[#This Row],[INTERNAL CORROSION]],$I$62:$I$312)</f>
        <v>8</v>
      </c>
      <c r="K180" s="16">
        <f>VLOOKUP(C180,Ext.Mo!$C$2:$AK$326,35,FALSE)</f>
        <v>15.221518987341771</v>
      </c>
      <c r="L180" s="16">
        <f>RANK(Table5[[#This Row],[EXTERNAL CORROSION]],$K$62:$K$312)</f>
        <v>211</v>
      </c>
      <c r="M180" s="16">
        <f>VLOOKUP(Table5[[#This Row],[RC]],Table3[[RC]:[Total TPI Score10]],23,0)</f>
        <v>43.63636363636364</v>
      </c>
      <c r="N180" s="16">
        <f>RANK(Table5[[#This Row],[THIRD PARTY INTERFERENCE]],$M$62:$M$312)</f>
        <v>2</v>
      </c>
      <c r="O180" s="16">
        <f>VLOOKUP(Table5[[#This Row],[RC]],LGS_Mo.!$C$5:$P$322,14,0)</f>
        <v>20</v>
      </c>
      <c r="P180" s="16">
        <f>RANK(Table5[[#This Row],[Loss  of ground support]],$O$62:$O$312)</f>
        <v>15</v>
      </c>
      <c r="Q180" s="16">
        <f>(I180+K180+M180+Table5[[#This Row],[Loss  of ground support]])/4</f>
        <v>28.25613732259302</v>
      </c>
      <c r="R180" s="16">
        <f>VLOOKUP(C180,consequence!$B$2:$K$302,10,FALSE)</f>
        <v>3</v>
      </c>
      <c r="S180" s="16">
        <f>VLOOKUP(C180,consequence!B15:$K$302,9,FALSE)</f>
        <v>7</v>
      </c>
      <c r="T180" s="16">
        <f t="shared" si="11"/>
        <v>50</v>
      </c>
      <c r="U180" s="16">
        <f>RANK(Table5[[#This Row],[Consequence]],$T$62:$T$264)</f>
        <v>1</v>
      </c>
      <c r="V180" s="16"/>
      <c r="X180" s="14">
        <f>J326</f>
        <v>0</v>
      </c>
      <c r="Y180" s="14">
        <v>19.493670886075947</v>
      </c>
    </row>
    <row r="181" spans="1:25" s="9" customFormat="1" ht="25.5">
      <c r="A181" s="84" t="s">
        <v>988</v>
      </c>
      <c r="B181" s="84">
        <v>6</v>
      </c>
      <c r="C181" s="81">
        <v>4457010102</v>
      </c>
      <c r="D181" s="82" t="s">
        <v>334</v>
      </c>
      <c r="E181" s="105">
        <f t="shared" ref="E181:E189" si="16">F453</f>
        <v>0</v>
      </c>
      <c r="F181" s="16">
        <v>1490.514684388889</v>
      </c>
      <c r="G181" s="70">
        <f>Table5[[#This Row],[Probability]]*Table5[[#This Row],[Consequence]]</f>
        <v>1459.2643093434344</v>
      </c>
      <c r="H181" s="16">
        <f>RANK(Table5[[#This Row],[Risk Score]],$G$62:$G$312)</f>
        <v>130</v>
      </c>
      <c r="I181" s="16">
        <f>VLOOKUP(C181,Table1[[#All],[RC]:[Total Internal Corrosion Score]],27,FALSE)</f>
        <v>33.611111111111107</v>
      </c>
      <c r="J181" s="16">
        <f>RANK(Table5[[#This Row],[INTERNAL CORROSION]],$I$62:$I$312)</f>
        <v>208</v>
      </c>
      <c r="K181" s="16">
        <f>VLOOKUP(C181,Ext.Mo!$C$2:$AK$326,35,FALSE)</f>
        <v>19.493670000000002</v>
      </c>
      <c r="L181" s="16">
        <f>RANK(Table5[[#This Row],[EXTERNAL CORROSION]],$K$62:$K$312)</f>
        <v>3</v>
      </c>
      <c r="M181" s="16">
        <f>VLOOKUP(Table5[[#This Row],[RC]],Table3[[RC]:[Total TPI Score10]],23,0)</f>
        <v>43.63636363636364</v>
      </c>
      <c r="N181" s="16">
        <f>RANK(Table5[[#This Row],[THIRD PARTY INTERFERENCE]],$M$62:$M$312)</f>
        <v>2</v>
      </c>
      <c r="O181" s="16">
        <f>VLOOKUP(Table5[[#This Row],[RC]],LGS_Mo.!$C$5:$P$322,14,0)</f>
        <v>20</v>
      </c>
      <c r="P181" s="16">
        <f>RANK(Table5[[#This Row],[Loss  of ground support]],$O$62:$O$312)</f>
        <v>15</v>
      </c>
      <c r="Q181" s="16">
        <f>(I181+K181+M181+Table5[[#This Row],[Loss  of ground support]])/4</f>
        <v>29.185286186868687</v>
      </c>
      <c r="R181" s="16">
        <f>VLOOKUP(C181,consequence!$B$2:$K$302,10,FALSE)</f>
        <v>3</v>
      </c>
      <c r="S181" s="16">
        <f>VLOOKUP(C181,consequence!B243:$K$302,9,FALSE)</f>
        <v>7</v>
      </c>
      <c r="T181" s="16">
        <f t="shared" si="11"/>
        <v>50</v>
      </c>
      <c r="U181" s="69">
        <f>RANK(Table5[[#This Row],[Consequence]],$T$62:$T$264)</f>
        <v>1</v>
      </c>
      <c r="V181" s="16"/>
      <c r="X181" s="14">
        <f t="shared" ref="X181:X189" si="17">J572</f>
        <v>0</v>
      </c>
      <c r="Y181" s="14">
        <v>19.493670886075947</v>
      </c>
    </row>
    <row r="182" spans="1:25">
      <c r="A182" s="84" t="s">
        <v>988</v>
      </c>
      <c r="B182" s="87">
        <v>6</v>
      </c>
      <c r="C182" s="88">
        <v>4457010103</v>
      </c>
      <c r="D182" s="89" t="s">
        <v>791</v>
      </c>
      <c r="E182" s="105">
        <f t="shared" si="16"/>
        <v>0</v>
      </c>
      <c r="F182" s="16">
        <v>1490.514684388889</v>
      </c>
      <c r="G182" s="70">
        <f>Table5[[#This Row],[Probability]]*Table5[[#This Row],[Consequence]]</f>
        <v>1466.2087537878788</v>
      </c>
      <c r="H182" s="16">
        <f>RANK(Table5[[#This Row],[Risk Score]],$G$62:$G$312)</f>
        <v>23</v>
      </c>
      <c r="I182" s="16">
        <f>VLOOKUP(C182,Table1[[#All],[RC]:[Total Internal Corrosion Score]],27,FALSE)</f>
        <v>34.166666666666664</v>
      </c>
      <c r="J182" s="16">
        <f>RANK(Table5[[#This Row],[INTERNAL CORROSION]],$I$62:$I$312)</f>
        <v>8</v>
      </c>
      <c r="K182" s="16">
        <f>VLOOKUP(C182,Ext.Mo!$C$2:$AK$326,35,FALSE)</f>
        <v>19.493670000000002</v>
      </c>
      <c r="L182" s="16">
        <f>RANK(Table5[[#This Row],[EXTERNAL CORROSION]],$K$62:$K$312)</f>
        <v>3</v>
      </c>
      <c r="M182" s="16">
        <f>VLOOKUP(Table5[[#This Row],[RC]],Table3[[RC]:[Total TPI Score10]],23,0)</f>
        <v>43.63636363636364</v>
      </c>
      <c r="N182" s="16">
        <f>RANK(Table5[[#This Row],[THIRD PARTY INTERFERENCE]],$M$62:$M$312)</f>
        <v>2</v>
      </c>
      <c r="O182" s="16">
        <f>VLOOKUP(Table5[[#This Row],[RC]],LGS_Mo.!$C$5:$P$322,14,0)</f>
        <v>20</v>
      </c>
      <c r="P182" s="16">
        <f>RANK(Table5[[#This Row],[Loss  of ground support]],$O$62:$O$312)</f>
        <v>15</v>
      </c>
      <c r="Q182" s="16">
        <f>(I182+K182+M182+Table5[[#This Row],[Loss  of ground support]])/4</f>
        <v>29.324175075757577</v>
      </c>
      <c r="R182" s="16">
        <f>VLOOKUP(C182,consequence!$B$2:$K$302,10,FALSE)</f>
        <v>3</v>
      </c>
      <c r="S182" s="16">
        <f>VLOOKUP(C182,consequence!B244:$K$302,9,FALSE)</f>
        <v>7</v>
      </c>
      <c r="T182" s="63">
        <f t="shared" si="11"/>
        <v>50</v>
      </c>
      <c r="U182" s="69">
        <f>RANK(Table5[[#This Row],[Consequence]],$T$62:$T$264)</f>
        <v>1</v>
      </c>
      <c r="V182" s="16"/>
      <c r="X182" s="14">
        <f t="shared" si="17"/>
        <v>0</v>
      </c>
      <c r="Y182" s="14">
        <v>19.493670886075947</v>
      </c>
    </row>
    <row r="183" spans="1:25" s="9" customFormat="1" ht="25.5">
      <c r="A183" s="84" t="s">
        <v>988</v>
      </c>
      <c r="B183" s="84">
        <v>6</v>
      </c>
      <c r="C183" s="81">
        <v>4457010104</v>
      </c>
      <c r="D183" s="82" t="s">
        <v>335</v>
      </c>
      <c r="E183" s="105">
        <f t="shared" si="16"/>
        <v>0</v>
      </c>
      <c r="F183" s="16">
        <v>1490.514684388889</v>
      </c>
      <c r="G183" s="70">
        <f>Table5[[#This Row],[Probability]]*Table5[[#This Row],[Consequence]]</f>
        <v>1459.2643093434344</v>
      </c>
      <c r="H183" s="16">
        <f>RANK(Table5[[#This Row],[Risk Score]],$G$62:$G$312)</f>
        <v>130</v>
      </c>
      <c r="I183" s="16">
        <f>VLOOKUP(C183,Table1[[#All],[RC]:[Total Internal Corrosion Score]],27,FALSE)</f>
        <v>33.611111111111107</v>
      </c>
      <c r="J183" s="16">
        <f>RANK(Table5[[#This Row],[INTERNAL CORROSION]],$I$62:$I$312)</f>
        <v>208</v>
      </c>
      <c r="K183" s="16">
        <f>VLOOKUP(C183,Ext.Mo!$C$2:$AK$326,35,FALSE)</f>
        <v>19.493670000000002</v>
      </c>
      <c r="L183" s="16">
        <f>RANK(Table5[[#This Row],[EXTERNAL CORROSION]],$K$62:$K$312)</f>
        <v>3</v>
      </c>
      <c r="M183" s="16">
        <f>VLOOKUP(Table5[[#This Row],[RC]],Table3[[RC]:[Total TPI Score10]],23,0)</f>
        <v>43.63636363636364</v>
      </c>
      <c r="N183" s="16">
        <f>RANK(Table5[[#This Row],[THIRD PARTY INTERFERENCE]],$M$62:$M$312)</f>
        <v>2</v>
      </c>
      <c r="O183" s="16">
        <f>VLOOKUP(Table5[[#This Row],[RC]],LGS_Mo.!$C$5:$P$322,14,0)</f>
        <v>20</v>
      </c>
      <c r="P183" s="16">
        <f>RANK(Table5[[#This Row],[Loss  of ground support]],$O$62:$O$312)</f>
        <v>15</v>
      </c>
      <c r="Q183" s="16">
        <f>(I183+K183+M183+Table5[[#This Row],[Loss  of ground support]])/4</f>
        <v>29.185286186868687</v>
      </c>
      <c r="R183" s="16">
        <f>VLOOKUP(C183,consequence!$B$2:$K$302,10,FALSE)</f>
        <v>3</v>
      </c>
      <c r="S183" s="16">
        <f>VLOOKUP(C183,consequence!B245:$K$302,9,FALSE)</f>
        <v>7</v>
      </c>
      <c r="T183" s="16">
        <f t="shared" si="11"/>
        <v>50</v>
      </c>
      <c r="U183" s="69">
        <f>RANK(Table5[[#This Row],[Consequence]],$T$62:$T$264)</f>
        <v>1</v>
      </c>
      <c r="V183" s="16"/>
      <c r="X183" s="14">
        <f t="shared" si="17"/>
        <v>0</v>
      </c>
      <c r="Y183" s="14">
        <v>19.493670886075947</v>
      </c>
    </row>
    <row r="184" spans="1:25" s="9" customFormat="1" ht="25.5">
      <c r="A184" s="84" t="s">
        <v>988</v>
      </c>
      <c r="B184" s="84">
        <v>6</v>
      </c>
      <c r="C184" s="81">
        <v>4457010105</v>
      </c>
      <c r="D184" s="82" t="s">
        <v>336</v>
      </c>
      <c r="E184" s="105">
        <f t="shared" si="16"/>
        <v>0</v>
      </c>
      <c r="F184" s="16">
        <v>1490.514684388889</v>
      </c>
      <c r="G184" s="70">
        <f>Table5[[#This Row],[Probability]]*Table5[[#This Row],[Consequence]]</f>
        <v>1459.2643093434344</v>
      </c>
      <c r="H184" s="16">
        <f>RANK(Table5[[#This Row],[Risk Score]],$G$62:$G$312)</f>
        <v>130</v>
      </c>
      <c r="I184" s="16">
        <f>VLOOKUP(C184,Table1[[#All],[RC]:[Total Internal Corrosion Score]],27,FALSE)</f>
        <v>33.611111111111107</v>
      </c>
      <c r="J184" s="16">
        <f>RANK(Table5[[#This Row],[INTERNAL CORROSION]],$I$62:$I$312)</f>
        <v>208</v>
      </c>
      <c r="K184" s="16">
        <f>VLOOKUP(C184,Ext.Mo!$C$2:$AK$326,35,FALSE)</f>
        <v>19.493670000000002</v>
      </c>
      <c r="L184" s="16">
        <f>RANK(Table5[[#This Row],[EXTERNAL CORROSION]],$K$62:$K$312)</f>
        <v>3</v>
      </c>
      <c r="M184" s="16">
        <f>VLOOKUP(Table5[[#This Row],[RC]],Table3[[RC]:[Total TPI Score10]],23,0)</f>
        <v>43.63636363636364</v>
      </c>
      <c r="N184" s="16">
        <f>RANK(Table5[[#This Row],[THIRD PARTY INTERFERENCE]],$M$62:$M$312)</f>
        <v>2</v>
      </c>
      <c r="O184" s="16">
        <f>VLOOKUP(Table5[[#This Row],[RC]],LGS_Mo.!$C$5:$P$322,14,0)</f>
        <v>20</v>
      </c>
      <c r="P184" s="16">
        <f>RANK(Table5[[#This Row],[Loss  of ground support]],$O$62:$O$312)</f>
        <v>15</v>
      </c>
      <c r="Q184" s="16">
        <f>(I184+K184+M184+Table5[[#This Row],[Loss  of ground support]])/4</f>
        <v>29.185286186868687</v>
      </c>
      <c r="R184" s="16">
        <f>VLOOKUP(C184,consequence!$B$2:$K$302,10,FALSE)</f>
        <v>3</v>
      </c>
      <c r="S184" s="16">
        <f>VLOOKUP(C184,consequence!B246:$K$302,9,FALSE)</f>
        <v>7</v>
      </c>
      <c r="T184" s="63">
        <f t="shared" si="11"/>
        <v>50</v>
      </c>
      <c r="U184" s="69">
        <f>RANK(Table5[[#This Row],[Consequence]],$T$62:$T$264)</f>
        <v>1</v>
      </c>
      <c r="V184" s="16"/>
      <c r="X184" s="14">
        <f t="shared" si="17"/>
        <v>0</v>
      </c>
      <c r="Y184" s="14">
        <v>19.493670886075947</v>
      </c>
    </row>
    <row r="185" spans="1:25" ht="25.5">
      <c r="A185" s="84" t="s">
        <v>988</v>
      </c>
      <c r="B185" s="84">
        <v>6</v>
      </c>
      <c r="C185" s="81">
        <v>4457010106</v>
      </c>
      <c r="D185" s="82" t="s">
        <v>337</v>
      </c>
      <c r="E185" s="105">
        <f t="shared" si="16"/>
        <v>0</v>
      </c>
      <c r="F185" s="16">
        <v>1490.514684388889</v>
      </c>
      <c r="G185" s="70">
        <f>Table5[[#This Row],[Probability]]*Table5[[#This Row],[Consequence]]</f>
        <v>1459.2643093434344</v>
      </c>
      <c r="H185" s="16">
        <f>RANK(Table5[[#This Row],[Risk Score]],$G$62:$G$312)</f>
        <v>130</v>
      </c>
      <c r="I185" s="16">
        <f>VLOOKUP(C185,Table1[[#All],[RC]:[Total Internal Corrosion Score]],27,FALSE)</f>
        <v>33.611111111111107</v>
      </c>
      <c r="J185" s="16">
        <f>RANK(Table5[[#This Row],[INTERNAL CORROSION]],$I$62:$I$312)</f>
        <v>208</v>
      </c>
      <c r="K185" s="16">
        <f>VLOOKUP(C185,Ext.Mo!$C$2:$AK$326,35,FALSE)</f>
        <v>19.493670000000002</v>
      </c>
      <c r="L185" s="16">
        <f>RANK(Table5[[#This Row],[EXTERNAL CORROSION]],$K$62:$K$312)</f>
        <v>3</v>
      </c>
      <c r="M185" s="16">
        <f>VLOOKUP(Table5[[#This Row],[RC]],Table3[[RC]:[Total TPI Score10]],23,0)</f>
        <v>43.63636363636364</v>
      </c>
      <c r="N185" s="16">
        <f>RANK(Table5[[#This Row],[THIRD PARTY INTERFERENCE]],$M$62:$M$312)</f>
        <v>2</v>
      </c>
      <c r="O185" s="16">
        <f>VLOOKUP(Table5[[#This Row],[RC]],LGS_Mo.!$C$5:$P$322,14,0)</f>
        <v>20</v>
      </c>
      <c r="P185" s="16">
        <f>RANK(Table5[[#This Row],[Loss  of ground support]],$O$62:$O$312)</f>
        <v>15</v>
      </c>
      <c r="Q185" s="16">
        <f>(I185+K185+M185+Table5[[#This Row],[Loss  of ground support]])/4</f>
        <v>29.185286186868687</v>
      </c>
      <c r="R185" s="16">
        <f>VLOOKUP(C185,consequence!$B$2:$K$302,10,FALSE)</f>
        <v>3</v>
      </c>
      <c r="S185" s="16">
        <f>VLOOKUP(C185,consequence!B247:$K$302,9,FALSE)</f>
        <v>7</v>
      </c>
      <c r="T185" s="16">
        <f t="shared" si="11"/>
        <v>50</v>
      </c>
      <c r="U185" s="69">
        <f>RANK(Table5[[#This Row],[Consequence]],$T$62:$T$264)</f>
        <v>1</v>
      </c>
      <c r="V185" s="16"/>
      <c r="X185" s="14">
        <f t="shared" si="17"/>
        <v>0</v>
      </c>
      <c r="Y185" s="14">
        <v>19.493670886075947</v>
      </c>
    </row>
    <row r="186" spans="1:25" ht="25.5">
      <c r="A186" s="84" t="s">
        <v>988</v>
      </c>
      <c r="B186" s="84">
        <v>6</v>
      </c>
      <c r="C186" s="81">
        <v>4457010108</v>
      </c>
      <c r="D186" s="82" t="s">
        <v>338</v>
      </c>
      <c r="E186" s="105">
        <f t="shared" si="16"/>
        <v>0</v>
      </c>
      <c r="F186" s="16">
        <v>1490.514684388889</v>
      </c>
      <c r="G186" s="70">
        <f>Table5[[#This Row],[Probability]]*Table5[[#This Row],[Consequence]]</f>
        <v>1459.2643093434344</v>
      </c>
      <c r="H186" s="16">
        <f>RANK(Table5[[#This Row],[Risk Score]],$G$62:$G$312)</f>
        <v>130</v>
      </c>
      <c r="I186" s="16">
        <f>VLOOKUP(C186,Table1[[#All],[RC]:[Total Internal Corrosion Score]],27,FALSE)</f>
        <v>33.611111111111107</v>
      </c>
      <c r="J186" s="16">
        <f>RANK(Table5[[#This Row],[INTERNAL CORROSION]],$I$62:$I$312)</f>
        <v>208</v>
      </c>
      <c r="K186" s="16">
        <f>VLOOKUP(C186,Ext.Mo!$C$2:$AK$326,35,FALSE)</f>
        <v>19.493670000000002</v>
      </c>
      <c r="L186" s="16">
        <f>RANK(Table5[[#This Row],[EXTERNAL CORROSION]],$K$62:$K$312)</f>
        <v>3</v>
      </c>
      <c r="M186" s="16">
        <f>VLOOKUP(Table5[[#This Row],[RC]],Table3[[RC]:[Total TPI Score10]],23,0)</f>
        <v>43.63636363636364</v>
      </c>
      <c r="N186" s="16">
        <f>RANK(Table5[[#This Row],[THIRD PARTY INTERFERENCE]],$M$62:$M$312)</f>
        <v>2</v>
      </c>
      <c r="O186" s="16">
        <f>VLOOKUP(Table5[[#This Row],[RC]],LGS_Mo.!$C$5:$P$322,14,0)</f>
        <v>20</v>
      </c>
      <c r="P186" s="16">
        <f>RANK(Table5[[#This Row],[Loss  of ground support]],$O$62:$O$312)</f>
        <v>15</v>
      </c>
      <c r="Q186" s="16">
        <f>(I186+K186+M186+Table5[[#This Row],[Loss  of ground support]])/4</f>
        <v>29.185286186868687</v>
      </c>
      <c r="R186" s="16">
        <f>VLOOKUP(C186,consequence!$B$2:$K$302,10,FALSE)</f>
        <v>3</v>
      </c>
      <c r="S186" s="16">
        <f>VLOOKUP(C186,consequence!B248:$K$302,9,FALSE)</f>
        <v>7</v>
      </c>
      <c r="T186" s="63">
        <f t="shared" si="11"/>
        <v>50</v>
      </c>
      <c r="U186" s="69">
        <f>RANK(Table5[[#This Row],[Consequence]],$T$62:$T$264)</f>
        <v>1</v>
      </c>
      <c r="V186" s="16"/>
      <c r="X186" s="14">
        <f t="shared" si="17"/>
        <v>0</v>
      </c>
      <c r="Y186" s="14">
        <v>19.493670886075947</v>
      </c>
    </row>
    <row r="187" spans="1:25" s="9" customFormat="1">
      <c r="A187" s="113" t="s">
        <v>988</v>
      </c>
      <c r="B187" s="110">
        <v>6</v>
      </c>
      <c r="C187" s="111" t="s">
        <v>974</v>
      </c>
      <c r="D187" s="112" t="s">
        <v>777</v>
      </c>
      <c r="E187" s="259">
        <f t="shared" si="16"/>
        <v>0</v>
      </c>
      <c r="F187" s="9">
        <v>1490.514684388889</v>
      </c>
      <c r="G187" s="114">
        <v>1459.2643093434344</v>
      </c>
      <c r="H187" s="9">
        <f>RANK(Table5[[#This Row],[Risk Score]],$G$62:$G$312)</f>
        <v>130</v>
      </c>
      <c r="I187" s="9">
        <f>'Int. Mo.'!AB255</f>
        <v>34.166666666666664</v>
      </c>
      <c r="J187" s="9">
        <f>RANK(Table5[[#This Row],[INTERNAL CORROSION]],$I$62:$I$312)</f>
        <v>8</v>
      </c>
      <c r="K187" s="9">
        <v>19.493670000000002</v>
      </c>
      <c r="L187" s="9">
        <f>RANK(Table5[[#This Row],[EXTERNAL CORROSION]],$K$62:$K$312)</f>
        <v>3</v>
      </c>
      <c r="M187" s="9">
        <f>43.63636364</f>
        <v>43.636363639999999</v>
      </c>
      <c r="N187" s="9">
        <f>RANK(Table5[[#This Row],[THIRD PARTY INTERFERENCE]],$M$62:$M$312)</f>
        <v>1</v>
      </c>
      <c r="O187" s="9">
        <f>VLOOKUP(Table5[[#This Row],[RC]],LGS_Mo.!$C$5:$P$322,14,0)</f>
        <v>20</v>
      </c>
      <c r="P187" s="9">
        <f>RANK(Table5[[#This Row],[Loss  of ground support]],$O$62:$O$312)</f>
        <v>15</v>
      </c>
      <c r="Q187" s="9">
        <f>(I187+K187+M187+Table5[[#This Row],[Loss  of ground support]])/4</f>
        <v>29.324175076666666</v>
      </c>
      <c r="R187" s="9">
        <v>7</v>
      </c>
      <c r="S187" s="9">
        <v>3</v>
      </c>
      <c r="T187" s="9">
        <f t="shared" si="11"/>
        <v>50</v>
      </c>
      <c r="U187" s="116">
        <f>RANK(Table5[[#This Row],[Consequence]],$T$62:$T$264)</f>
        <v>1</v>
      </c>
      <c r="X187" s="9">
        <f t="shared" si="17"/>
        <v>0</v>
      </c>
      <c r="Y187" s="9">
        <v>19.493670886075947</v>
      </c>
    </row>
    <row r="188" spans="1:25" s="9" customFormat="1">
      <c r="A188" s="84" t="s">
        <v>988</v>
      </c>
      <c r="B188" s="87">
        <v>6</v>
      </c>
      <c r="C188" s="88">
        <v>4457010201</v>
      </c>
      <c r="D188" s="89" t="s">
        <v>789</v>
      </c>
      <c r="E188" s="105">
        <f t="shared" si="16"/>
        <v>0</v>
      </c>
      <c r="F188" s="16">
        <v>1490.514684388889</v>
      </c>
      <c r="G188" s="70">
        <f>Table5[[#This Row],[Probability]]*Table5[[#This Row],[Consequence]]</f>
        <v>1426.4360265151515</v>
      </c>
      <c r="H188" s="16">
        <f>RANK(Table5[[#This Row],[Risk Score]],$G$62:$G$312)</f>
        <v>191</v>
      </c>
      <c r="I188" s="16">
        <f>VLOOKUP(C188,Table1[[#All],[RC]:[Total Internal Corrosion Score]],27,FALSE)</f>
        <v>34.166666666666664</v>
      </c>
      <c r="J188" s="16">
        <f>RANK(Table5[[#This Row],[INTERNAL CORROSION]],$I$62:$I$312)</f>
        <v>8</v>
      </c>
      <c r="K188" s="16">
        <f>VLOOKUP(C188,Ext.Mo!$C$2:$AK$326,35,FALSE)</f>
        <v>19.493670000000002</v>
      </c>
      <c r="L188" s="16">
        <f>RANK(Table5[[#This Row],[EXTERNAL CORROSION]],$K$62:$K$312)</f>
        <v>3</v>
      </c>
      <c r="M188" s="16">
        <f>VLOOKUP(Table5[[#This Row],[RC]],Table3[[RC]:[Total TPI Score10]],23,0)</f>
        <v>40.454545454545453</v>
      </c>
      <c r="N188" s="16">
        <f>RANK(Table5[[#This Row],[THIRD PARTY INTERFERENCE]],$M$62:$M$312)</f>
        <v>224</v>
      </c>
      <c r="O188" s="16">
        <f>VLOOKUP(Table5[[#This Row],[RC]],LGS_Mo.!$C$5:$P$322,14,0)</f>
        <v>20</v>
      </c>
      <c r="P188" s="16">
        <f>RANK(Table5[[#This Row],[Loss  of ground support]],$O$62:$O$312)</f>
        <v>15</v>
      </c>
      <c r="Q188" s="16">
        <f>(I188+K188+M188+Table5[[#This Row],[Loss  of ground support]])/4</f>
        <v>28.52872053030303</v>
      </c>
      <c r="R188" s="16">
        <f>VLOOKUP(C188,consequence!$B$2:$K$302,10,FALSE)</f>
        <v>3</v>
      </c>
      <c r="S188" s="16">
        <f>VLOOKUP(C188,consequence!B250:$K$302,9,FALSE)</f>
        <v>7</v>
      </c>
      <c r="T188" s="63">
        <f t="shared" si="11"/>
        <v>50</v>
      </c>
      <c r="U188" s="69">
        <f>RANK(Table5[[#This Row],[Consequence]],$T$62:$T$264)</f>
        <v>1</v>
      </c>
      <c r="V188" s="16"/>
      <c r="X188" s="14">
        <f t="shared" si="17"/>
        <v>0</v>
      </c>
      <c r="Y188" s="14">
        <v>19.493670886075947</v>
      </c>
    </row>
    <row r="189" spans="1:25" ht="25.5">
      <c r="A189" s="84" t="s">
        <v>988</v>
      </c>
      <c r="B189" s="84">
        <v>6</v>
      </c>
      <c r="C189" s="81">
        <v>4457010204</v>
      </c>
      <c r="D189" s="82" t="s">
        <v>339</v>
      </c>
      <c r="E189" s="105">
        <f t="shared" si="16"/>
        <v>0</v>
      </c>
      <c r="F189" s="16">
        <v>1490.514684388889</v>
      </c>
      <c r="G189" s="70">
        <f>Table5[[#This Row],[Probability]]*Table5[[#This Row],[Consequence]]</f>
        <v>1459.2643093434344</v>
      </c>
      <c r="H189" s="16">
        <f>RANK(Table5[[#This Row],[Risk Score]],$G$62:$G$312)</f>
        <v>130</v>
      </c>
      <c r="I189" s="16">
        <f>VLOOKUP(C189,Table1[[#All],[RC]:[Total Internal Corrosion Score]],27,FALSE)</f>
        <v>33.611111111111107</v>
      </c>
      <c r="J189" s="16">
        <f>RANK(Table5[[#This Row],[INTERNAL CORROSION]],$I$62:$I$312)</f>
        <v>208</v>
      </c>
      <c r="K189" s="16">
        <f>VLOOKUP(C189,Ext.Mo!$C$2:$AK$326,35,FALSE)</f>
        <v>19.493670000000002</v>
      </c>
      <c r="L189" s="16">
        <f>RANK(Table5[[#This Row],[EXTERNAL CORROSION]],$K$62:$K$312)</f>
        <v>3</v>
      </c>
      <c r="M189" s="16">
        <f>VLOOKUP(Table5[[#This Row],[RC]],Table3[[RC]:[Total TPI Score10]],23,0)</f>
        <v>43.63636363636364</v>
      </c>
      <c r="N189" s="16">
        <f>RANK(Table5[[#This Row],[THIRD PARTY INTERFERENCE]],$M$62:$M$312)</f>
        <v>2</v>
      </c>
      <c r="O189" s="16">
        <f>VLOOKUP(Table5[[#This Row],[RC]],LGS_Mo.!$C$5:$P$322,14,0)</f>
        <v>20</v>
      </c>
      <c r="P189" s="16">
        <f>RANK(Table5[[#This Row],[Loss  of ground support]],$O$62:$O$312)</f>
        <v>15</v>
      </c>
      <c r="Q189" s="16">
        <f>(I189+K189+M189+Table5[[#This Row],[Loss  of ground support]])/4</f>
        <v>29.185286186868687</v>
      </c>
      <c r="R189" s="16">
        <f>VLOOKUP(C189,consequence!$B$2:$K$302,10,FALSE)</f>
        <v>3</v>
      </c>
      <c r="S189" s="16">
        <f>VLOOKUP(C189,consequence!B251:$K$302,9,FALSE)</f>
        <v>7</v>
      </c>
      <c r="T189" s="16">
        <f t="shared" si="11"/>
        <v>50</v>
      </c>
      <c r="U189" s="69">
        <f>RANK(Table5[[#This Row],[Consequence]],$T$62:$T$264)</f>
        <v>1</v>
      </c>
      <c r="V189" s="16"/>
      <c r="X189" s="14">
        <f t="shared" si="17"/>
        <v>0</v>
      </c>
      <c r="Y189" s="14">
        <v>19.493670886075947</v>
      </c>
    </row>
    <row r="190" spans="1:25" s="9" customFormat="1">
      <c r="A190" s="84" t="s">
        <v>988</v>
      </c>
      <c r="B190" s="80">
        <v>9</v>
      </c>
      <c r="C190" s="81">
        <v>6521</v>
      </c>
      <c r="D190" s="82" t="s">
        <v>779</v>
      </c>
      <c r="E190" s="105">
        <f>F463</f>
        <v>0</v>
      </c>
      <c r="F190" s="16">
        <v>1490.514684388889</v>
      </c>
      <c r="G190" s="70">
        <f>Table5[[#This Row],[Probability]]*Table5[[#This Row],[Consequence]]</f>
        <v>1466.2087537878788</v>
      </c>
      <c r="H190" s="16">
        <f>RANK(Table5[[#This Row],[Risk Score]],$G$62:$G$312)</f>
        <v>23</v>
      </c>
      <c r="I190" s="16">
        <f>VLOOKUP(C190,Table1[[#All],[RC]:[Total Internal Corrosion Score]],27,FALSE)</f>
        <v>34.166666666666664</v>
      </c>
      <c r="J190" s="16">
        <f>RANK(Table5[[#This Row],[INTERNAL CORROSION]],$I$62:$I$312)</f>
        <v>8</v>
      </c>
      <c r="K190" s="16">
        <f>VLOOKUP(C190,Ext.Mo!$C$2:$AK$326,35,FALSE)</f>
        <v>19.493670000000002</v>
      </c>
      <c r="L190" s="16">
        <f>RANK(Table5[[#This Row],[EXTERNAL CORROSION]],$K$62:$K$312)</f>
        <v>3</v>
      </c>
      <c r="M190" s="16">
        <f>VLOOKUP(Table5[[#This Row],[RC]],Table3[[RC]:[Total TPI Score10]],23,0)</f>
        <v>43.63636363636364</v>
      </c>
      <c r="N190" s="16">
        <f>RANK(Table5[[#This Row],[THIRD PARTY INTERFERENCE]],$M$62:$M$312)</f>
        <v>2</v>
      </c>
      <c r="O190" s="16">
        <f>VLOOKUP(Table5[[#This Row],[RC]],LGS_Mo.!$C$5:$P$322,14,0)</f>
        <v>20</v>
      </c>
      <c r="P190" s="16">
        <f>RANK(Table5[[#This Row],[Loss  of ground support]],$O$62:$O$312)</f>
        <v>15</v>
      </c>
      <c r="Q190" s="16">
        <f>(I190+K190+M190+Table5[[#This Row],[Loss  of ground support]])/4</f>
        <v>29.324175075757577</v>
      </c>
      <c r="R190" s="16">
        <f>VLOOKUP(C190,consequence!$B$2:$K$302,10,FALSE)</f>
        <v>3</v>
      </c>
      <c r="S190" s="16">
        <f>VLOOKUP(C190,consequence!B253:$K$302,9,FALSE)</f>
        <v>7</v>
      </c>
      <c r="T190" s="16">
        <f t="shared" si="11"/>
        <v>50</v>
      </c>
      <c r="U190" s="69">
        <f>RANK(Table5[[#This Row],[Consequence]],$T$62:$T$264)</f>
        <v>1</v>
      </c>
      <c r="V190" s="16"/>
      <c r="X190" s="14">
        <f>J582</f>
        <v>0</v>
      </c>
      <c r="Y190" s="14">
        <v>19.493670886075947</v>
      </c>
    </row>
    <row r="191" spans="1:25" s="9" customFormat="1">
      <c r="A191" s="84" t="s">
        <v>988</v>
      </c>
      <c r="B191" s="80">
        <v>9</v>
      </c>
      <c r="C191" s="81">
        <v>652200002</v>
      </c>
      <c r="D191" s="82" t="s">
        <v>784</v>
      </c>
      <c r="E191" s="105">
        <f>F464</f>
        <v>0</v>
      </c>
      <c r="F191" s="16">
        <v>1490.514684388889</v>
      </c>
      <c r="G191" s="70">
        <f>Table5[[#This Row],[Probability]]*Table5[[#This Row],[Consequence]]</f>
        <v>1466.2087537878788</v>
      </c>
      <c r="H191" s="16">
        <f>RANK(Table5[[#This Row],[Risk Score]],$G$62:$G$312)</f>
        <v>23</v>
      </c>
      <c r="I191" s="16">
        <f>VLOOKUP(C191,Table1[[#All],[RC]:[Total Internal Corrosion Score]],27,FALSE)</f>
        <v>34.166666666666664</v>
      </c>
      <c r="J191" s="16">
        <f>RANK(Table5[[#This Row],[INTERNAL CORROSION]],$I$62:$I$312)</f>
        <v>8</v>
      </c>
      <c r="K191" s="16">
        <f>VLOOKUP(C191,Ext.Mo!$C$2:$AK$326,35,FALSE)</f>
        <v>19.493670000000002</v>
      </c>
      <c r="L191" s="16">
        <f>RANK(Table5[[#This Row],[EXTERNAL CORROSION]],$K$62:$K$312)</f>
        <v>3</v>
      </c>
      <c r="M191" s="16">
        <f>VLOOKUP(Table5[[#This Row],[RC]],Table3[[RC]:[Total TPI Score10]],23,0)</f>
        <v>43.63636363636364</v>
      </c>
      <c r="N191" s="16">
        <f>RANK(Table5[[#This Row],[THIRD PARTY INTERFERENCE]],$M$62:$M$312)</f>
        <v>2</v>
      </c>
      <c r="O191" s="16">
        <f>VLOOKUP(Table5[[#This Row],[RC]],LGS_Mo.!$C$5:$P$322,14,0)</f>
        <v>20</v>
      </c>
      <c r="P191" s="16">
        <f>RANK(Table5[[#This Row],[Loss  of ground support]],$O$62:$O$312)</f>
        <v>15</v>
      </c>
      <c r="Q191" s="16">
        <f>(I191+K191+M191+Table5[[#This Row],[Loss  of ground support]])/4</f>
        <v>29.324175075757577</v>
      </c>
      <c r="R191" s="16">
        <f>VLOOKUP(C191,consequence!$B$2:$K$302,10,FALSE)</f>
        <v>3</v>
      </c>
      <c r="S191" s="16">
        <f>VLOOKUP(C191,consequence!B254:$K$302,9,FALSE)</f>
        <v>7</v>
      </c>
      <c r="T191" s="63">
        <f t="shared" si="11"/>
        <v>50</v>
      </c>
      <c r="U191" s="69">
        <f>RANK(Table5[[#This Row],[Consequence]],$T$62:$T$264)</f>
        <v>1</v>
      </c>
      <c r="V191" s="16"/>
      <c r="X191" s="14">
        <f>J583</f>
        <v>0</v>
      </c>
      <c r="Y191" s="14">
        <v>19.493670886075947</v>
      </c>
    </row>
    <row r="192" spans="1:25" s="9" customFormat="1">
      <c r="A192" s="84" t="s">
        <v>988</v>
      </c>
      <c r="B192" s="80">
        <v>9</v>
      </c>
      <c r="C192" s="81">
        <v>6525</v>
      </c>
      <c r="D192" s="82" t="s">
        <v>799</v>
      </c>
      <c r="E192" s="105">
        <f>F466</f>
        <v>0</v>
      </c>
      <c r="F192" s="16">
        <v>1490.514684388889</v>
      </c>
      <c r="G192" s="70">
        <f>Table5[[#This Row],[Probability]]*Table5[[#This Row],[Consequence]]</f>
        <v>1466.2087537878788</v>
      </c>
      <c r="H192" s="16">
        <f>RANK(Table5[[#This Row],[Risk Score]],$G$62:$G$312)</f>
        <v>23</v>
      </c>
      <c r="I192" s="16">
        <f>VLOOKUP(C192,Table1[[#All],[RC]:[Total Internal Corrosion Score]],27,FALSE)</f>
        <v>34.166666666666664</v>
      </c>
      <c r="J192" s="16">
        <f>RANK(Table5[[#This Row],[INTERNAL CORROSION]],$I$62:$I$312)</f>
        <v>8</v>
      </c>
      <c r="K192" s="16">
        <f>VLOOKUP(C192,Ext.Mo!$C$2:$AK$326,35,FALSE)</f>
        <v>19.493670000000002</v>
      </c>
      <c r="L192" s="16">
        <f>RANK(Table5[[#This Row],[EXTERNAL CORROSION]],$K$62:$K$312)</f>
        <v>3</v>
      </c>
      <c r="M192" s="16">
        <f>VLOOKUP(Table5[[#This Row],[RC]],Table3[[RC]:[Total TPI Score10]],23,0)</f>
        <v>43.63636363636364</v>
      </c>
      <c r="N192" s="16">
        <f>RANK(Table5[[#This Row],[THIRD PARTY INTERFERENCE]],$M$62:$M$312)</f>
        <v>2</v>
      </c>
      <c r="O192" s="16">
        <f>VLOOKUP(Table5[[#This Row],[RC]],LGS_Mo.!$C$5:$P$322,14,0)</f>
        <v>20</v>
      </c>
      <c r="P192" s="16">
        <f>RANK(Table5[[#This Row],[Loss  of ground support]],$O$62:$O$312)</f>
        <v>15</v>
      </c>
      <c r="Q192" s="16">
        <f>(I192+K192+M192+Table5[[#This Row],[Loss  of ground support]])/4</f>
        <v>29.324175075757577</v>
      </c>
      <c r="R192" s="16">
        <f>VLOOKUP(C192,consequence!$B$2:$K$302,10,FALSE)</f>
        <v>3</v>
      </c>
      <c r="S192" s="16">
        <f>VLOOKUP(C192,consequence!B256:$K$302,9,FALSE)</f>
        <v>7</v>
      </c>
      <c r="T192" s="63">
        <f t="shared" si="11"/>
        <v>50</v>
      </c>
      <c r="U192" s="69">
        <f>RANK(Table5[[#This Row],[Consequence]],$T$62:$T$264)</f>
        <v>1</v>
      </c>
      <c r="V192" s="16"/>
      <c r="X192" s="14">
        <f>J585</f>
        <v>0</v>
      </c>
      <c r="Y192" s="14">
        <v>19.493670886075947</v>
      </c>
    </row>
    <row r="193" spans="1:25">
      <c r="A193" s="84" t="s">
        <v>988</v>
      </c>
      <c r="B193" s="80">
        <v>9</v>
      </c>
      <c r="C193" s="81">
        <v>652501</v>
      </c>
      <c r="D193" s="82"/>
      <c r="E193" s="105">
        <f>F467</f>
        <v>0</v>
      </c>
      <c r="F193" s="16">
        <v>1490.514684388889</v>
      </c>
      <c r="G193" s="70">
        <f>Table5[[#This Row],[Probability]]*Table5[[#This Row],[Consequence]]</f>
        <v>1466.2087537878788</v>
      </c>
      <c r="H193" s="16">
        <f>RANK(Table5[[#This Row],[Risk Score]],$G$62:$G$312)</f>
        <v>23</v>
      </c>
      <c r="I193" s="16">
        <f>VLOOKUP(C193,Table1[[#All],[RC]:[Total Internal Corrosion Score]],27,FALSE)</f>
        <v>34.166666666666664</v>
      </c>
      <c r="J193" s="16">
        <f>RANK(Table5[[#This Row],[INTERNAL CORROSION]],$I$62:$I$312)</f>
        <v>8</v>
      </c>
      <c r="K193" s="16">
        <f>VLOOKUP(C193,Ext.Mo!$C$2:$AK$326,35,FALSE)</f>
        <v>19.493670000000002</v>
      </c>
      <c r="L193" s="16">
        <f>RANK(Table5[[#This Row],[EXTERNAL CORROSION]],$K$62:$K$312)</f>
        <v>3</v>
      </c>
      <c r="M193" s="16">
        <f>VLOOKUP(Table5[[#This Row],[RC]],Table3[[RC]:[Total TPI Score10]],23,0)</f>
        <v>43.63636363636364</v>
      </c>
      <c r="N193" s="16">
        <f>RANK(Table5[[#This Row],[THIRD PARTY INTERFERENCE]],$M$62:$M$312)</f>
        <v>2</v>
      </c>
      <c r="O193" s="16">
        <f>VLOOKUP(Table5[[#This Row],[RC]],LGS_Mo.!$C$5:$P$322,14,0)</f>
        <v>20</v>
      </c>
      <c r="P193" s="16">
        <f>RANK(Table5[[#This Row],[Loss  of ground support]],$O$62:$O$312)</f>
        <v>15</v>
      </c>
      <c r="Q193" s="16">
        <f>(I193+K193+M193+Table5[[#This Row],[Loss  of ground support]])/4</f>
        <v>29.324175075757577</v>
      </c>
      <c r="R193" s="16">
        <f>VLOOKUP(C193,consequence!$B$2:$K$302,10,FALSE)</f>
        <v>3</v>
      </c>
      <c r="S193" s="16">
        <f>VLOOKUP(C193,consequence!B257:$K$302,9,FALSE)</f>
        <v>7</v>
      </c>
      <c r="T193" s="16">
        <f t="shared" si="11"/>
        <v>50</v>
      </c>
      <c r="U193" s="69">
        <f>RANK(Table5[[#This Row],[Consequence]],$T$62:$T$264)</f>
        <v>1</v>
      </c>
      <c r="V193" s="16"/>
      <c r="X193" s="14">
        <f>J586</f>
        <v>0</v>
      </c>
      <c r="Y193" s="14">
        <v>19.493670886075947</v>
      </c>
    </row>
    <row r="194" spans="1:25" s="14" customFormat="1">
      <c r="A194" s="84" t="s">
        <v>988</v>
      </c>
      <c r="B194" s="243">
        <v>9</v>
      </c>
      <c r="C194" s="81">
        <v>651100001</v>
      </c>
      <c r="D194" s="82" t="s">
        <v>349</v>
      </c>
      <c r="E194" s="105">
        <f t="shared" ref="E194:E201" si="18">F504</f>
        <v>0</v>
      </c>
      <c r="F194" s="16">
        <v>1490.514684388889</v>
      </c>
      <c r="G194" s="70">
        <f>Table5[[#This Row],[Probability]]*Table5[[#This Row],[Consequence]]</f>
        <v>1444.4524357499042</v>
      </c>
      <c r="H194" s="16">
        <f>RANK(Table5[[#This Row],[Risk Score]],$G$62:$G$312)</f>
        <v>169</v>
      </c>
      <c r="I194" s="16">
        <f>VLOOKUP(C194,Table1[[#All],[RC]:[Total Internal Corrosion Score]],27,FALSE)</f>
        <v>34.166666666666664</v>
      </c>
      <c r="J194" s="16">
        <f>RANK(Table5[[#This Row],[INTERNAL CORROSION]],$I$62:$I$312)</f>
        <v>8</v>
      </c>
      <c r="K194" s="16">
        <f>VLOOKUP(C194,Ext.Mo!$C$2:$AK$326,35,FALSE)</f>
        <v>17.753164556962023</v>
      </c>
      <c r="L194" s="16">
        <f>RANK(Table5[[#This Row],[EXTERNAL CORROSION]],$K$62:$K$312)</f>
        <v>172</v>
      </c>
      <c r="M194" s="16">
        <f>VLOOKUP(Table5[[#This Row],[RC]],Table3[[RC]:[Total TPI Score10]],23,0)</f>
        <v>43.63636363636364</v>
      </c>
      <c r="N194" s="16">
        <f>RANK(Table5[[#This Row],[THIRD PARTY INTERFERENCE]],$M$62:$M$312)</f>
        <v>2</v>
      </c>
      <c r="O194" s="16">
        <f>VLOOKUP(Table5[[#This Row],[RC]],LGS_Mo.!$C$5:$P$322,14,0)</f>
        <v>20</v>
      </c>
      <c r="P194" s="16">
        <f>RANK(Table5[[#This Row],[Loss  of ground support]],$O$62:$O$312)</f>
        <v>15</v>
      </c>
      <c r="Q194" s="16">
        <f>(I194+K194+M194+Table5[[#This Row],[Loss  of ground support]])/4</f>
        <v>28.889048714998083</v>
      </c>
      <c r="R194" s="16">
        <f>VLOOKUP(C194,consequence!$B$2:$K$302,10,FALSE)</f>
        <v>3</v>
      </c>
      <c r="S194" s="16">
        <f>VLOOKUP(C194,consequence!B294:$K$302,9,FALSE)</f>
        <v>7</v>
      </c>
      <c r="T194" s="63">
        <f t="shared" si="11"/>
        <v>50</v>
      </c>
      <c r="U194" s="69">
        <f>RANK(Table5[[#This Row],[Consequence]],$T$62:$T$264)</f>
        <v>1</v>
      </c>
      <c r="V194" s="16"/>
      <c r="Y194" s="14">
        <v>19.4936708860759</v>
      </c>
    </row>
    <row r="195" spans="1:25" s="14" customFormat="1">
      <c r="A195" s="84" t="s">
        <v>988</v>
      </c>
      <c r="B195" s="244">
        <v>9</v>
      </c>
      <c r="C195" s="141">
        <v>651100002</v>
      </c>
      <c r="D195" s="140" t="s">
        <v>809</v>
      </c>
      <c r="E195" s="105">
        <f t="shared" si="18"/>
        <v>0</v>
      </c>
      <c r="F195" s="16">
        <v>1490.514684388889</v>
      </c>
      <c r="G195" s="70">
        <f>Table5[[#This Row],[Probability]]*Table5[[#This Row],[Consequence]]</f>
        <v>1444.4524357499042</v>
      </c>
      <c r="H195" s="16">
        <f>RANK(Table5[[#This Row],[Risk Score]],$G$62:$G$312)</f>
        <v>169</v>
      </c>
      <c r="I195" s="16">
        <f>VLOOKUP(C195,Table1[[#All],[RC]:[Total Internal Corrosion Score]],27,FALSE)</f>
        <v>34.166666666666664</v>
      </c>
      <c r="J195" s="16">
        <f>RANK(Table5[[#This Row],[INTERNAL CORROSION]],$I$62:$I$312)</f>
        <v>8</v>
      </c>
      <c r="K195" s="16">
        <f>VLOOKUP(C195,Ext.Mo!$C$2:$AK$326,35,FALSE)</f>
        <v>17.753164556962023</v>
      </c>
      <c r="L195" s="16">
        <f>RANK(Table5[[#This Row],[EXTERNAL CORROSION]],$K$62:$K$312)</f>
        <v>172</v>
      </c>
      <c r="M195" s="16">
        <f>VLOOKUP(Table5[[#This Row],[RC]],Table3[[RC]:[Total TPI Score10]],23,0)</f>
        <v>43.63636363636364</v>
      </c>
      <c r="N195" s="16">
        <f>RANK(Table5[[#This Row],[THIRD PARTY INTERFERENCE]],$M$62:$M$312)</f>
        <v>2</v>
      </c>
      <c r="O195" s="16">
        <f>VLOOKUP(Table5[[#This Row],[RC]],LGS_Mo.!$C$5:$P$322,14,0)</f>
        <v>20</v>
      </c>
      <c r="P195" s="16">
        <f>RANK(Table5[[#This Row],[Loss  of ground support]],$O$62:$O$312)</f>
        <v>15</v>
      </c>
      <c r="Q195" s="16">
        <f>(I195+K195+M195+Table5[[#This Row],[Loss  of ground support]])/4</f>
        <v>28.889048714998083</v>
      </c>
      <c r="R195" s="16">
        <f>VLOOKUP(C195,consequence!$B$2:$K$302,10,FALSE)</f>
        <v>3</v>
      </c>
      <c r="S195" s="16">
        <f>VLOOKUP(C195,consequence!B295:$K$302,9,FALSE)</f>
        <v>7</v>
      </c>
      <c r="T195" s="16">
        <f t="shared" si="11"/>
        <v>50</v>
      </c>
      <c r="U195" s="69">
        <f>RANK(Table5[[#This Row],[Consequence]],$T$62:$T$264)</f>
        <v>1</v>
      </c>
      <c r="V195" s="16"/>
      <c r="Y195" s="14">
        <v>19.4936708860759</v>
      </c>
    </row>
    <row r="196" spans="1:25" s="14" customFormat="1">
      <c r="A196" s="84" t="s">
        <v>988</v>
      </c>
      <c r="B196" s="244">
        <v>9</v>
      </c>
      <c r="C196" s="81">
        <v>651100003</v>
      </c>
      <c r="D196" s="82" t="s">
        <v>811</v>
      </c>
      <c r="E196" s="105">
        <f t="shared" si="18"/>
        <v>0</v>
      </c>
      <c r="F196" s="16">
        <v>1490.514684388889</v>
      </c>
      <c r="G196" s="70">
        <f>Table5[[#This Row],[Probability]]*Table5[[#This Row],[Consequence]]</f>
        <v>1444.4524357499042</v>
      </c>
      <c r="H196" s="16">
        <f>RANK(Table5[[#This Row],[Risk Score]],$G$62:$G$312)</f>
        <v>169</v>
      </c>
      <c r="I196" s="16">
        <f>VLOOKUP(C196,Table1[[#All],[RC]:[Total Internal Corrosion Score]],27,FALSE)</f>
        <v>34.166666666666664</v>
      </c>
      <c r="J196" s="16">
        <f>RANK(Table5[[#This Row],[INTERNAL CORROSION]],$I$62:$I$312)</f>
        <v>8</v>
      </c>
      <c r="K196" s="16">
        <f>VLOOKUP(C196,Ext.Mo!$C$2:$AK$326,35,FALSE)</f>
        <v>17.753164556962023</v>
      </c>
      <c r="L196" s="16">
        <f>RANK(Table5[[#This Row],[EXTERNAL CORROSION]],$K$62:$K$312)</f>
        <v>172</v>
      </c>
      <c r="M196" s="16">
        <f>VLOOKUP(Table5[[#This Row],[RC]],Table3[[RC]:[Total TPI Score10]],23,0)</f>
        <v>43.63636363636364</v>
      </c>
      <c r="N196" s="16">
        <f>RANK(Table5[[#This Row],[THIRD PARTY INTERFERENCE]],$M$62:$M$312)</f>
        <v>2</v>
      </c>
      <c r="O196" s="16">
        <f>VLOOKUP(Table5[[#This Row],[RC]],LGS_Mo.!$C$5:$P$322,14,0)</f>
        <v>20</v>
      </c>
      <c r="P196" s="16">
        <f>RANK(Table5[[#This Row],[Loss  of ground support]],$O$62:$O$312)</f>
        <v>15</v>
      </c>
      <c r="Q196" s="16">
        <f>(I196+K196+M196+Table5[[#This Row],[Loss  of ground support]])/4</f>
        <v>28.889048714998083</v>
      </c>
      <c r="R196" s="16">
        <f>VLOOKUP(C196,consequence!$B$2:$K$302,10,FALSE)</f>
        <v>3</v>
      </c>
      <c r="S196" s="16">
        <f>VLOOKUP(C196,consequence!B296:$K$302,9,FALSE)</f>
        <v>7</v>
      </c>
      <c r="T196" s="63">
        <f t="shared" si="11"/>
        <v>50</v>
      </c>
      <c r="U196" s="69">
        <f>RANK(Table5[[#This Row],[Consequence]],$T$62:$T$264)</f>
        <v>1</v>
      </c>
      <c r="V196" s="16"/>
      <c r="Y196" s="14">
        <v>19.4936708860759</v>
      </c>
    </row>
    <row r="197" spans="1:25" s="14" customFormat="1">
      <c r="A197" s="84" t="s">
        <v>988</v>
      </c>
      <c r="B197" s="244">
        <v>9</v>
      </c>
      <c r="C197" s="141">
        <v>651100004</v>
      </c>
      <c r="D197" s="140" t="s">
        <v>813</v>
      </c>
      <c r="E197" s="105">
        <f t="shared" si="18"/>
        <v>0</v>
      </c>
      <c r="F197" s="16">
        <v>1490.514684388889</v>
      </c>
      <c r="G197" s="70">
        <f>Table5[[#This Row],[Probability]]*Table5[[#This Row],[Consequence]]</f>
        <v>1404.6797084771767</v>
      </c>
      <c r="H197" s="16">
        <f>RANK(Table5[[#This Row],[Risk Score]],$G$62:$G$312)</f>
        <v>241</v>
      </c>
      <c r="I197" s="16">
        <f>VLOOKUP(C197,Table1[[#All],[RC]:[Total Internal Corrosion Score]],27,FALSE)</f>
        <v>34.166666666666664</v>
      </c>
      <c r="J197" s="16">
        <f>RANK(Table5[[#This Row],[INTERNAL CORROSION]],$I$62:$I$312)</f>
        <v>8</v>
      </c>
      <c r="K197" s="16">
        <f>VLOOKUP(C197,Ext.Mo!$C$2:$AK$326,35,FALSE)</f>
        <v>17.753164556962023</v>
      </c>
      <c r="L197" s="16">
        <f>RANK(Table5[[#This Row],[EXTERNAL CORROSION]],$K$62:$K$312)</f>
        <v>172</v>
      </c>
      <c r="M197" s="16">
        <f>VLOOKUP(Table5[[#This Row],[RC]],Table3[[RC]:[Total TPI Score10]],23,0)</f>
        <v>40.454545454545453</v>
      </c>
      <c r="N197" s="16">
        <f>RANK(Table5[[#This Row],[THIRD PARTY INTERFERENCE]],$M$62:$M$312)</f>
        <v>224</v>
      </c>
      <c r="O197" s="16">
        <f>VLOOKUP(Table5[[#This Row],[RC]],LGS_Mo.!$C$5:$P$322,14,0)</f>
        <v>20</v>
      </c>
      <c r="P197" s="16">
        <f>RANK(Table5[[#This Row],[Loss  of ground support]],$O$62:$O$312)</f>
        <v>15</v>
      </c>
      <c r="Q197" s="16">
        <f>(I197+K197+M197+Table5[[#This Row],[Loss  of ground support]])/4</f>
        <v>28.093594169543536</v>
      </c>
      <c r="R197" s="16">
        <f>VLOOKUP(C197,consequence!$B$2:$K$302,10,FALSE)</f>
        <v>3</v>
      </c>
      <c r="S197" s="16">
        <f>VLOOKUP(C197,consequence!B297:$K$302,9,FALSE)</f>
        <v>7</v>
      </c>
      <c r="T197" s="16">
        <f t="shared" si="11"/>
        <v>50</v>
      </c>
      <c r="U197" s="69">
        <f>RANK(Table5[[#This Row],[Consequence]],$T$62:$T$264)</f>
        <v>1</v>
      </c>
      <c r="V197" s="16"/>
      <c r="Y197" s="14">
        <v>19.4936708860759</v>
      </c>
    </row>
    <row r="198" spans="1:25" s="14" customFormat="1">
      <c r="A198" s="84" t="s">
        <v>988</v>
      </c>
      <c r="B198" s="244">
        <v>9</v>
      </c>
      <c r="C198" s="141">
        <v>651200001</v>
      </c>
      <c r="D198" s="140" t="s">
        <v>815</v>
      </c>
      <c r="E198" s="105">
        <f t="shared" si="18"/>
        <v>0</v>
      </c>
      <c r="F198" s="16">
        <v>1490.514684388889</v>
      </c>
      <c r="G198" s="70">
        <f>Table5[[#This Row],[Probability]]*Table5[[#This Row],[Consequence]]</f>
        <v>1444.4524357499042</v>
      </c>
      <c r="H198" s="16">
        <f>RANK(Table5[[#This Row],[Risk Score]],$G$62:$G$312)</f>
        <v>169</v>
      </c>
      <c r="I198" s="16">
        <f>VLOOKUP(C198,Table1[[#All],[RC]:[Total Internal Corrosion Score]],27,FALSE)</f>
        <v>34.166666666666664</v>
      </c>
      <c r="J198" s="16">
        <f>RANK(Table5[[#This Row],[INTERNAL CORROSION]],$I$62:$I$312)</f>
        <v>8</v>
      </c>
      <c r="K198" s="16">
        <f>VLOOKUP(C198,Ext.Mo!$C$2:$AK$326,35,FALSE)</f>
        <v>17.753164556962023</v>
      </c>
      <c r="L198" s="16">
        <f>RANK(Table5[[#This Row],[EXTERNAL CORROSION]],$K$62:$K$312)</f>
        <v>172</v>
      </c>
      <c r="M198" s="16">
        <f>VLOOKUP(Table5[[#This Row],[RC]],Table3[[RC]:[Total TPI Score10]],23,0)</f>
        <v>43.63636363636364</v>
      </c>
      <c r="N198" s="16">
        <f>RANK(Table5[[#This Row],[THIRD PARTY INTERFERENCE]],$M$62:$M$312)</f>
        <v>2</v>
      </c>
      <c r="O198" s="16">
        <f>VLOOKUP(Table5[[#This Row],[RC]],LGS_Mo.!$C$5:$P$322,14,0)</f>
        <v>20</v>
      </c>
      <c r="P198" s="16">
        <f>RANK(Table5[[#This Row],[Loss  of ground support]],$O$62:$O$312)</f>
        <v>15</v>
      </c>
      <c r="Q198" s="16">
        <f>(I198+K198+M198+Table5[[#This Row],[Loss  of ground support]])/4</f>
        <v>28.889048714998083</v>
      </c>
      <c r="R198" s="16">
        <f>VLOOKUP(C198,consequence!$B$2:$K$302,10,FALSE)</f>
        <v>3</v>
      </c>
      <c r="S198" s="16">
        <f>VLOOKUP(C198,consequence!B298:$K$302,9,FALSE)</f>
        <v>7</v>
      </c>
      <c r="T198" s="63">
        <f t="shared" si="11"/>
        <v>50</v>
      </c>
      <c r="U198" s="69">
        <f>RANK(Table5[[#This Row],[Consequence]],$T$62:$T$264)</f>
        <v>1</v>
      </c>
      <c r="V198" s="16"/>
      <c r="Y198" s="14">
        <v>19.4936708860759</v>
      </c>
    </row>
    <row r="199" spans="1:25" s="14" customFormat="1">
      <c r="A199" s="84" t="s">
        <v>988</v>
      </c>
      <c r="B199" s="243">
        <v>9</v>
      </c>
      <c r="C199" s="141">
        <v>651300001</v>
      </c>
      <c r="D199" s="140" t="s">
        <v>350</v>
      </c>
      <c r="E199" s="105">
        <f t="shared" si="18"/>
        <v>0</v>
      </c>
      <c r="F199" s="16">
        <v>1490.514684388889</v>
      </c>
      <c r="G199" s="70">
        <f>Table5[[#This Row],[Probability]]*Table5[[#This Row],[Consequence]]</f>
        <v>1444.4524357499042</v>
      </c>
      <c r="H199" s="16">
        <f>RANK(Table5[[#This Row],[Risk Score]],$G$62:$G$312)</f>
        <v>169</v>
      </c>
      <c r="I199" s="16">
        <f>VLOOKUP(C199,Table1[[#All],[RC]:[Total Internal Corrosion Score]],27,FALSE)</f>
        <v>34.166666666666664</v>
      </c>
      <c r="J199" s="16">
        <f>RANK(Table5[[#This Row],[INTERNAL CORROSION]],$I$62:$I$312)</f>
        <v>8</v>
      </c>
      <c r="K199" s="16">
        <f>VLOOKUP(C199,Ext.Mo!$C$2:$AK$326,35,FALSE)</f>
        <v>17.753164556962023</v>
      </c>
      <c r="L199" s="16">
        <f>RANK(Table5[[#This Row],[EXTERNAL CORROSION]],$K$62:$K$312)</f>
        <v>172</v>
      </c>
      <c r="M199" s="16">
        <f>VLOOKUP(Table5[[#This Row],[RC]],Table3[[RC]:[Total TPI Score10]],23,0)</f>
        <v>43.63636363636364</v>
      </c>
      <c r="N199" s="16">
        <f>RANK(Table5[[#This Row],[THIRD PARTY INTERFERENCE]],$M$62:$M$312)</f>
        <v>2</v>
      </c>
      <c r="O199" s="16">
        <f>VLOOKUP(Table5[[#This Row],[RC]],LGS_Mo.!$C$5:$P$322,14,0)</f>
        <v>20</v>
      </c>
      <c r="P199" s="16">
        <f>RANK(Table5[[#This Row],[Loss  of ground support]],$O$62:$O$312)</f>
        <v>15</v>
      </c>
      <c r="Q199" s="16">
        <f>(I199+K199+M199+Table5[[#This Row],[Loss  of ground support]])/4</f>
        <v>28.889048714998083</v>
      </c>
      <c r="R199" s="16">
        <f>VLOOKUP(C199,consequence!$B$2:$K$302,10,FALSE)</f>
        <v>3</v>
      </c>
      <c r="S199" s="16">
        <f>VLOOKUP(C199,consequence!B299:$K$302,9,FALSE)</f>
        <v>7</v>
      </c>
      <c r="T199" s="16">
        <f t="shared" ref="T199:T263" si="19">((R199*5)+(S199*5))</f>
        <v>50</v>
      </c>
      <c r="U199" s="69">
        <f>RANK(Table5[[#This Row],[Consequence]],$T$62:$T$264)</f>
        <v>1</v>
      </c>
      <c r="V199" s="16"/>
      <c r="Y199" s="14">
        <v>19.4936708860759</v>
      </c>
    </row>
    <row r="200" spans="1:25" s="14" customFormat="1">
      <c r="A200" s="84" t="s">
        <v>988</v>
      </c>
      <c r="B200" s="244">
        <v>9</v>
      </c>
      <c r="C200" s="141">
        <v>65130101</v>
      </c>
      <c r="D200" s="140" t="s">
        <v>805</v>
      </c>
      <c r="E200" s="105">
        <f t="shared" si="18"/>
        <v>0</v>
      </c>
      <c r="F200" s="16">
        <v>1490.514684388889</v>
      </c>
      <c r="G200" s="70">
        <f>Table5[[#This Row],[Probability]]*Table5[[#This Row],[Consequence]]</f>
        <v>1444.4524357499042</v>
      </c>
      <c r="H200" s="16">
        <f>RANK(Table5[[#This Row],[Risk Score]],$G$62:$G$312)</f>
        <v>169</v>
      </c>
      <c r="I200" s="16">
        <f>VLOOKUP(C200,Table1[[#All],[RC]:[Total Internal Corrosion Score]],27,FALSE)</f>
        <v>34.166666666666664</v>
      </c>
      <c r="J200" s="16">
        <f>RANK(Table5[[#This Row],[INTERNAL CORROSION]],$I$62:$I$312)</f>
        <v>8</v>
      </c>
      <c r="K200" s="16">
        <f>VLOOKUP(C200,Ext.Mo!$C$2:$AK$326,35,FALSE)</f>
        <v>17.753164556962023</v>
      </c>
      <c r="L200" s="16">
        <f>RANK(Table5[[#This Row],[EXTERNAL CORROSION]],$K$62:$K$312)</f>
        <v>172</v>
      </c>
      <c r="M200" s="16">
        <f>VLOOKUP(Table5[[#This Row],[RC]],Table3[[RC]:[Total TPI Score10]],23,0)</f>
        <v>43.63636363636364</v>
      </c>
      <c r="N200" s="16">
        <f>RANK(Table5[[#This Row],[THIRD PARTY INTERFERENCE]],$M$62:$M$312)</f>
        <v>2</v>
      </c>
      <c r="O200" s="16">
        <f>VLOOKUP(Table5[[#This Row],[RC]],LGS_Mo.!$C$5:$P$322,14,0)</f>
        <v>20</v>
      </c>
      <c r="P200" s="16">
        <f>RANK(Table5[[#This Row],[Loss  of ground support]],$O$62:$O$312)</f>
        <v>15</v>
      </c>
      <c r="Q200" s="16">
        <f>(I200+K200+M200+Table5[[#This Row],[Loss  of ground support]])/4</f>
        <v>28.889048714998083</v>
      </c>
      <c r="R200" s="16">
        <f>VLOOKUP(C200,consequence!$B$2:$K$302,10,FALSE)</f>
        <v>3</v>
      </c>
      <c r="S200" s="16">
        <f>VLOOKUP(C200,consequence!B300:$K$302,9,FALSE)</f>
        <v>7</v>
      </c>
      <c r="T200" s="63">
        <f t="shared" si="19"/>
        <v>50</v>
      </c>
      <c r="U200" s="69">
        <f>RANK(Table5[[#This Row],[Consequence]],$T$62:$T$264)</f>
        <v>1</v>
      </c>
      <c r="V200" s="16"/>
      <c r="Y200" s="14">
        <v>19.4936708860759</v>
      </c>
    </row>
    <row r="201" spans="1:25" s="14" customFormat="1">
      <c r="A201" s="84" t="s">
        <v>988</v>
      </c>
      <c r="B201" s="244">
        <v>9</v>
      </c>
      <c r="C201" s="141">
        <v>65130201</v>
      </c>
      <c r="D201" s="140" t="s">
        <v>807</v>
      </c>
      <c r="E201" s="105">
        <f t="shared" si="18"/>
        <v>0</v>
      </c>
      <c r="F201" s="16">
        <v>1490.514684388889</v>
      </c>
      <c r="G201" s="70">
        <f>Table5[[#This Row],[Probability]]*Table5[[#This Row],[Consequence]]</f>
        <v>1444.4524357499042</v>
      </c>
      <c r="H201" s="16">
        <f>RANK(Table5[[#This Row],[Risk Score]],$G$62:$G$312)</f>
        <v>169</v>
      </c>
      <c r="I201" s="16">
        <f>VLOOKUP(C201,Table1[[#All],[RC]:[Total Internal Corrosion Score]],27,FALSE)</f>
        <v>34.166666666666664</v>
      </c>
      <c r="J201" s="16">
        <f>RANK(Table5[[#This Row],[INTERNAL CORROSION]],$I$62:$I$312)</f>
        <v>8</v>
      </c>
      <c r="K201" s="16">
        <f>VLOOKUP(C201,Ext.Mo!$C$2:$AK$326,35,FALSE)</f>
        <v>17.753164556962023</v>
      </c>
      <c r="L201" s="16">
        <f>RANK(Table5[[#This Row],[EXTERNAL CORROSION]],$K$62:$K$312)</f>
        <v>172</v>
      </c>
      <c r="M201" s="16">
        <f>VLOOKUP(Table5[[#This Row],[RC]],Table3[[RC]:[Total TPI Score10]],23,0)</f>
        <v>43.63636363636364</v>
      </c>
      <c r="N201" s="16">
        <f>RANK(Table5[[#This Row],[THIRD PARTY INTERFERENCE]],$M$62:$M$312)</f>
        <v>2</v>
      </c>
      <c r="O201" s="16">
        <f>VLOOKUP(Table5[[#This Row],[RC]],LGS_Mo.!$C$5:$P$322,14,0)</f>
        <v>20</v>
      </c>
      <c r="P201" s="16">
        <f>RANK(Table5[[#This Row],[Loss  of ground support]],$O$62:$O$312)</f>
        <v>15</v>
      </c>
      <c r="Q201" s="16">
        <f>(I201+K201+M201+Table5[[#This Row],[Loss  of ground support]])/4</f>
        <v>28.889048714998083</v>
      </c>
      <c r="R201" s="16">
        <f>VLOOKUP(C201,consequence!$B$2:$K$302,10,FALSE)</f>
        <v>3</v>
      </c>
      <c r="S201" s="16">
        <f>VLOOKUP(C201,consequence!B301:$K$302,9,FALSE)</f>
        <v>7</v>
      </c>
      <c r="T201" s="16">
        <f t="shared" si="19"/>
        <v>50</v>
      </c>
      <c r="U201" s="69">
        <f>RANK(Table5[[#This Row],[Consequence]],$T$62:$T$264)</f>
        <v>1</v>
      </c>
      <c r="V201" s="16"/>
      <c r="Y201" s="14">
        <v>19.4936708860759</v>
      </c>
    </row>
    <row r="202" spans="1:25">
      <c r="A202" s="84" t="s">
        <v>988</v>
      </c>
      <c r="B202" s="80">
        <v>1</v>
      </c>
      <c r="C202" s="81">
        <v>503200001</v>
      </c>
      <c r="D202" s="82" t="s">
        <v>558</v>
      </c>
      <c r="E202" s="57" t="e">
        <f>E179</f>
        <v>#REF!</v>
      </c>
      <c r="F202" s="16">
        <v>1490.514684388889</v>
      </c>
      <c r="G202" s="16">
        <f>Table5[[#This Row],[Probability]]*Table5[[#This Row],[Consequence]]</f>
        <v>1466.2087537878788</v>
      </c>
      <c r="H202" s="16">
        <f>RANK(Table5[[#This Row],[Risk Score]],$G$62:$G$312)</f>
        <v>23</v>
      </c>
      <c r="I202" s="16">
        <f>VLOOKUP(C202,Table1[[#All],[RC]:[Total Internal Corrosion Score]],27,FALSE)</f>
        <v>34.166666666666664</v>
      </c>
      <c r="J202" s="16">
        <f>RANK(Table5[[#This Row],[INTERNAL CORROSION]],$I$62:$I$312)</f>
        <v>8</v>
      </c>
      <c r="K202" s="16">
        <f>VLOOKUP(C202,Ext.Mo!$C$2:$AK$326,35,FALSE)</f>
        <v>19.493670000000002</v>
      </c>
      <c r="L202" s="16">
        <f>RANK(Table5[[#This Row],[EXTERNAL CORROSION]],$K$62:$K$312)</f>
        <v>3</v>
      </c>
      <c r="M202" s="16">
        <f>VLOOKUP(Table5[[#This Row],[RC]],Table3[[RC]:[Total TPI Score10]],23,0)</f>
        <v>43.63636363636364</v>
      </c>
      <c r="N202" s="16">
        <f>RANK(Table5[[#This Row],[THIRD PARTY INTERFERENCE]],$M$62:$M$312)</f>
        <v>2</v>
      </c>
      <c r="O202" s="16">
        <f>VLOOKUP(Table5[[#This Row],[RC]],LGS_Mo.!$C$5:$P$322,14,0)</f>
        <v>20</v>
      </c>
      <c r="P202" s="16">
        <f>RANK(Table5[[#This Row],[Loss  of ground support]],$O$62:$O$312)</f>
        <v>15</v>
      </c>
      <c r="Q202" s="16">
        <f>(I202+K202+M202+Table5[[#This Row],[Loss  of ground support]])/4</f>
        <v>29.324175075757577</v>
      </c>
      <c r="R202" s="16">
        <v>7</v>
      </c>
      <c r="S202" s="16">
        <v>3</v>
      </c>
      <c r="T202" s="16">
        <f t="shared" si="19"/>
        <v>50</v>
      </c>
      <c r="U202" s="16">
        <f>RANK(Table5[[#This Row],[Consequence]],$T$62:$T$264)</f>
        <v>1</v>
      </c>
      <c r="V202" s="16"/>
      <c r="X202" s="14">
        <f t="shared" ref="X202:X207" si="20">J367</f>
        <v>0</v>
      </c>
      <c r="Y202" s="14">
        <v>19.493670886075947</v>
      </c>
    </row>
    <row r="203" spans="1:25" s="9" customFormat="1">
      <c r="A203" s="84" t="s">
        <v>988</v>
      </c>
      <c r="B203" s="80">
        <v>1</v>
      </c>
      <c r="C203" s="81">
        <v>5033</v>
      </c>
      <c r="D203" s="82" t="s">
        <v>559</v>
      </c>
      <c r="E203" s="57" t="e">
        <f>E202</f>
        <v>#REF!</v>
      </c>
      <c r="F203" s="16">
        <v>1490.514684388889</v>
      </c>
      <c r="G203" s="16">
        <f>Table5[[#This Row],[Probability]]*Table5[[#This Row],[Consequence]]</f>
        <v>1412.8068661296511</v>
      </c>
      <c r="H203" s="16">
        <f>RANK(Table5[[#This Row],[Risk Score]],$G$62:$G$312)</f>
        <v>207</v>
      </c>
      <c r="I203" s="16">
        <f>VLOOKUP(C203,Table1[[#All],[RC]:[Total Internal Corrosion Score]],27,FALSE)</f>
        <v>34.166666666666664</v>
      </c>
      <c r="J203" s="16">
        <f>RANK(Table5[[#This Row],[INTERNAL CORROSION]],$I$62:$I$312)</f>
        <v>8</v>
      </c>
      <c r="K203" s="16">
        <f>VLOOKUP(C203,Ext.Mo!$C$2:$AK$326,35,FALSE)</f>
        <v>15.221518987341771</v>
      </c>
      <c r="L203" s="16">
        <f>RANK(Table5[[#This Row],[EXTERNAL CORROSION]],$K$62:$K$312)</f>
        <v>211</v>
      </c>
      <c r="M203" s="16">
        <f>VLOOKUP(Table5[[#This Row],[RC]],Table3[[RC]:[Total TPI Score10]],23,0)</f>
        <v>43.63636363636364</v>
      </c>
      <c r="N203" s="9">
        <f>RANK(Table5[[#This Row],[THIRD PARTY INTERFERENCE]],$M$62:$M$312)</f>
        <v>2</v>
      </c>
      <c r="O203" s="9">
        <f>VLOOKUP(Table5[[#This Row],[RC]],LGS_Mo.!$C$5:$P$322,14,0)</f>
        <v>20</v>
      </c>
      <c r="P203" s="9">
        <f>RANK(Table5[[#This Row],[Loss  of ground support]],$O$62:$O$312)</f>
        <v>15</v>
      </c>
      <c r="Q203" s="9">
        <f>(I203+K203+M203+Table5[[#This Row],[Loss  of ground support]])/4</f>
        <v>28.25613732259302</v>
      </c>
      <c r="R203" s="9">
        <v>7</v>
      </c>
      <c r="S203" s="9">
        <v>3</v>
      </c>
      <c r="T203" s="9">
        <f t="shared" si="19"/>
        <v>50</v>
      </c>
      <c r="U203" s="9">
        <f>RANK(Table5[[#This Row],[Consequence]],$T$62:$T$264)</f>
        <v>1</v>
      </c>
      <c r="X203" s="14">
        <f t="shared" si="20"/>
        <v>0</v>
      </c>
      <c r="Y203" s="14">
        <v>19.493670886075947</v>
      </c>
    </row>
    <row r="204" spans="1:25">
      <c r="A204" s="84" t="s">
        <v>988</v>
      </c>
      <c r="B204" s="80">
        <v>1</v>
      </c>
      <c r="C204" s="81">
        <v>5041</v>
      </c>
      <c r="D204" s="82" t="s">
        <v>556</v>
      </c>
      <c r="E204" s="57" t="e">
        <f>E203</f>
        <v>#REF!</v>
      </c>
      <c r="F204" s="16">
        <v>1490.514684388889</v>
      </c>
      <c r="G204" s="16">
        <f>Table5[[#This Row],[Probability]]*Table5[[#This Row],[Consequence]]</f>
        <v>1466.2087537878788</v>
      </c>
      <c r="H204" s="16">
        <f>RANK(Table5[[#This Row],[Risk Score]],$G$62:$G$312)</f>
        <v>23</v>
      </c>
      <c r="I204" s="16">
        <f>VLOOKUP(C204,Table1[[#All],[RC]:[Total Internal Corrosion Score]],27,FALSE)</f>
        <v>34.166666666666664</v>
      </c>
      <c r="J204" s="16">
        <f>RANK(Table5[[#This Row],[INTERNAL CORROSION]],$I$62:$I$312)</f>
        <v>8</v>
      </c>
      <c r="K204" s="16">
        <f>VLOOKUP(C204,Ext.Mo!$C$2:$AK$326,35,FALSE)</f>
        <v>19.493670000000002</v>
      </c>
      <c r="L204" s="16">
        <f>RANK(Table5[[#This Row],[EXTERNAL CORROSION]],$K$62:$K$312)</f>
        <v>3</v>
      </c>
      <c r="M204" s="16">
        <f>VLOOKUP(Table5[[#This Row],[RC]],Table3[[RC]:[Total TPI Score10]],23,0)</f>
        <v>43.63636363636364</v>
      </c>
      <c r="N204" s="16">
        <f>RANK(Table5[[#This Row],[THIRD PARTY INTERFERENCE]],$M$62:$M$312)</f>
        <v>2</v>
      </c>
      <c r="O204" s="16">
        <f>VLOOKUP(Table5[[#This Row],[RC]],LGS_Mo.!$C$5:$P$322,14,0)</f>
        <v>20</v>
      </c>
      <c r="P204" s="16">
        <f>RANK(Table5[[#This Row],[Loss  of ground support]],$O$62:$O$312)</f>
        <v>15</v>
      </c>
      <c r="Q204" s="16">
        <f>(I204+K204+M204+Table5[[#This Row],[Loss  of ground support]])/4</f>
        <v>29.324175075757577</v>
      </c>
      <c r="R204" s="16">
        <v>7</v>
      </c>
      <c r="S204" s="16">
        <v>3</v>
      </c>
      <c r="T204" s="16">
        <f t="shared" si="19"/>
        <v>50</v>
      </c>
      <c r="U204" s="16">
        <f>RANK(Table5[[#This Row],[Consequence]],$T$62:$T$264)</f>
        <v>1</v>
      </c>
      <c r="V204" s="16"/>
      <c r="X204" s="14">
        <f t="shared" si="20"/>
        <v>0</v>
      </c>
      <c r="Y204" s="14">
        <v>19.493670886075947</v>
      </c>
    </row>
    <row r="205" spans="1:25">
      <c r="A205" s="84" t="s">
        <v>988</v>
      </c>
      <c r="B205" s="80">
        <v>1</v>
      </c>
      <c r="C205" s="81">
        <v>504200001</v>
      </c>
      <c r="D205" s="82" t="s">
        <v>552</v>
      </c>
      <c r="E205" s="57" t="e">
        <f>E204</f>
        <v>#REF!</v>
      </c>
      <c r="F205" s="16">
        <v>1490.514684388889</v>
      </c>
      <c r="G205" s="16">
        <f>Table5[[#This Row],[Probability]]*Table5[[#This Row],[Consequence]]</f>
        <v>1466.2087537878788</v>
      </c>
      <c r="H205" s="16">
        <f>RANK(Table5[[#This Row],[Risk Score]],$G$62:$G$312)</f>
        <v>23</v>
      </c>
      <c r="I205" s="16">
        <f>VLOOKUP(C205,Table1[[#All],[RC]:[Total Internal Corrosion Score]],27,FALSE)</f>
        <v>34.166666666666664</v>
      </c>
      <c r="J205" s="16">
        <f>RANK(Table5[[#This Row],[INTERNAL CORROSION]],$I$62:$I$312)</f>
        <v>8</v>
      </c>
      <c r="K205" s="16">
        <f>VLOOKUP(C205,Ext.Mo!$C$2:$AK$326,35,FALSE)</f>
        <v>19.493670000000002</v>
      </c>
      <c r="L205" s="16">
        <f>RANK(Table5[[#This Row],[EXTERNAL CORROSION]],$K$62:$K$312)</f>
        <v>3</v>
      </c>
      <c r="M205" s="16">
        <f>VLOOKUP(Table5[[#This Row],[RC]],Table3[[RC]:[Total TPI Score10]],23,0)</f>
        <v>43.63636363636364</v>
      </c>
      <c r="N205" s="16">
        <f>RANK(Table5[[#This Row],[THIRD PARTY INTERFERENCE]],$M$62:$M$312)</f>
        <v>2</v>
      </c>
      <c r="O205" s="16">
        <f>VLOOKUP(Table5[[#This Row],[RC]],LGS_Mo.!$C$5:$P$322,14,0)</f>
        <v>20</v>
      </c>
      <c r="P205" s="16">
        <f>RANK(Table5[[#This Row],[Loss  of ground support]],$O$62:$O$312)</f>
        <v>15</v>
      </c>
      <c r="Q205" s="16">
        <f>(I205+K205+M205+Table5[[#This Row],[Loss  of ground support]])/4</f>
        <v>29.324175075757577</v>
      </c>
      <c r="R205" s="16">
        <v>7</v>
      </c>
      <c r="S205" s="16">
        <v>3</v>
      </c>
      <c r="T205" s="16">
        <f t="shared" si="19"/>
        <v>50</v>
      </c>
      <c r="U205" s="16">
        <f>RANK(Table5[[#This Row],[Consequence]],$T$62:$T$264)</f>
        <v>1</v>
      </c>
      <c r="V205" s="16"/>
      <c r="X205" s="14">
        <f t="shared" si="20"/>
        <v>0</v>
      </c>
      <c r="Y205" s="14">
        <v>19.493670886075947</v>
      </c>
    </row>
    <row r="206" spans="1:25">
      <c r="A206" s="84" t="s">
        <v>988</v>
      </c>
      <c r="B206" s="80">
        <v>1</v>
      </c>
      <c r="C206" s="81">
        <v>504300001</v>
      </c>
      <c r="D206" s="82" t="s">
        <v>554</v>
      </c>
      <c r="E206" s="57" t="e">
        <f>E205</f>
        <v>#REF!</v>
      </c>
      <c r="F206" s="16">
        <v>1490.514684388889</v>
      </c>
      <c r="G206" s="16">
        <f>Table5[[#This Row],[Probability]]*Table5[[#This Row],[Consequence]]</f>
        <v>1466.2087537878788</v>
      </c>
      <c r="H206" s="16">
        <f>RANK(Table5[[#This Row],[Risk Score]],$G$62:$G$312)</f>
        <v>23</v>
      </c>
      <c r="I206" s="16">
        <f>VLOOKUP(C206,Table1[[#All],[RC]:[Total Internal Corrosion Score]],27,FALSE)</f>
        <v>34.166666666666664</v>
      </c>
      <c r="J206" s="16">
        <f>RANK(Table5[[#This Row],[INTERNAL CORROSION]],$I$62:$I$312)</f>
        <v>8</v>
      </c>
      <c r="K206" s="16">
        <f>VLOOKUP(C206,Ext.Mo!$C$2:$AK$326,35,FALSE)</f>
        <v>19.493670000000002</v>
      </c>
      <c r="L206" s="16">
        <f>RANK(Table5[[#This Row],[EXTERNAL CORROSION]],$K$62:$K$312)</f>
        <v>3</v>
      </c>
      <c r="M206" s="16">
        <f>VLOOKUP(Table5[[#This Row],[RC]],Table3[[RC]:[Total TPI Score10]],23,0)</f>
        <v>43.63636363636364</v>
      </c>
      <c r="N206" s="16">
        <f>RANK(Table5[[#This Row],[THIRD PARTY INTERFERENCE]],$M$62:$M$312)</f>
        <v>2</v>
      </c>
      <c r="O206" s="16">
        <f>VLOOKUP(Table5[[#This Row],[RC]],LGS_Mo.!$C$5:$P$322,14,0)</f>
        <v>20</v>
      </c>
      <c r="P206" s="16">
        <f>RANK(Table5[[#This Row],[Loss  of ground support]],$O$62:$O$312)</f>
        <v>15</v>
      </c>
      <c r="Q206" s="16">
        <f>(I206+K206+M206+Table5[[#This Row],[Loss  of ground support]])/4</f>
        <v>29.324175075757577</v>
      </c>
      <c r="R206" s="16">
        <v>7</v>
      </c>
      <c r="S206" s="16">
        <v>3</v>
      </c>
      <c r="T206" s="16">
        <f t="shared" si="19"/>
        <v>50</v>
      </c>
      <c r="U206" s="16">
        <f>RANK(Table5[[#This Row],[Consequence]],$T$62:$T$264)</f>
        <v>1</v>
      </c>
      <c r="V206" s="16"/>
      <c r="X206" s="14">
        <f t="shared" si="20"/>
        <v>0</v>
      </c>
      <c r="Y206" s="14">
        <v>19.493670886075947</v>
      </c>
    </row>
    <row r="207" spans="1:25">
      <c r="A207" s="84" t="s">
        <v>988</v>
      </c>
      <c r="B207" s="80">
        <v>1</v>
      </c>
      <c r="C207" s="81">
        <v>505100001</v>
      </c>
      <c r="D207" s="82" t="s">
        <v>550</v>
      </c>
      <c r="E207" s="57" t="e">
        <f>E206</f>
        <v>#REF!</v>
      </c>
      <c r="F207" s="16">
        <v>1490.514684388889</v>
      </c>
      <c r="G207" s="16">
        <f>Table5[[#This Row],[Probability]]*Table5[[#This Row],[Consequence]]</f>
        <v>1466.2087537878788</v>
      </c>
      <c r="H207" s="16">
        <f>RANK(Table5[[#This Row],[Risk Score]],$G$62:$G$312)</f>
        <v>23</v>
      </c>
      <c r="I207" s="16">
        <f>VLOOKUP(C207,Table1[[#All],[RC]:[Total Internal Corrosion Score]],27,FALSE)</f>
        <v>34.166666666666664</v>
      </c>
      <c r="J207" s="16">
        <f>RANK(Table5[[#This Row],[INTERNAL CORROSION]],$I$62:$I$312)</f>
        <v>8</v>
      </c>
      <c r="K207" s="16">
        <f>VLOOKUP(C207,Ext.Mo!$C$2:$AK$326,35,FALSE)</f>
        <v>19.493670000000002</v>
      </c>
      <c r="L207" s="16">
        <f>RANK(Table5[[#This Row],[EXTERNAL CORROSION]],$K$62:$K$312)</f>
        <v>3</v>
      </c>
      <c r="M207" s="16">
        <f>VLOOKUP(Table5[[#This Row],[RC]],Table3[[RC]:[Total TPI Score10]],23,0)</f>
        <v>43.63636363636364</v>
      </c>
      <c r="N207" s="16">
        <f>RANK(Table5[[#This Row],[THIRD PARTY INTERFERENCE]],$M$62:$M$312)</f>
        <v>2</v>
      </c>
      <c r="O207" s="16">
        <f>VLOOKUP(Table5[[#This Row],[RC]],LGS_Mo.!$C$5:$P$322,14,0)</f>
        <v>20</v>
      </c>
      <c r="P207" s="16">
        <f>RANK(Table5[[#This Row],[Loss  of ground support]],$O$62:$O$312)</f>
        <v>15</v>
      </c>
      <c r="Q207" s="16">
        <f>(I207+K207+M207+Table5[[#This Row],[Loss  of ground support]])/4</f>
        <v>29.324175075757577</v>
      </c>
      <c r="R207" s="16">
        <v>7</v>
      </c>
      <c r="S207" s="16">
        <v>3</v>
      </c>
      <c r="T207" s="16">
        <f t="shared" si="19"/>
        <v>50</v>
      </c>
      <c r="U207" s="16">
        <f>RANK(Table5[[#This Row],[Consequence]],$T$62:$T$264)</f>
        <v>1</v>
      </c>
      <c r="V207" s="16"/>
      <c r="X207" s="14">
        <f t="shared" si="20"/>
        <v>0</v>
      </c>
      <c r="Y207" s="14">
        <v>19.493670886075947</v>
      </c>
    </row>
    <row r="208" spans="1:25" ht="25.5">
      <c r="A208" s="84" t="s">
        <v>988</v>
      </c>
      <c r="B208" s="84">
        <v>6</v>
      </c>
      <c r="C208" s="81">
        <v>4457</v>
      </c>
      <c r="D208" s="82" t="s">
        <v>323</v>
      </c>
      <c r="E208" s="105">
        <f>F442</f>
        <v>0</v>
      </c>
      <c r="F208" s="16">
        <v>1490.514684388889</v>
      </c>
      <c r="G208" s="70">
        <f>Table5[[#This Row],[Probability]]*Table5[[#This Row],[Consequence]]</f>
        <v>1459.2643093434344</v>
      </c>
      <c r="H208" s="16">
        <f>RANK(Table5[[#This Row],[Risk Score]],$G$62:$G$312)</f>
        <v>130</v>
      </c>
      <c r="I208" s="16">
        <f>VLOOKUP(C208,Table1[[#All],[RC]:[Total Internal Corrosion Score]],27,FALSE)</f>
        <v>33.611111111111107</v>
      </c>
      <c r="J208" s="16">
        <f>RANK(Table5[[#This Row],[INTERNAL CORROSION]],$I$62:$I$312)</f>
        <v>208</v>
      </c>
      <c r="K208" s="16">
        <f>VLOOKUP(C208,Ext.Mo!$C$2:$AK$326,35,FALSE)</f>
        <v>19.493670000000002</v>
      </c>
      <c r="L208" s="16">
        <f>RANK(Table5[[#This Row],[EXTERNAL CORROSION]],$K$62:$K$312)</f>
        <v>3</v>
      </c>
      <c r="M208" s="16">
        <f>VLOOKUP(Table5[[#This Row],[RC]],Table3[[RC]:[Total TPI Score10]],23,0)</f>
        <v>43.63636363636364</v>
      </c>
      <c r="N208" s="16">
        <f>RANK(Table5[[#This Row],[THIRD PARTY INTERFERENCE]],$M$62:$M$312)</f>
        <v>2</v>
      </c>
      <c r="O208" s="16">
        <f>VLOOKUP(Table5[[#This Row],[RC]],LGS_Mo.!$C$5:$P$322,14,0)</f>
        <v>20</v>
      </c>
      <c r="P208" s="16">
        <f>RANK(Table5[[#This Row],[Loss  of ground support]],$O$62:$O$312)</f>
        <v>15</v>
      </c>
      <c r="Q208" s="16">
        <f>(I208+K208+M208+Table5[[#This Row],[Loss  of ground support]])/4</f>
        <v>29.185286186868687</v>
      </c>
      <c r="R208" s="16">
        <f>VLOOKUP(C208,consequence!$B$2:$K$302,10,FALSE)</f>
        <v>3</v>
      </c>
      <c r="S208" s="16">
        <f>VLOOKUP(C208,consequence!B232:$K$302,9,FALSE)</f>
        <v>7</v>
      </c>
      <c r="T208" s="63">
        <f t="shared" si="19"/>
        <v>50</v>
      </c>
      <c r="U208" s="69">
        <f>RANK(Table5[[#This Row],[Consequence]],$T$62:$T$264)</f>
        <v>1</v>
      </c>
      <c r="V208" s="16"/>
      <c r="X208" s="14">
        <f>J561</f>
        <v>0</v>
      </c>
      <c r="Y208" s="14">
        <v>19.493670886075947</v>
      </c>
    </row>
    <row r="209" spans="1:25">
      <c r="A209" s="84" t="s">
        <v>988</v>
      </c>
      <c r="B209" s="84">
        <v>6</v>
      </c>
      <c r="C209" s="81">
        <v>5062</v>
      </c>
      <c r="D209" s="82" t="s">
        <v>324</v>
      </c>
      <c r="E209" s="105">
        <f>F443</f>
        <v>0</v>
      </c>
      <c r="F209" s="16">
        <v>1490.514684388889</v>
      </c>
      <c r="G209" s="70">
        <f>Table5[[#This Row],[Probability]]*Table5[[#This Row],[Consequence]]</f>
        <v>1419.491582070707</v>
      </c>
      <c r="H209" s="16">
        <f>RANK(Table5[[#This Row],[Risk Score]],$G$62:$G$312)</f>
        <v>201</v>
      </c>
      <c r="I209" s="16">
        <f>VLOOKUP(C209,Table1[[#All],[RC]:[Total Internal Corrosion Score]],27,FALSE)</f>
        <v>33.611111111111107</v>
      </c>
      <c r="J209" s="16">
        <f>RANK(Table5[[#This Row],[INTERNAL CORROSION]],$I$62:$I$312)</f>
        <v>208</v>
      </c>
      <c r="K209" s="16">
        <f>VLOOKUP(C209,Ext.Mo!$C$2:$AK$326,35,FALSE)</f>
        <v>19.493670000000002</v>
      </c>
      <c r="L209" s="16">
        <f>RANK(Table5[[#This Row],[EXTERNAL CORROSION]],$K$62:$K$312)</f>
        <v>3</v>
      </c>
      <c r="M209" s="16">
        <f>VLOOKUP(Table5[[#This Row],[RC]],Table3[[RC]:[Total TPI Score10]],23,0)</f>
        <v>40.454545454545453</v>
      </c>
      <c r="N209" s="16">
        <f>RANK(Table5[[#This Row],[THIRD PARTY INTERFERENCE]],$M$62:$M$312)</f>
        <v>224</v>
      </c>
      <c r="O209" s="16">
        <f>VLOOKUP(Table5[[#This Row],[RC]],LGS_Mo.!$C$5:$P$322,14,0)</f>
        <v>20</v>
      </c>
      <c r="P209" s="16">
        <f>RANK(Table5[[#This Row],[Loss  of ground support]],$O$62:$O$312)</f>
        <v>15</v>
      </c>
      <c r="Q209" s="16">
        <f>(I209+K209+M209+Table5[[#This Row],[Loss  of ground support]])/4</f>
        <v>28.389831641414141</v>
      </c>
      <c r="R209" s="16">
        <f>VLOOKUP(C209,consequence!$B$2:$K$302,10,FALSE)</f>
        <v>3</v>
      </c>
      <c r="S209" s="16">
        <f>VLOOKUP(C209,consequence!B233:$K$302,9,FALSE)</f>
        <v>7</v>
      </c>
      <c r="T209" s="16">
        <f t="shared" si="19"/>
        <v>50</v>
      </c>
      <c r="U209" s="69">
        <f>RANK(Table5[[#This Row],[Consequence]],$T$62:$T$264)</f>
        <v>1</v>
      </c>
      <c r="V209" s="16"/>
      <c r="X209" s="14">
        <f>J562</f>
        <v>0</v>
      </c>
      <c r="Y209" s="14">
        <v>19.493670886075947</v>
      </c>
    </row>
    <row r="210" spans="1:25" ht="25.5">
      <c r="A210" s="84" t="s">
        <v>988</v>
      </c>
      <c r="B210" s="84">
        <v>6</v>
      </c>
      <c r="C210" s="81">
        <v>50611</v>
      </c>
      <c r="D210" s="82" t="s">
        <v>326</v>
      </c>
      <c r="E210" s="105">
        <f>F445</f>
        <v>0</v>
      </c>
      <c r="F210" s="16">
        <v>1490.514684388889</v>
      </c>
      <c r="G210" s="70">
        <f>Table5[[#This Row],[Probability]]*Table5[[#This Row],[Consequence]]</f>
        <v>1466.2087537878788</v>
      </c>
      <c r="H210" s="16">
        <f>RANK(Table5[[#This Row],[Risk Score]],$G$62:$G$312)</f>
        <v>23</v>
      </c>
      <c r="I210" s="16">
        <f>VLOOKUP(C210,Table1[[#All],[RC]:[Total Internal Corrosion Score]],27,FALSE)</f>
        <v>34.166666666666664</v>
      </c>
      <c r="J210" s="16">
        <f>RANK(Table5[[#This Row],[INTERNAL CORROSION]],$I$62:$I$312)</f>
        <v>8</v>
      </c>
      <c r="K210" s="16">
        <f>VLOOKUP(C210,Ext.Mo!$C$2:$AK$326,35,FALSE)</f>
        <v>19.493670000000002</v>
      </c>
      <c r="L210" s="16">
        <f>RANK(Table5[[#This Row],[EXTERNAL CORROSION]],$K$62:$K$312)</f>
        <v>3</v>
      </c>
      <c r="M210" s="16">
        <f>VLOOKUP(Table5[[#This Row],[RC]],Table3[[RC]:[Total TPI Score10]],23,0)</f>
        <v>43.63636363636364</v>
      </c>
      <c r="N210" s="16">
        <f>RANK(Table5[[#This Row],[THIRD PARTY INTERFERENCE]],$M$62:$M$312)</f>
        <v>2</v>
      </c>
      <c r="O210" s="16">
        <f>VLOOKUP(Table5[[#This Row],[RC]],LGS_Mo.!$C$5:$P$322,14,0)</f>
        <v>20</v>
      </c>
      <c r="P210" s="16">
        <f>RANK(Table5[[#This Row],[Loss  of ground support]],$O$62:$O$312)</f>
        <v>15</v>
      </c>
      <c r="Q210" s="16">
        <f>(I210+K210+M210+Table5[[#This Row],[Loss  of ground support]])/4</f>
        <v>29.324175075757577</v>
      </c>
      <c r="R210" s="16">
        <f>VLOOKUP(C210,consequence!$B$2:$K$302,10,FALSE)</f>
        <v>3</v>
      </c>
      <c r="S210" s="16">
        <f>VLOOKUP(C210,consequence!B235:$K$302,9,FALSE)</f>
        <v>7</v>
      </c>
      <c r="T210" s="16">
        <f t="shared" si="19"/>
        <v>50</v>
      </c>
      <c r="U210" s="69">
        <f>RANK(Table5[[#This Row],[Consequence]],$T$62:$T$264)</f>
        <v>1</v>
      </c>
      <c r="V210" s="16"/>
      <c r="X210" s="14">
        <f>J564</f>
        <v>0</v>
      </c>
      <c r="Y210" s="14">
        <v>19.493670886075947</v>
      </c>
    </row>
    <row r="211" spans="1:25">
      <c r="A211" s="84" t="s">
        <v>989</v>
      </c>
      <c r="B211" s="84">
        <v>2</v>
      </c>
      <c r="C211" s="81">
        <v>674</v>
      </c>
      <c r="D211" s="82" t="s">
        <v>249</v>
      </c>
      <c r="E211" s="57" t="e">
        <f>E111</f>
        <v>#REF!</v>
      </c>
      <c r="F211" s="16">
        <v>1490.514684388889</v>
      </c>
      <c r="G211" s="16">
        <f>Table5[[#This Row],[Probability]]*Table5[[#This Row],[Consequence]]</f>
        <v>1455.7920871212123</v>
      </c>
      <c r="H211" s="16">
        <f>RANK(Table5[[#This Row],[Risk Score]],$G$62:$G$312)</f>
        <v>148</v>
      </c>
      <c r="I211" s="16">
        <f>VLOOKUP(C211,Table1[[#All],[RC]:[Total Internal Corrosion Score]],27,FALSE)</f>
        <v>33.333333333333329</v>
      </c>
      <c r="J211" s="16">
        <f>RANK(Table5[[#This Row],[INTERNAL CORROSION]],$I$62:$I$312)</f>
        <v>228</v>
      </c>
      <c r="K211" s="16">
        <f>VLOOKUP(C211,Ext.Mo!$C$2:$AK$326,35,FALSE)</f>
        <v>19.493670000000002</v>
      </c>
      <c r="L211" s="16">
        <f>RANK(Table5[[#This Row],[EXTERNAL CORROSION]],$K$62:$K$312)</f>
        <v>3</v>
      </c>
      <c r="M211" s="16">
        <f>VLOOKUP(Table5[[#This Row],[RC]],Table3[[RC]:[Total TPI Score10]],23,0)</f>
        <v>43.63636363636364</v>
      </c>
      <c r="N211" s="16">
        <f>RANK(Table5[[#This Row],[THIRD PARTY INTERFERENCE]],$M$62:$M$312)</f>
        <v>2</v>
      </c>
      <c r="O211" s="16">
        <f>VLOOKUP(Table5[[#This Row],[RC]],LGS_Mo.!$C$5:$P$322,14,0)</f>
        <v>20</v>
      </c>
      <c r="P211" s="16">
        <f>RANK(Table5[[#This Row],[Loss  of ground support]],$O$62:$O$312)</f>
        <v>15</v>
      </c>
      <c r="Q211" s="16">
        <f>(I211+K211+M211+Table5[[#This Row],[Loss  of ground support]])/4</f>
        <v>29.115841742424244</v>
      </c>
      <c r="R211" s="16">
        <v>7</v>
      </c>
      <c r="S211" s="16">
        <v>3</v>
      </c>
      <c r="T211" s="16">
        <f t="shared" si="19"/>
        <v>50</v>
      </c>
      <c r="U211" s="16">
        <f>RANK(Table5[[#This Row],[Consequence]],$T$62:$T$264)</f>
        <v>1</v>
      </c>
      <c r="V211" s="16"/>
      <c r="X211" s="14">
        <f>J374</f>
        <v>0</v>
      </c>
      <c r="Y211" s="14">
        <v>19.493670886075947</v>
      </c>
    </row>
    <row r="212" spans="1:25">
      <c r="A212" s="84" t="s">
        <v>989</v>
      </c>
      <c r="B212" s="84">
        <v>2</v>
      </c>
      <c r="C212" s="81">
        <v>6731</v>
      </c>
      <c r="D212" s="82" t="s">
        <v>251</v>
      </c>
      <c r="E212" s="57" t="e">
        <f>E44</f>
        <v>#REF!</v>
      </c>
      <c r="F212" s="16">
        <v>1490.514684388889</v>
      </c>
      <c r="G212" s="16">
        <f>Table5[[#This Row],[Probability]]*Table5[[#This Row],[Consequence]]</f>
        <v>1426.4360265151515</v>
      </c>
      <c r="H212" s="16">
        <f>RANK(Table5[[#This Row],[Risk Score]],$G$62:$G$312)</f>
        <v>191</v>
      </c>
      <c r="I212" s="16">
        <f>VLOOKUP(C212,Table1[[#All],[RC]:[Total Internal Corrosion Score]],27,FALSE)</f>
        <v>34.166666666666664</v>
      </c>
      <c r="J212" s="16">
        <f>RANK(Table5[[#This Row],[INTERNAL CORROSION]],$I$62:$I$312)</f>
        <v>8</v>
      </c>
      <c r="K212" s="16">
        <f>VLOOKUP(C212,Ext.Mo!$C$2:$AK$326,35,FALSE)</f>
        <v>19.493670000000002</v>
      </c>
      <c r="L212" s="16">
        <f>RANK(Table5[[#This Row],[EXTERNAL CORROSION]],$K$62:$K$312)</f>
        <v>3</v>
      </c>
      <c r="M212" s="16">
        <f>VLOOKUP(Table5[[#This Row],[RC]],Table3[[RC]:[Total TPI Score10]],23,0)</f>
        <v>40.454545454545453</v>
      </c>
      <c r="N212" s="16">
        <f>RANK(Table5[[#This Row],[THIRD PARTY INTERFERENCE]],$M$62:$M$312)</f>
        <v>224</v>
      </c>
      <c r="O212" s="16">
        <f>VLOOKUP(Table5[[#This Row],[RC]],LGS_Mo.!$C$5:$P$322,14,0)</f>
        <v>20</v>
      </c>
      <c r="P212" s="16">
        <f>RANK(Table5[[#This Row],[Loss  of ground support]],$O$62:$O$312)</f>
        <v>15</v>
      </c>
      <c r="Q212" s="16">
        <f>(I212+K212+M212+Table5[[#This Row],[Loss  of ground support]])/4</f>
        <v>28.52872053030303</v>
      </c>
      <c r="R212" s="16">
        <v>7</v>
      </c>
      <c r="S212" s="16">
        <v>3</v>
      </c>
      <c r="T212" s="16">
        <f t="shared" si="19"/>
        <v>50</v>
      </c>
      <c r="U212" s="16">
        <f>RANK(Table5[[#This Row],[Consequence]],$T$62:$T$264)</f>
        <v>1</v>
      </c>
      <c r="V212" s="16"/>
      <c r="X212" s="14">
        <f>J378</f>
        <v>0</v>
      </c>
      <c r="Y212" s="14">
        <v>19.493670886075947</v>
      </c>
    </row>
    <row r="213" spans="1:25">
      <c r="A213" s="84" t="s">
        <v>989</v>
      </c>
      <c r="B213" s="84">
        <v>2</v>
      </c>
      <c r="C213" s="81">
        <v>6732</v>
      </c>
      <c r="D213" s="82" t="s">
        <v>252</v>
      </c>
      <c r="E213" s="57" t="e">
        <f>E212</f>
        <v>#REF!</v>
      </c>
      <c r="F213" s="16">
        <v>1490.514684388889</v>
      </c>
      <c r="G213" s="16">
        <f>Table5[[#This Row],[Probability]]*Table5[[#This Row],[Consequence]]</f>
        <v>1455.7920871212123</v>
      </c>
      <c r="H213" s="16">
        <f>RANK(Table5[[#This Row],[Risk Score]],$G$62:$G$312)</f>
        <v>148</v>
      </c>
      <c r="I213" s="16">
        <f>VLOOKUP(C213,Table1[[#All],[RC]:[Total Internal Corrosion Score]],27,FALSE)</f>
        <v>33.333333333333329</v>
      </c>
      <c r="J213" s="16">
        <f>RANK(Table5[[#This Row],[INTERNAL CORROSION]],$I$62:$I$312)</f>
        <v>228</v>
      </c>
      <c r="K213" s="16">
        <f>VLOOKUP(C213,Ext.Mo!$C$2:$AK$326,35,FALSE)</f>
        <v>19.493670000000002</v>
      </c>
      <c r="L213" s="16">
        <f>RANK(Table5[[#This Row],[EXTERNAL CORROSION]],$K$62:$K$312)</f>
        <v>3</v>
      </c>
      <c r="M213" s="16">
        <f>VLOOKUP(Table5[[#This Row],[RC]],Table3[[RC]:[Total TPI Score10]],23,0)</f>
        <v>43.63636363636364</v>
      </c>
      <c r="N213" s="16">
        <f>RANK(Table5[[#This Row],[THIRD PARTY INTERFERENCE]],$M$62:$M$312)</f>
        <v>2</v>
      </c>
      <c r="O213" s="16">
        <f>VLOOKUP(Table5[[#This Row],[RC]],LGS_Mo.!$C$5:$P$322,14,0)</f>
        <v>20</v>
      </c>
      <c r="P213" s="16">
        <f>RANK(Table5[[#This Row],[Loss  of ground support]],$O$62:$O$312)</f>
        <v>15</v>
      </c>
      <c r="Q213" s="16">
        <f>(I213+K213+M213+Table5[[#This Row],[Loss  of ground support]])/4</f>
        <v>29.115841742424244</v>
      </c>
      <c r="R213" s="16">
        <v>7</v>
      </c>
      <c r="S213" s="16">
        <v>3</v>
      </c>
      <c r="T213" s="16">
        <f t="shared" si="19"/>
        <v>50</v>
      </c>
      <c r="U213" s="16">
        <f>RANK(Table5[[#This Row],[Consequence]],$T$62:$T$264)</f>
        <v>1</v>
      </c>
      <c r="V213" s="16"/>
      <c r="X213" s="14">
        <f>J379</f>
        <v>0</v>
      </c>
      <c r="Y213" s="14">
        <v>19.493670886075947</v>
      </c>
    </row>
    <row r="214" spans="1:25">
      <c r="A214" s="84" t="s">
        <v>989</v>
      </c>
      <c r="B214" s="84">
        <v>2</v>
      </c>
      <c r="C214" s="81">
        <v>66203</v>
      </c>
      <c r="D214" s="82" t="s">
        <v>258</v>
      </c>
      <c r="E214" s="57" t="e">
        <f>E11</f>
        <v>#REF!</v>
      </c>
      <c r="F214" s="16">
        <v>1490.514684388889</v>
      </c>
      <c r="G214" s="16">
        <f>Table5[[#This Row],[Probability]]*Table5[[#This Row],[Consequence]]</f>
        <v>1419.491582070707</v>
      </c>
      <c r="H214" s="16">
        <f>RANK(Table5[[#This Row],[Risk Score]],$G$62:$G$312)</f>
        <v>201</v>
      </c>
      <c r="I214" s="16">
        <f>VLOOKUP(C214,Table1[[#All],[RC]:[Total Internal Corrosion Score]],27,FALSE)</f>
        <v>33.611111111111107</v>
      </c>
      <c r="J214" s="16">
        <f>RANK(Table5[[#This Row],[INTERNAL CORROSION]],$I$62:$I$312)</f>
        <v>208</v>
      </c>
      <c r="K214" s="16">
        <f>VLOOKUP(C214,Ext.Mo!$C$2:$AK$326,35,FALSE)</f>
        <v>19.493670000000002</v>
      </c>
      <c r="L214" s="16">
        <f>RANK(Table5[[#This Row],[EXTERNAL CORROSION]],$K$62:$K$312)</f>
        <v>3</v>
      </c>
      <c r="M214" s="16">
        <f>VLOOKUP(Table5[[#This Row],[RC]],Table3[[RC]:[Total TPI Score10]],23,0)</f>
        <v>40.454545454545453</v>
      </c>
      <c r="N214" s="16">
        <f>RANK(Table5[[#This Row],[THIRD PARTY INTERFERENCE]],$M$62:$M$312)</f>
        <v>224</v>
      </c>
      <c r="O214" s="16">
        <f>VLOOKUP(Table5[[#This Row],[RC]],LGS_Mo.!$C$5:$P$322,14,0)</f>
        <v>20</v>
      </c>
      <c r="P214" s="16">
        <f>RANK(Table5[[#This Row],[Loss  of ground support]],$O$62:$O$312)</f>
        <v>15</v>
      </c>
      <c r="Q214" s="16">
        <f>(I214+K214+M214+Table5[[#This Row],[Loss  of ground support]])/4</f>
        <v>28.389831641414141</v>
      </c>
      <c r="R214" s="16">
        <v>7</v>
      </c>
      <c r="S214" s="16">
        <v>3</v>
      </c>
      <c r="T214" s="16">
        <f t="shared" si="19"/>
        <v>50</v>
      </c>
      <c r="U214" s="16">
        <f>RANK(Table5[[#This Row],[Consequence]],$T$62:$T$264)</f>
        <v>1</v>
      </c>
      <c r="V214" s="16"/>
      <c r="X214" s="14">
        <f>J390</f>
        <v>0</v>
      </c>
      <c r="Y214" s="14">
        <v>19.493670886075947</v>
      </c>
    </row>
    <row r="215" spans="1:25">
      <c r="A215" s="84" t="s">
        <v>989</v>
      </c>
      <c r="B215" s="80">
        <v>2</v>
      </c>
      <c r="C215" s="81">
        <v>662100001</v>
      </c>
      <c r="D215" s="82" t="s">
        <v>709</v>
      </c>
      <c r="E215" s="57" t="e">
        <f>E214</f>
        <v>#REF!</v>
      </c>
      <c r="F215" s="16">
        <v>1490.514684388889</v>
      </c>
      <c r="G215" s="16">
        <f>Table5[[#This Row],[Probability]]*Table5[[#This Row],[Consequence]]</f>
        <v>1466.2087537878788</v>
      </c>
      <c r="H215" s="16">
        <f>RANK(Table5[[#This Row],[Risk Score]],$G$62:$G$312)</f>
        <v>23</v>
      </c>
      <c r="I215" s="16">
        <f>VLOOKUP(C215,Table1[[#All],[RC]:[Total Internal Corrosion Score]],27,FALSE)</f>
        <v>34.166666666666664</v>
      </c>
      <c r="J215" s="16">
        <f>RANK(Table5[[#This Row],[INTERNAL CORROSION]],$I$62:$I$312)</f>
        <v>8</v>
      </c>
      <c r="K215" s="16">
        <f>VLOOKUP(C215,Ext.Mo!$C$2:$AK$326,35,FALSE)</f>
        <v>19.493670000000002</v>
      </c>
      <c r="L215" s="16">
        <f>RANK(Table5[[#This Row],[EXTERNAL CORROSION]],$K$62:$K$312)</f>
        <v>3</v>
      </c>
      <c r="M215" s="16">
        <f>VLOOKUP(Table5[[#This Row],[RC]],Table3[[RC]:[Total TPI Score10]],23,0)</f>
        <v>43.63636363636364</v>
      </c>
      <c r="N215" s="16">
        <f>RANK(Table5[[#This Row],[THIRD PARTY INTERFERENCE]],$M$62:$M$312)</f>
        <v>2</v>
      </c>
      <c r="O215" s="16">
        <f>VLOOKUP(Table5[[#This Row],[RC]],LGS_Mo.!$C$5:$P$322,14,0)</f>
        <v>20</v>
      </c>
      <c r="P215" s="16">
        <f>RANK(Table5[[#This Row],[Loss  of ground support]],$O$62:$O$312)</f>
        <v>15</v>
      </c>
      <c r="Q215" s="16">
        <f>(I215+K215+M215+Table5[[#This Row],[Loss  of ground support]])/4</f>
        <v>29.324175075757577</v>
      </c>
      <c r="R215" s="16">
        <v>7</v>
      </c>
      <c r="S215" s="16">
        <v>3</v>
      </c>
      <c r="T215" s="16">
        <f t="shared" si="19"/>
        <v>50</v>
      </c>
      <c r="U215" s="16">
        <f>RANK(Table5[[#This Row],[Consequence]],$T$62:$T$264)</f>
        <v>1</v>
      </c>
      <c r="V215" s="16"/>
      <c r="X215" s="14">
        <f>J391</f>
        <v>0</v>
      </c>
      <c r="Y215" s="14">
        <v>19.493670886075947</v>
      </c>
    </row>
    <row r="216" spans="1:25">
      <c r="A216" s="84" t="s">
        <v>989</v>
      </c>
      <c r="B216" s="80">
        <v>2</v>
      </c>
      <c r="C216" s="81">
        <v>66401001</v>
      </c>
      <c r="D216" s="82"/>
      <c r="E216" s="57" t="e">
        <f>E215</f>
        <v>#REF!</v>
      </c>
      <c r="F216" s="16">
        <v>1490.514684388889</v>
      </c>
      <c r="G216" s="16">
        <f>Table5[[#This Row],[Probability]]*Table5[[#This Row],[Consequence]]</f>
        <v>1426.4360265151515</v>
      </c>
      <c r="H216" s="16">
        <f>RANK(Table5[[#This Row],[Risk Score]],$G$62:$G$312)</f>
        <v>191</v>
      </c>
      <c r="I216" s="16">
        <f>VLOOKUP(C216,Table1[[#All],[RC]:[Total Internal Corrosion Score]],27,FALSE)</f>
        <v>34.166666666666664</v>
      </c>
      <c r="J216" s="16">
        <f>RANK(Table5[[#This Row],[INTERNAL CORROSION]],$I$62:$I$312)</f>
        <v>8</v>
      </c>
      <c r="K216" s="16">
        <f>VLOOKUP(C216,Ext.Mo!$C$2:$AK$326,35,FALSE)</f>
        <v>19.493670000000002</v>
      </c>
      <c r="L216" s="16">
        <f>RANK(Table5[[#This Row],[EXTERNAL CORROSION]],$K$62:$K$312)</f>
        <v>3</v>
      </c>
      <c r="M216" s="16">
        <f>VLOOKUP(Table5[[#This Row],[RC]],Table3[[RC]:[Total TPI Score10]],23,0)</f>
        <v>40.454545454545453</v>
      </c>
      <c r="N216" s="16">
        <f>RANK(Table5[[#This Row],[THIRD PARTY INTERFERENCE]],$M$62:$M$312)</f>
        <v>224</v>
      </c>
      <c r="O216" s="16">
        <f>VLOOKUP(Table5[[#This Row],[RC]],LGS_Mo.!$C$5:$P$322,14,0)</f>
        <v>20</v>
      </c>
      <c r="P216" s="16">
        <f>RANK(Table5[[#This Row],[Loss  of ground support]],$O$62:$O$312)</f>
        <v>15</v>
      </c>
      <c r="Q216" s="16">
        <f>(I216+K216+M216+Table5[[#This Row],[Loss  of ground support]])/4</f>
        <v>28.52872053030303</v>
      </c>
      <c r="R216" s="16">
        <v>7</v>
      </c>
      <c r="S216" s="16">
        <v>3</v>
      </c>
      <c r="T216" s="16">
        <f t="shared" si="19"/>
        <v>50</v>
      </c>
      <c r="U216" s="16">
        <f>RANK(Table5[[#This Row],[Consequence]],$T$62:$T$264)</f>
        <v>1</v>
      </c>
      <c r="V216" s="16"/>
      <c r="X216" s="14">
        <f>J392</f>
        <v>0</v>
      </c>
      <c r="Y216" s="14">
        <v>19.493670886075947</v>
      </c>
    </row>
    <row r="217" spans="1:25">
      <c r="A217" s="84" t="s">
        <v>989</v>
      </c>
      <c r="B217" s="80">
        <v>2</v>
      </c>
      <c r="C217" s="81">
        <v>66401002</v>
      </c>
      <c r="D217" s="82" t="s">
        <v>706</v>
      </c>
      <c r="E217" s="57" t="e">
        <f>E216</f>
        <v>#REF!</v>
      </c>
      <c r="F217" s="16">
        <v>1490.514684388889</v>
      </c>
      <c r="G217" s="16">
        <f>Table5[[#This Row],[Probability]]*Table5[[#This Row],[Consequence]]</f>
        <v>1426.4360265151515</v>
      </c>
      <c r="H217" s="16">
        <f>RANK(Table5[[#This Row],[Risk Score]],$G$62:$G$312)</f>
        <v>191</v>
      </c>
      <c r="I217" s="16">
        <f>VLOOKUP(C217,Table1[[#All],[RC]:[Total Internal Corrosion Score]],27,FALSE)</f>
        <v>34.166666666666664</v>
      </c>
      <c r="J217" s="16">
        <f>RANK(Table5[[#This Row],[INTERNAL CORROSION]],$I$62:$I$312)</f>
        <v>8</v>
      </c>
      <c r="K217" s="16">
        <f>VLOOKUP(C217,Ext.Mo!$C$2:$AK$326,35,FALSE)</f>
        <v>19.493670000000002</v>
      </c>
      <c r="L217" s="16">
        <f>RANK(Table5[[#This Row],[EXTERNAL CORROSION]],$K$62:$K$312)</f>
        <v>3</v>
      </c>
      <c r="M217" s="16">
        <f>VLOOKUP(Table5[[#This Row],[RC]],Table3[[RC]:[Total TPI Score10]],23,0)</f>
        <v>40.454545454545453</v>
      </c>
      <c r="N217" s="16">
        <f>RANK(Table5[[#This Row],[THIRD PARTY INTERFERENCE]],$M$62:$M$312)</f>
        <v>224</v>
      </c>
      <c r="O217" s="16">
        <f>VLOOKUP(Table5[[#This Row],[RC]],LGS_Mo.!$C$5:$P$322,14,0)</f>
        <v>20</v>
      </c>
      <c r="P217" s="16">
        <f>RANK(Table5[[#This Row],[Loss  of ground support]],$O$62:$O$312)</f>
        <v>15</v>
      </c>
      <c r="Q217" s="16">
        <f>(I217+K217+M217+Table5[[#This Row],[Loss  of ground support]])/4</f>
        <v>28.52872053030303</v>
      </c>
      <c r="R217" s="16">
        <v>7</v>
      </c>
      <c r="S217" s="16">
        <v>3</v>
      </c>
      <c r="T217" s="16">
        <f t="shared" si="19"/>
        <v>50</v>
      </c>
      <c r="U217" s="16">
        <f>RANK(Table5[[#This Row],[Consequence]],$T$62:$T$264)</f>
        <v>1</v>
      </c>
      <c r="V217" s="16"/>
      <c r="X217" s="14">
        <f>J393</f>
        <v>0</v>
      </c>
      <c r="Y217" s="14">
        <v>19.493670886075947</v>
      </c>
    </row>
    <row r="218" spans="1:25">
      <c r="A218" s="84" t="s">
        <v>989</v>
      </c>
      <c r="B218" s="87">
        <v>2</v>
      </c>
      <c r="C218" s="88">
        <v>673010101</v>
      </c>
      <c r="D218" s="89" t="s">
        <v>718</v>
      </c>
      <c r="E218" s="57" t="e">
        <f>E93</f>
        <v>#REF!</v>
      </c>
      <c r="F218" s="16">
        <v>1490.514684388889</v>
      </c>
      <c r="G218" s="16">
        <f>Table5[[#This Row],[Probability]]*Table5[[#This Row],[Consequence]]</f>
        <v>1466.2087537878788</v>
      </c>
      <c r="H218" s="16">
        <f>RANK(Table5[[#This Row],[Risk Score]],$G$62:$G$312)</f>
        <v>23</v>
      </c>
      <c r="I218" s="16">
        <f>VLOOKUP(C218,Table1[[#All],[RC]:[Total Internal Corrosion Score]],27,FALSE)</f>
        <v>34.166666666666664</v>
      </c>
      <c r="J218" s="16">
        <f>RANK(Table5[[#This Row],[INTERNAL CORROSION]],$I$62:$I$312)</f>
        <v>8</v>
      </c>
      <c r="K218" s="16">
        <f>VLOOKUP(C218,Ext.Mo!$C$2:$AK$326,35,FALSE)</f>
        <v>19.493670000000002</v>
      </c>
      <c r="L218" s="16">
        <f>RANK(Table5[[#This Row],[EXTERNAL CORROSION]],$K$62:$K$312)</f>
        <v>3</v>
      </c>
      <c r="M218" s="16">
        <f>VLOOKUP(Table5[[#This Row],[RC]],Table3[[RC]:[Total TPI Score10]],23,0)</f>
        <v>43.63636363636364</v>
      </c>
      <c r="N218" s="16">
        <f>RANK(Table5[[#This Row],[THIRD PARTY INTERFERENCE]],$M$62:$M$312)</f>
        <v>2</v>
      </c>
      <c r="O218" s="16">
        <f>VLOOKUP(Table5[[#This Row],[RC]],LGS_Mo.!$C$5:$P$322,14,0)</f>
        <v>20</v>
      </c>
      <c r="P218" s="16">
        <f>RANK(Table5[[#This Row],[Loss  of ground support]],$O$62:$O$312)</f>
        <v>15</v>
      </c>
      <c r="Q218" s="16">
        <f>(I218+K218+M218+Table5[[#This Row],[Loss  of ground support]])/4</f>
        <v>29.324175075757577</v>
      </c>
      <c r="R218" s="16">
        <f>VLOOKUP(C218,consequence!$B$2:$K$302,10,FALSE)</f>
        <v>3</v>
      </c>
      <c r="S218" s="16">
        <f>VLOOKUP(C218,consequence!B105:$K$302,9,FALSE)</f>
        <v>7</v>
      </c>
      <c r="T218" s="16">
        <f t="shared" si="19"/>
        <v>50</v>
      </c>
      <c r="U218" s="16">
        <f>RANK(Table5[[#This Row],[Consequence]],$T$62:$T$264)</f>
        <v>1</v>
      </c>
      <c r="V218" s="16"/>
      <c r="X218" s="14">
        <f>J416</f>
        <v>0</v>
      </c>
      <c r="Y218" s="14">
        <v>19.493670886075947</v>
      </c>
    </row>
    <row r="219" spans="1:25">
      <c r="A219" s="84" t="s">
        <v>989</v>
      </c>
      <c r="B219" s="84">
        <v>2</v>
      </c>
      <c r="C219" s="81">
        <v>67311</v>
      </c>
      <c r="D219" s="82" t="s">
        <v>261</v>
      </c>
      <c r="E219" s="57" t="e">
        <f>#REF!</f>
        <v>#REF!</v>
      </c>
      <c r="F219" s="16">
        <v>1490.514684388889</v>
      </c>
      <c r="G219" s="16">
        <f>Table5[[#This Row],[Probability]]*Table5[[#This Row],[Consequence]]</f>
        <v>1455.7920871212123</v>
      </c>
      <c r="H219" s="16">
        <f>RANK(Table5[[#This Row],[Risk Score]],$G$62:$G$312)</f>
        <v>148</v>
      </c>
      <c r="I219" s="16">
        <f>VLOOKUP(C219,Table1[[#All],[RC]:[Total Internal Corrosion Score]],27,FALSE)</f>
        <v>33.333333333333329</v>
      </c>
      <c r="J219" s="16">
        <f>RANK(Table5[[#This Row],[INTERNAL CORROSION]],$I$62:$I$312)</f>
        <v>228</v>
      </c>
      <c r="K219" s="16">
        <f>VLOOKUP(C219,Ext.Mo!$C$2:$AK$326,35,FALSE)</f>
        <v>19.493670000000002</v>
      </c>
      <c r="L219" s="16">
        <f>RANK(Table5[[#This Row],[EXTERNAL CORROSION]],$K$62:$K$312)</f>
        <v>3</v>
      </c>
      <c r="M219" s="16">
        <f>VLOOKUP(Table5[[#This Row],[RC]],Table3[[RC]:[Total TPI Score10]],23,0)</f>
        <v>43.63636363636364</v>
      </c>
      <c r="N219" s="16">
        <f>RANK(Table5[[#This Row],[THIRD PARTY INTERFERENCE]],$M$62:$M$312)</f>
        <v>2</v>
      </c>
      <c r="O219" s="16">
        <f>VLOOKUP(Table5[[#This Row],[RC]],LGS_Mo.!$C$5:$P$322,14,0)</f>
        <v>20</v>
      </c>
      <c r="P219" s="16">
        <f>RANK(Table5[[#This Row],[Loss  of ground support]],$O$62:$O$312)</f>
        <v>15</v>
      </c>
      <c r="Q219" s="16">
        <f>(I219+K219+M219+Table5[[#This Row],[Loss  of ground support]])/4</f>
        <v>29.115841742424244</v>
      </c>
      <c r="R219" s="16">
        <f>VLOOKUP(C219,consequence!$B$2:$K$302,10,FALSE)</f>
        <v>3</v>
      </c>
      <c r="S219" s="16">
        <f>VLOOKUP(C219,consequence!B107:$K$302,9,FALSE)</f>
        <v>7</v>
      </c>
      <c r="T219" s="16">
        <f t="shared" si="19"/>
        <v>50</v>
      </c>
      <c r="U219" s="16">
        <f>RANK(Table5[[#This Row],[Consequence]],$T$62:$T$264)</f>
        <v>1</v>
      </c>
      <c r="V219" s="16"/>
      <c r="X219" s="14">
        <f>J418</f>
        <v>0</v>
      </c>
      <c r="Y219" s="14">
        <v>19.493670886075947</v>
      </c>
    </row>
    <row r="220" spans="1:25">
      <c r="A220" s="84" t="s">
        <v>989</v>
      </c>
      <c r="B220" s="87">
        <v>2</v>
      </c>
      <c r="C220" s="81" t="s">
        <v>887</v>
      </c>
      <c r="D220" s="89" t="s">
        <v>716</v>
      </c>
      <c r="E220" s="57" t="e">
        <f>E42</f>
        <v>#REF!</v>
      </c>
      <c r="F220" s="16">
        <v>1490.514684388889</v>
      </c>
      <c r="G220" s="16">
        <f>Table5[[#This Row],[Probability]]*Table5[[#This Row],[Consequence]]</f>
        <v>1466.2087537878788</v>
      </c>
      <c r="H220" s="16">
        <f>RANK(Table5[[#This Row],[Risk Score]],$G$62:$G$312)</f>
        <v>23</v>
      </c>
      <c r="I220" s="16">
        <f>VLOOKUP(C220,Table1[[#All],[RC]:[Total Internal Corrosion Score]],27,FALSE)</f>
        <v>34.166666666666664</v>
      </c>
      <c r="J220" s="16">
        <f>RANK(Table5[[#This Row],[INTERNAL CORROSION]],$I$62:$I$312)</f>
        <v>8</v>
      </c>
      <c r="K220" s="16">
        <f>VLOOKUP(C220,Ext.Mo!$C$2:$AK$326,35,FALSE)</f>
        <v>19.493670000000002</v>
      </c>
      <c r="L220" s="16">
        <f>RANK(Table5[[#This Row],[EXTERNAL CORROSION]],$K$62:$K$312)</f>
        <v>3</v>
      </c>
      <c r="M220" s="16">
        <f>VLOOKUP(Table5[[#This Row],[RC]],Table3[[RC]:[Total TPI Score10]],23,0)</f>
        <v>43.63636363636364</v>
      </c>
      <c r="N220" s="16">
        <f>RANK(Table5[[#This Row],[THIRD PARTY INTERFERENCE]],$M$62:$M$312)</f>
        <v>2</v>
      </c>
      <c r="O220" s="16">
        <f>VLOOKUP(Table5[[#This Row],[RC]],LGS_Mo.!$C$5:$P$322,14,0)</f>
        <v>20</v>
      </c>
      <c r="P220" s="16">
        <f>RANK(Table5[[#This Row],[Loss  of ground support]],$O$62:$O$312)</f>
        <v>15</v>
      </c>
      <c r="Q220" s="16">
        <f>(I220+K220+M220+Table5[[#This Row],[Loss  of ground support]])/4</f>
        <v>29.324175075757577</v>
      </c>
      <c r="R220" s="16">
        <f>VLOOKUP(C220,consequence!$B$2:$K$302,10,FALSE)</f>
        <v>3</v>
      </c>
      <c r="S220" s="16">
        <f>VLOOKUP(C220,consequence!B143:$K$302,9,FALSE)</f>
        <v>7</v>
      </c>
      <c r="T220" s="16">
        <f t="shared" si="19"/>
        <v>50</v>
      </c>
      <c r="U220" s="16">
        <f>RANK(Table5[[#This Row],[Consequence]],$T$62:$T$264)</f>
        <v>1</v>
      </c>
      <c r="V220" s="16"/>
      <c r="X220" s="14">
        <f>J454</f>
        <v>0</v>
      </c>
      <c r="Y220" s="14">
        <v>19.493670886075947</v>
      </c>
    </row>
    <row r="221" spans="1:25">
      <c r="A221" s="84" t="s">
        <v>989</v>
      </c>
      <c r="B221" s="84">
        <v>2</v>
      </c>
      <c r="C221" s="81">
        <v>6731101</v>
      </c>
      <c r="D221" s="82" t="s">
        <v>268</v>
      </c>
      <c r="E221" s="57" t="e">
        <f>E220</f>
        <v>#REF!</v>
      </c>
      <c r="F221" s="16">
        <v>1490.514684388889</v>
      </c>
      <c r="G221" s="16">
        <f>Table5[[#This Row],[Probability]]*Table5[[#This Row],[Consequence]]</f>
        <v>1455.7920871212123</v>
      </c>
      <c r="H221" s="16">
        <f>RANK(Table5[[#This Row],[Risk Score]],$G$62:$G$312)</f>
        <v>148</v>
      </c>
      <c r="I221" s="16">
        <f>VLOOKUP(C221,Table1[[#All],[RC]:[Total Internal Corrosion Score]],27,FALSE)</f>
        <v>33.333333333333329</v>
      </c>
      <c r="J221" s="16">
        <f>RANK(Table5[[#This Row],[INTERNAL CORROSION]],$I$62:$I$312)</f>
        <v>228</v>
      </c>
      <c r="K221" s="16">
        <f>VLOOKUP(C221,Ext.Mo!$C$2:$AK$326,35,FALSE)</f>
        <v>19.493670000000002</v>
      </c>
      <c r="L221" s="16">
        <f>RANK(Table5[[#This Row],[EXTERNAL CORROSION]],$K$62:$K$312)</f>
        <v>3</v>
      </c>
      <c r="M221" s="16">
        <f>VLOOKUP(Table5[[#This Row],[RC]],Table3[[RC]:[Total TPI Score10]],23,0)</f>
        <v>43.63636363636364</v>
      </c>
      <c r="N221" s="16">
        <f>RANK(Table5[[#This Row],[THIRD PARTY INTERFERENCE]],$M$62:$M$312)</f>
        <v>2</v>
      </c>
      <c r="O221" s="16">
        <f>VLOOKUP(Table5[[#This Row],[RC]],LGS_Mo.!$C$5:$P$322,14,0)</f>
        <v>20</v>
      </c>
      <c r="P221" s="16">
        <f>RANK(Table5[[#This Row],[Loss  of ground support]],$O$62:$O$312)</f>
        <v>15</v>
      </c>
      <c r="Q221" s="16">
        <f>(I221+K221+M221+Table5[[#This Row],[Loss  of ground support]])/4</f>
        <v>29.115841742424244</v>
      </c>
      <c r="R221" s="16">
        <f>VLOOKUP(C221,consequence!$B$2:$K$302,10,FALSE)</f>
        <v>3</v>
      </c>
      <c r="S221" s="16">
        <f>VLOOKUP(C221,consequence!B144:$K$302,9,FALSE)</f>
        <v>7</v>
      </c>
      <c r="T221" s="16">
        <f t="shared" si="19"/>
        <v>50</v>
      </c>
      <c r="U221" s="16">
        <f>RANK(Table5[[#This Row],[Consequence]],$T$62:$T$264)</f>
        <v>1</v>
      </c>
      <c r="V221" s="16"/>
      <c r="X221" s="14">
        <f>J455</f>
        <v>0</v>
      </c>
      <c r="Y221" s="14">
        <v>19.493670886075947</v>
      </c>
    </row>
    <row r="222" spans="1:25">
      <c r="A222" s="84" t="s">
        <v>989</v>
      </c>
      <c r="B222" s="84">
        <v>2</v>
      </c>
      <c r="C222" s="81">
        <v>67210001</v>
      </c>
      <c r="D222" s="82" t="s">
        <v>270</v>
      </c>
      <c r="E222" s="57" t="e">
        <f>E100</f>
        <v>#REF!</v>
      </c>
      <c r="F222" s="16">
        <v>1490.514684388889</v>
      </c>
      <c r="G222" s="16">
        <f>Table5[[#This Row],[Probability]]*Table5[[#This Row],[Consequence]]</f>
        <v>1455.7920871212123</v>
      </c>
      <c r="H222" s="16">
        <f>RANK(Table5[[#This Row],[Risk Score]],$G$62:$G$312)</f>
        <v>148</v>
      </c>
      <c r="I222" s="16">
        <f>VLOOKUP(C222,Table1[[#All],[RC]:[Total Internal Corrosion Score]],27,FALSE)</f>
        <v>33.333333333333329</v>
      </c>
      <c r="J222" s="16">
        <f>RANK(Table5[[#This Row],[INTERNAL CORROSION]],$I$62:$I$312)</f>
        <v>228</v>
      </c>
      <c r="K222" s="16">
        <f>VLOOKUP(C222,Ext.Mo!$C$2:$AK$326,35,FALSE)</f>
        <v>19.493670000000002</v>
      </c>
      <c r="L222" s="16">
        <f>RANK(Table5[[#This Row],[EXTERNAL CORROSION]],$K$62:$K$312)</f>
        <v>3</v>
      </c>
      <c r="M222" s="16">
        <f>VLOOKUP(Table5[[#This Row],[RC]],Table3[[RC]:[Total TPI Score10]],23,0)</f>
        <v>43.63636363636364</v>
      </c>
      <c r="N222" s="16">
        <f>RANK(Table5[[#This Row],[THIRD PARTY INTERFERENCE]],$M$62:$M$312)</f>
        <v>2</v>
      </c>
      <c r="O222" s="16">
        <f>VLOOKUP(Table5[[#This Row],[RC]],LGS_Mo.!$C$5:$P$322,14,0)</f>
        <v>20</v>
      </c>
      <c r="P222" s="16">
        <f>RANK(Table5[[#This Row],[Loss  of ground support]],$O$62:$O$312)</f>
        <v>15</v>
      </c>
      <c r="Q222" s="16">
        <f>(I222+K222+M222+Table5[[#This Row],[Loss  of ground support]])/4</f>
        <v>29.115841742424244</v>
      </c>
      <c r="R222" s="16">
        <f>VLOOKUP(C222,consequence!$B$2:$K$302,10,FALSE)</f>
        <v>3</v>
      </c>
      <c r="S222" s="16">
        <f>VLOOKUP(C222,consequence!B146:$K$302,9,FALSE)</f>
        <v>7</v>
      </c>
      <c r="T222" s="16">
        <f t="shared" si="19"/>
        <v>50</v>
      </c>
      <c r="U222" s="16">
        <f>RANK(Table5[[#This Row],[Consequence]],$T$62:$T$264)</f>
        <v>1</v>
      </c>
      <c r="V222" s="16"/>
      <c r="X222" s="14">
        <f>J457</f>
        <v>0</v>
      </c>
      <c r="Y222" s="14">
        <v>19.493670886075947</v>
      </c>
    </row>
    <row r="223" spans="1:25">
      <c r="A223" s="84" t="s">
        <v>989</v>
      </c>
      <c r="B223" s="84">
        <v>2</v>
      </c>
      <c r="C223" s="81">
        <v>67210002</v>
      </c>
      <c r="D223" s="82" t="s">
        <v>271</v>
      </c>
      <c r="E223" s="57" t="e">
        <f>E222</f>
        <v>#REF!</v>
      </c>
      <c r="F223" s="16">
        <v>1490.514684388889</v>
      </c>
      <c r="G223" s="16">
        <f>Table5[[#This Row],[Probability]]*Table5[[#This Row],[Consequence]]</f>
        <v>1466.2087537878788</v>
      </c>
      <c r="H223" s="16">
        <f>RANK(Table5[[#This Row],[Risk Score]],$G$62:$G$312)</f>
        <v>23</v>
      </c>
      <c r="I223" s="16">
        <f>VLOOKUP(C223,Table1[[#All],[RC]:[Total Internal Corrosion Score]],27,FALSE)</f>
        <v>34.166666666666664</v>
      </c>
      <c r="J223" s="16">
        <f>RANK(Table5[[#This Row],[INTERNAL CORROSION]],$I$62:$I$312)</f>
        <v>8</v>
      </c>
      <c r="K223" s="16">
        <f>VLOOKUP(C223,Ext.Mo!$C$2:$AK$326,35,FALSE)</f>
        <v>19.493670000000002</v>
      </c>
      <c r="L223" s="16">
        <f>RANK(Table5[[#This Row],[EXTERNAL CORROSION]],$K$62:$K$312)</f>
        <v>3</v>
      </c>
      <c r="M223" s="16">
        <f>VLOOKUP(Table5[[#This Row],[RC]],Table3[[RC]:[Total TPI Score10]],23,0)</f>
        <v>43.63636363636364</v>
      </c>
      <c r="N223" s="16">
        <f>RANK(Table5[[#This Row],[THIRD PARTY INTERFERENCE]],$M$62:$M$312)</f>
        <v>2</v>
      </c>
      <c r="O223" s="16">
        <f>VLOOKUP(Table5[[#This Row],[RC]],LGS_Mo.!$C$5:$P$322,14,0)</f>
        <v>20</v>
      </c>
      <c r="P223" s="16">
        <f>RANK(Table5[[#This Row],[Loss  of ground support]],$O$62:$O$312)</f>
        <v>15</v>
      </c>
      <c r="Q223" s="16">
        <f>(I223+K223+M223+Table5[[#This Row],[Loss  of ground support]])/4</f>
        <v>29.324175075757577</v>
      </c>
      <c r="R223" s="16">
        <f>VLOOKUP(C223,consequence!$B$2:$K$302,10,FALSE)</f>
        <v>3</v>
      </c>
      <c r="S223" s="16">
        <f>VLOOKUP(C223,consequence!B147:$K$302,9,FALSE)</f>
        <v>7</v>
      </c>
      <c r="T223" s="16">
        <f t="shared" si="19"/>
        <v>50</v>
      </c>
      <c r="U223" s="16">
        <f>RANK(Table5[[#This Row],[Consequence]],$T$62:$T$264)</f>
        <v>1</v>
      </c>
      <c r="V223" s="16"/>
      <c r="X223" s="14">
        <f>J458</f>
        <v>0</v>
      </c>
      <c r="Y223" s="14">
        <v>19.493670886075947</v>
      </c>
    </row>
    <row r="224" spans="1:25">
      <c r="A224" s="84" t="s">
        <v>989</v>
      </c>
      <c r="B224" s="84">
        <v>2</v>
      </c>
      <c r="C224" s="81">
        <v>658110001</v>
      </c>
      <c r="D224" s="82" t="s">
        <v>272</v>
      </c>
      <c r="E224" s="57" t="e">
        <f>E223</f>
        <v>#REF!</v>
      </c>
      <c r="F224" s="16">
        <v>1490.514684388889</v>
      </c>
      <c r="G224" s="16">
        <f>Table5[[#This Row],[Probability]]*Table5[[#This Row],[Consequence]]</f>
        <v>1466.2087537878788</v>
      </c>
      <c r="H224" s="16">
        <f>RANK(Table5[[#This Row],[Risk Score]],$G$62:$G$312)</f>
        <v>23</v>
      </c>
      <c r="I224" s="16">
        <f>VLOOKUP(C224,Table1[[#All],[RC]:[Total Internal Corrosion Score]],27,FALSE)</f>
        <v>34.166666666666664</v>
      </c>
      <c r="J224" s="16">
        <f>RANK(Table5[[#This Row],[INTERNAL CORROSION]],$I$62:$I$312)</f>
        <v>8</v>
      </c>
      <c r="K224" s="16">
        <f>VLOOKUP(C224,Ext.Mo!$C$2:$AK$326,35,FALSE)</f>
        <v>19.493670000000002</v>
      </c>
      <c r="L224" s="16">
        <f>RANK(Table5[[#This Row],[EXTERNAL CORROSION]],$K$62:$K$312)</f>
        <v>3</v>
      </c>
      <c r="M224" s="16">
        <f>VLOOKUP(Table5[[#This Row],[RC]],Table3[[RC]:[Total TPI Score10]],23,0)</f>
        <v>43.63636363636364</v>
      </c>
      <c r="N224" s="16">
        <f>RANK(Table5[[#This Row],[THIRD PARTY INTERFERENCE]],$M$62:$M$312)</f>
        <v>2</v>
      </c>
      <c r="O224" s="16">
        <f>VLOOKUP(Table5[[#This Row],[RC]],LGS_Mo.!$C$5:$P$322,14,0)</f>
        <v>20</v>
      </c>
      <c r="P224" s="16">
        <f>RANK(Table5[[#This Row],[Loss  of ground support]],$O$62:$O$312)</f>
        <v>15</v>
      </c>
      <c r="Q224" s="16">
        <f>(I224+K224+M224+Table5[[#This Row],[Loss  of ground support]])/4</f>
        <v>29.324175075757577</v>
      </c>
      <c r="R224" s="16">
        <f>VLOOKUP(C224,consequence!$B$2:$K$302,10,FALSE)</f>
        <v>3</v>
      </c>
      <c r="S224" s="16">
        <f>VLOOKUP(C224,consequence!B148:$K$302,9,FALSE)</f>
        <v>7</v>
      </c>
      <c r="T224" s="16">
        <f t="shared" si="19"/>
        <v>50</v>
      </c>
      <c r="U224" s="16">
        <f>RANK(Table5[[#This Row],[Consequence]],$T$62:$T$264)</f>
        <v>1</v>
      </c>
      <c r="V224" s="16"/>
      <c r="X224" s="14">
        <f>J459</f>
        <v>0</v>
      </c>
      <c r="Y224" s="14">
        <v>19.493670886075947</v>
      </c>
    </row>
    <row r="225" spans="1:25">
      <c r="A225" s="84" t="s">
        <v>989</v>
      </c>
      <c r="B225" s="84">
        <v>2</v>
      </c>
      <c r="C225" s="81">
        <v>658110002</v>
      </c>
      <c r="D225" s="82" t="s">
        <v>273</v>
      </c>
      <c r="E225" s="57" t="e">
        <f>E224</f>
        <v>#REF!</v>
      </c>
      <c r="F225" s="16">
        <v>1490.514684388889</v>
      </c>
      <c r="G225" s="16">
        <f>Table5[[#This Row],[Probability]]*Table5[[#This Row],[Consequence]]</f>
        <v>1466.2087537878788</v>
      </c>
      <c r="H225" s="16">
        <f>RANK(Table5[[#This Row],[Risk Score]],$G$62:$G$312)</f>
        <v>23</v>
      </c>
      <c r="I225" s="16">
        <f>VLOOKUP(C225,Table1[[#All],[RC]:[Total Internal Corrosion Score]],27,FALSE)</f>
        <v>34.166666666666664</v>
      </c>
      <c r="J225" s="16">
        <f>RANK(Table5[[#This Row],[INTERNAL CORROSION]],$I$62:$I$312)</f>
        <v>8</v>
      </c>
      <c r="K225" s="16">
        <f>VLOOKUP(C225,Ext.Mo!$C$2:$AK$326,35,FALSE)</f>
        <v>19.493670000000002</v>
      </c>
      <c r="L225" s="16">
        <f>RANK(Table5[[#This Row],[EXTERNAL CORROSION]],$K$62:$K$312)</f>
        <v>3</v>
      </c>
      <c r="M225" s="16">
        <f>VLOOKUP(Table5[[#This Row],[RC]],Table3[[RC]:[Total TPI Score10]],23,0)</f>
        <v>43.63636363636364</v>
      </c>
      <c r="N225" s="16">
        <f>RANK(Table5[[#This Row],[THIRD PARTY INTERFERENCE]],$M$62:$M$312)</f>
        <v>2</v>
      </c>
      <c r="O225" s="16">
        <f>VLOOKUP(Table5[[#This Row],[RC]],LGS_Mo.!$C$5:$P$322,14,0)</f>
        <v>20</v>
      </c>
      <c r="P225" s="16">
        <f>RANK(Table5[[#This Row],[Loss  of ground support]],$O$62:$O$312)</f>
        <v>15</v>
      </c>
      <c r="Q225" s="16">
        <f>(I225+K225+M225+Table5[[#This Row],[Loss  of ground support]])/4</f>
        <v>29.324175075757577</v>
      </c>
      <c r="R225" s="16">
        <f>VLOOKUP(C225,consequence!$B$2:$K$302,10,FALSE)</f>
        <v>3</v>
      </c>
      <c r="S225" s="16">
        <f>VLOOKUP(C225,consequence!B149:$K$302,9,FALSE)</f>
        <v>7</v>
      </c>
      <c r="T225" s="16">
        <f t="shared" si="19"/>
        <v>50</v>
      </c>
      <c r="U225" s="16">
        <f>RANK(Table5[[#This Row],[Consequence]],$T$62:$T$264)</f>
        <v>1</v>
      </c>
      <c r="V225" s="16"/>
      <c r="X225" s="14">
        <f>J460</f>
        <v>0</v>
      </c>
      <c r="Y225" s="14">
        <v>19.493670886075947</v>
      </c>
    </row>
    <row r="226" spans="1:25">
      <c r="A226" s="84" t="s">
        <v>989</v>
      </c>
      <c r="B226" s="84">
        <v>2</v>
      </c>
      <c r="C226" s="81">
        <v>671500001</v>
      </c>
      <c r="D226" s="82" t="s">
        <v>725</v>
      </c>
      <c r="E226" s="57" t="e">
        <f>E99</f>
        <v>#REF!</v>
      </c>
      <c r="F226" s="16">
        <v>1490.514684388889</v>
      </c>
      <c r="G226" s="16">
        <f>Table5[[#This Row],[Probability]]*Table5[[#This Row],[Consequence]]</f>
        <v>1466.2087537878788</v>
      </c>
      <c r="H226" s="16">
        <f>RANK(Table5[[#This Row],[Risk Score]],$G$62:$G$312)</f>
        <v>23</v>
      </c>
      <c r="I226" s="16">
        <f>VLOOKUP(C226,Table1[[#All],[RC]:[Total Internal Corrosion Score]],27,FALSE)</f>
        <v>34.166666666666664</v>
      </c>
      <c r="J226" s="16">
        <f>RANK(Table5[[#This Row],[INTERNAL CORROSION]],$I$62:$I$312)</f>
        <v>8</v>
      </c>
      <c r="K226" s="16">
        <f>VLOOKUP(C226,Ext.Mo!$C$2:$AK$326,35,FALSE)</f>
        <v>19.493670000000002</v>
      </c>
      <c r="L226" s="16">
        <f>RANK(Table5[[#This Row],[EXTERNAL CORROSION]],$K$62:$K$312)</f>
        <v>3</v>
      </c>
      <c r="M226" s="16">
        <f>VLOOKUP(Table5[[#This Row],[RC]],Table3[[RC]:[Total TPI Score10]],23,0)</f>
        <v>43.63636363636364</v>
      </c>
      <c r="N226" s="16">
        <f>RANK(Table5[[#This Row],[THIRD PARTY INTERFERENCE]],$M$62:$M$312)</f>
        <v>2</v>
      </c>
      <c r="O226" s="16">
        <f>VLOOKUP(Table5[[#This Row],[RC]],LGS_Mo.!$C$5:$P$322,14,0)</f>
        <v>20</v>
      </c>
      <c r="P226" s="16">
        <f>RANK(Table5[[#This Row],[Loss  of ground support]],$O$62:$O$312)</f>
        <v>15</v>
      </c>
      <c r="Q226" s="16">
        <f>(I226+K226+M226+Table5[[#This Row],[Loss  of ground support]])/4</f>
        <v>29.324175075757577</v>
      </c>
      <c r="R226" s="16">
        <f>VLOOKUP(C226,consequence!$B$2:$K$302,10,FALSE)</f>
        <v>3</v>
      </c>
      <c r="S226" s="16">
        <f>VLOOKUP(C226,consequence!B156:$K$302,9,FALSE)</f>
        <v>7</v>
      </c>
      <c r="T226" s="16">
        <f t="shared" si="19"/>
        <v>50</v>
      </c>
      <c r="U226" s="16">
        <f>RANK(Table5[[#This Row],[Consequence]],$T$62:$T$264)</f>
        <v>1</v>
      </c>
      <c r="V226" s="16"/>
      <c r="X226" s="14">
        <f>J467</f>
        <v>0</v>
      </c>
      <c r="Y226" s="14">
        <v>19.493670886075947</v>
      </c>
    </row>
    <row r="227" spans="1:25">
      <c r="A227" s="84" t="s">
        <v>989</v>
      </c>
      <c r="B227" s="84">
        <v>2</v>
      </c>
      <c r="C227" s="81">
        <v>673110001</v>
      </c>
      <c r="D227" s="82" t="s">
        <v>277</v>
      </c>
      <c r="E227" s="57" t="e">
        <f t="shared" ref="E227:E238" si="21">E226</f>
        <v>#REF!</v>
      </c>
      <c r="F227" s="16">
        <v>1490.514684388889</v>
      </c>
      <c r="G227" s="16">
        <f>Table5[[#This Row],[Probability]]*Table5[[#This Row],[Consequence]]</f>
        <v>1476.6254204545455</v>
      </c>
      <c r="H227" s="16">
        <f>RANK(Table5[[#This Row],[Risk Score]],$G$62:$G$312)</f>
        <v>16</v>
      </c>
      <c r="I227" s="16">
        <f>VLOOKUP(C227,Table1[[#All],[RC]:[Total Internal Corrosion Score]],27,FALSE)</f>
        <v>34.999999999999993</v>
      </c>
      <c r="J227" s="16">
        <f>RANK(Table5[[#This Row],[INTERNAL CORROSION]],$I$62:$I$312)</f>
        <v>1</v>
      </c>
      <c r="K227" s="16">
        <f>VLOOKUP(C227,Ext.Mo!$C$2:$AK$326,35,FALSE)</f>
        <v>19.493670000000002</v>
      </c>
      <c r="L227" s="16">
        <f>RANK(Table5[[#This Row],[EXTERNAL CORROSION]],$K$62:$K$312)</f>
        <v>3</v>
      </c>
      <c r="M227" s="16">
        <f>VLOOKUP(Table5[[#This Row],[RC]],Table3[[RC]:[Total TPI Score10]],23,0)</f>
        <v>43.63636363636364</v>
      </c>
      <c r="N227" s="16">
        <f>RANK(Table5[[#This Row],[THIRD PARTY INTERFERENCE]],$M$62:$M$312)</f>
        <v>2</v>
      </c>
      <c r="O227" s="16">
        <f>VLOOKUP(Table5[[#This Row],[RC]],LGS_Mo.!$C$5:$P$322,14,0)</f>
        <v>20</v>
      </c>
      <c r="P227" s="16">
        <f>RANK(Table5[[#This Row],[Loss  of ground support]],$O$62:$O$312)</f>
        <v>15</v>
      </c>
      <c r="Q227" s="16">
        <f>(I227+K227+M227+Table5[[#This Row],[Loss  of ground support]])/4</f>
        <v>29.532508409090909</v>
      </c>
      <c r="R227" s="16">
        <f>VLOOKUP(C227,consequence!$B$2:$K$302,10,FALSE)</f>
        <v>3</v>
      </c>
      <c r="S227" s="16">
        <f>VLOOKUP(C227,consequence!B157:$K$302,9,FALSE)</f>
        <v>7</v>
      </c>
      <c r="T227" s="16">
        <f t="shared" si="19"/>
        <v>50</v>
      </c>
      <c r="U227" s="16">
        <f>RANK(Table5[[#This Row],[Consequence]],$T$62:$T$264)</f>
        <v>1</v>
      </c>
      <c r="V227" s="16"/>
      <c r="X227" s="14" t="e">
        <f>#REF!</f>
        <v>#REF!</v>
      </c>
      <c r="Y227" s="14">
        <v>19.493670886075947</v>
      </c>
    </row>
    <row r="228" spans="1:25">
      <c r="A228" s="84" t="s">
        <v>989</v>
      </c>
      <c r="B228" s="84">
        <v>2</v>
      </c>
      <c r="C228" s="81">
        <v>673110002</v>
      </c>
      <c r="D228" s="82" t="s">
        <v>278</v>
      </c>
      <c r="E228" s="57" t="e">
        <f t="shared" si="21"/>
        <v>#REF!</v>
      </c>
      <c r="F228" s="16">
        <v>1490.514684388889</v>
      </c>
      <c r="G228" s="16">
        <f>Table5[[#This Row],[Probability]]*Table5[[#This Row],[Consequence]]</f>
        <v>1476.6254204545455</v>
      </c>
      <c r="H228" s="16">
        <f>RANK(Table5[[#This Row],[Risk Score]],$G$62:$G$312)</f>
        <v>16</v>
      </c>
      <c r="I228" s="16">
        <f>VLOOKUP(C228,Table1[[#All],[RC]:[Total Internal Corrosion Score]],27,FALSE)</f>
        <v>34.999999999999993</v>
      </c>
      <c r="J228" s="16">
        <f>RANK(Table5[[#This Row],[INTERNAL CORROSION]],$I$62:$I$312)</f>
        <v>1</v>
      </c>
      <c r="K228" s="16">
        <f>VLOOKUP(C228,Ext.Mo!$C$2:$AK$326,35,FALSE)</f>
        <v>19.493670000000002</v>
      </c>
      <c r="L228" s="16">
        <f>RANK(Table5[[#This Row],[EXTERNAL CORROSION]],$K$62:$K$312)</f>
        <v>3</v>
      </c>
      <c r="M228" s="16">
        <f>VLOOKUP(Table5[[#This Row],[RC]],Table3[[RC]:[Total TPI Score10]],23,0)</f>
        <v>43.63636363636364</v>
      </c>
      <c r="N228" s="16">
        <f>RANK(Table5[[#This Row],[THIRD PARTY INTERFERENCE]],$M$62:$M$312)</f>
        <v>2</v>
      </c>
      <c r="O228" s="16">
        <f>VLOOKUP(Table5[[#This Row],[RC]],LGS_Mo.!$C$5:$P$322,14,0)</f>
        <v>20</v>
      </c>
      <c r="P228" s="16">
        <f>RANK(Table5[[#This Row],[Loss  of ground support]],$O$62:$O$312)</f>
        <v>15</v>
      </c>
      <c r="Q228" s="16">
        <f>(I228+K228+M228+Table5[[#This Row],[Loss  of ground support]])/4</f>
        <v>29.532508409090909</v>
      </c>
      <c r="R228" s="16">
        <f>VLOOKUP(C228,consequence!$B$2:$K$302,10,FALSE)</f>
        <v>3</v>
      </c>
      <c r="S228" s="16">
        <f>VLOOKUP(C228,consequence!B158:$K$302,9,FALSE)</f>
        <v>7</v>
      </c>
      <c r="T228" s="16">
        <f t="shared" si="19"/>
        <v>50</v>
      </c>
      <c r="U228" s="16">
        <f>RANK(Table5[[#This Row],[Consequence]],$T$62:$T$264)</f>
        <v>1</v>
      </c>
      <c r="V228" s="16"/>
      <c r="X228" s="14" t="e">
        <f>#REF!</f>
        <v>#REF!</v>
      </c>
      <c r="Y228" s="14">
        <v>19.493670886075947</v>
      </c>
    </row>
    <row r="229" spans="1:25">
      <c r="A229" s="84" t="s">
        <v>989</v>
      </c>
      <c r="B229" s="84">
        <v>2</v>
      </c>
      <c r="C229" s="81">
        <v>673110003</v>
      </c>
      <c r="D229" s="82" t="s">
        <v>279</v>
      </c>
      <c r="E229" s="57" t="e">
        <f t="shared" si="21"/>
        <v>#REF!</v>
      </c>
      <c r="F229" s="16">
        <v>1490.514684388889</v>
      </c>
      <c r="G229" s="16">
        <f>Table5[[#This Row],[Probability]]*Table5[[#This Row],[Consequence]]</f>
        <v>1466.2087537878788</v>
      </c>
      <c r="H229" s="16">
        <f>RANK(Table5[[#This Row],[Risk Score]],$G$62:$G$312)</f>
        <v>23</v>
      </c>
      <c r="I229" s="16">
        <f>VLOOKUP(C229,Table1[[#All],[RC]:[Total Internal Corrosion Score]],27,FALSE)</f>
        <v>34.166666666666664</v>
      </c>
      <c r="J229" s="16">
        <f>RANK(Table5[[#This Row],[INTERNAL CORROSION]],$I$62:$I$312)</f>
        <v>8</v>
      </c>
      <c r="K229" s="16">
        <f>VLOOKUP(C229,Ext.Mo!$C$2:$AK$326,35,FALSE)</f>
        <v>19.493670000000002</v>
      </c>
      <c r="L229" s="16">
        <f>RANK(Table5[[#This Row],[EXTERNAL CORROSION]],$K$62:$K$312)</f>
        <v>3</v>
      </c>
      <c r="M229" s="16">
        <f>VLOOKUP(Table5[[#This Row],[RC]],Table3[[RC]:[Total TPI Score10]],23,0)</f>
        <v>43.63636363636364</v>
      </c>
      <c r="N229" s="16">
        <f>RANK(Table5[[#This Row],[THIRD PARTY INTERFERENCE]],$M$62:$M$312)</f>
        <v>2</v>
      </c>
      <c r="O229" s="16">
        <f>VLOOKUP(Table5[[#This Row],[RC]],LGS_Mo.!$C$5:$P$322,14,0)</f>
        <v>20</v>
      </c>
      <c r="P229" s="16">
        <f>RANK(Table5[[#This Row],[Loss  of ground support]],$O$62:$O$312)</f>
        <v>15</v>
      </c>
      <c r="Q229" s="16">
        <f>(I229+K229+M229+Table5[[#This Row],[Loss  of ground support]])/4</f>
        <v>29.324175075757577</v>
      </c>
      <c r="R229" s="16">
        <f>VLOOKUP(C229,consequence!$B$2:$K$302,10,FALSE)</f>
        <v>3</v>
      </c>
      <c r="S229" s="16">
        <f>VLOOKUP(C229,consequence!B159:$K$302,9,FALSE)</f>
        <v>7</v>
      </c>
      <c r="T229" s="16">
        <f t="shared" si="19"/>
        <v>50</v>
      </c>
      <c r="U229" s="16">
        <f>RANK(Table5[[#This Row],[Consequence]],$T$62:$T$264)</f>
        <v>1</v>
      </c>
      <c r="V229" s="16"/>
      <c r="X229" s="14">
        <f>J470</f>
        <v>0</v>
      </c>
      <c r="Y229" s="14">
        <v>19.493670886075947</v>
      </c>
    </row>
    <row r="230" spans="1:25">
      <c r="A230" s="84" t="s">
        <v>989</v>
      </c>
      <c r="B230" s="84">
        <v>2</v>
      </c>
      <c r="C230" s="81">
        <v>673110004</v>
      </c>
      <c r="D230" s="82" t="s">
        <v>280</v>
      </c>
      <c r="E230" s="57" t="e">
        <f t="shared" si="21"/>
        <v>#REF!</v>
      </c>
      <c r="F230" s="16">
        <v>1490.514684388889</v>
      </c>
      <c r="G230" s="16">
        <f>Table5[[#This Row],[Probability]]*Table5[[#This Row],[Consequence]]</f>
        <v>1416.0193598484848</v>
      </c>
      <c r="H230" s="16">
        <f>RANK(Table5[[#This Row],[Risk Score]],$G$62:$G$312)</f>
        <v>204</v>
      </c>
      <c r="I230" s="16">
        <f>VLOOKUP(C230,Table1[[#All],[RC]:[Total Internal Corrosion Score]],27,FALSE)</f>
        <v>33.333333333333329</v>
      </c>
      <c r="J230" s="16">
        <f>RANK(Table5[[#This Row],[INTERNAL CORROSION]],$I$62:$I$312)</f>
        <v>228</v>
      </c>
      <c r="K230" s="16">
        <f>VLOOKUP(C230,Ext.Mo!$C$2:$AK$326,35,FALSE)</f>
        <v>19.493670000000002</v>
      </c>
      <c r="L230" s="16">
        <f>RANK(Table5[[#This Row],[EXTERNAL CORROSION]],$K$62:$K$312)</f>
        <v>3</v>
      </c>
      <c r="M230" s="16">
        <f>VLOOKUP(Table5[[#This Row],[RC]],Table3[[RC]:[Total TPI Score10]],23,0)</f>
        <v>40.454545454545453</v>
      </c>
      <c r="N230" s="16">
        <f>RANK(Table5[[#This Row],[THIRD PARTY INTERFERENCE]],$M$62:$M$312)</f>
        <v>224</v>
      </c>
      <c r="O230" s="16">
        <f>VLOOKUP(Table5[[#This Row],[RC]],LGS_Mo.!$C$5:$P$322,14,0)</f>
        <v>20</v>
      </c>
      <c r="P230" s="16">
        <f>RANK(Table5[[#This Row],[Loss  of ground support]],$O$62:$O$312)</f>
        <v>15</v>
      </c>
      <c r="Q230" s="16">
        <f>(I230+K230+M230+Table5[[#This Row],[Loss  of ground support]])/4</f>
        <v>28.320387196969698</v>
      </c>
      <c r="R230" s="16">
        <f>VLOOKUP(C230,consequence!$B$2:$K$302,10,FALSE)</f>
        <v>3</v>
      </c>
      <c r="S230" s="16">
        <f>VLOOKUP(C230,consequence!B160:$K$302,9,FALSE)</f>
        <v>7</v>
      </c>
      <c r="T230" s="16">
        <f t="shared" si="19"/>
        <v>50</v>
      </c>
      <c r="U230" s="16">
        <f>RANK(Table5[[#This Row],[Consequence]],$T$62:$T$264)</f>
        <v>1</v>
      </c>
      <c r="V230" s="16"/>
      <c r="X230" s="14">
        <f>J471</f>
        <v>0</v>
      </c>
      <c r="Y230" s="14">
        <v>19.493670886075947</v>
      </c>
    </row>
    <row r="231" spans="1:25">
      <c r="A231" s="84" t="s">
        <v>989</v>
      </c>
      <c r="B231" s="84">
        <v>2</v>
      </c>
      <c r="C231" s="81">
        <v>673110005</v>
      </c>
      <c r="D231" s="82" t="s">
        <v>281</v>
      </c>
      <c r="E231" s="57" t="e">
        <f t="shared" si="21"/>
        <v>#REF!</v>
      </c>
      <c r="F231" s="16">
        <v>1490.514684388889</v>
      </c>
      <c r="G231" s="16">
        <f>Table5[[#This Row],[Probability]]*Table5[[#This Row],[Consequence]]</f>
        <v>1455.7920871212123</v>
      </c>
      <c r="H231" s="16">
        <f>RANK(Table5[[#This Row],[Risk Score]],$G$62:$G$312)</f>
        <v>148</v>
      </c>
      <c r="I231" s="16">
        <f>VLOOKUP(C231,Table1[[#All],[RC]:[Total Internal Corrosion Score]],27,FALSE)</f>
        <v>33.333333333333329</v>
      </c>
      <c r="J231" s="16">
        <f>RANK(Table5[[#This Row],[INTERNAL CORROSION]],$I$62:$I$312)</f>
        <v>228</v>
      </c>
      <c r="K231" s="16">
        <f>VLOOKUP(C231,Ext.Mo!$C$2:$AK$326,35,FALSE)</f>
        <v>19.493670000000002</v>
      </c>
      <c r="L231" s="16">
        <f>RANK(Table5[[#This Row],[EXTERNAL CORROSION]],$K$62:$K$312)</f>
        <v>3</v>
      </c>
      <c r="M231" s="16">
        <f>VLOOKUP(Table5[[#This Row],[RC]],Table3[[RC]:[Total TPI Score10]],23,0)</f>
        <v>43.63636363636364</v>
      </c>
      <c r="N231" s="16">
        <f>RANK(Table5[[#This Row],[THIRD PARTY INTERFERENCE]],$M$62:$M$312)</f>
        <v>2</v>
      </c>
      <c r="O231" s="16">
        <f>VLOOKUP(Table5[[#This Row],[RC]],LGS_Mo.!$C$5:$P$322,14,0)</f>
        <v>20</v>
      </c>
      <c r="P231" s="16">
        <f>RANK(Table5[[#This Row],[Loss  of ground support]],$O$62:$O$312)</f>
        <v>15</v>
      </c>
      <c r="Q231" s="16">
        <f>(I231+K231+M231+Table5[[#This Row],[Loss  of ground support]])/4</f>
        <v>29.115841742424244</v>
      </c>
      <c r="R231" s="16">
        <f>VLOOKUP(C231,consequence!$B$2:$K$302,10,FALSE)</f>
        <v>3</v>
      </c>
      <c r="S231" s="16">
        <f>VLOOKUP(C231,consequence!B161:$K$302,9,FALSE)</f>
        <v>7</v>
      </c>
      <c r="T231" s="16">
        <f t="shared" si="19"/>
        <v>50</v>
      </c>
      <c r="U231" s="16">
        <f>RANK(Table5[[#This Row],[Consequence]],$T$62:$T$264)</f>
        <v>1</v>
      </c>
      <c r="V231" s="16"/>
      <c r="X231" s="14">
        <f>J472</f>
        <v>0</v>
      </c>
      <c r="Y231" s="14">
        <v>19.493670886075947</v>
      </c>
    </row>
    <row r="232" spans="1:25">
      <c r="A232" s="84" t="s">
        <v>989</v>
      </c>
      <c r="B232" s="84">
        <v>2</v>
      </c>
      <c r="C232" s="81">
        <v>673110103</v>
      </c>
      <c r="D232" s="82" t="s">
        <v>282</v>
      </c>
      <c r="E232" s="57" t="e">
        <f t="shared" si="21"/>
        <v>#REF!</v>
      </c>
      <c r="F232" s="16">
        <v>1490.514684388889</v>
      </c>
      <c r="G232" s="16">
        <f>Table5[[#This Row],[Probability]]*Table5[[#This Row],[Consequence]]</f>
        <v>1455.7920871212123</v>
      </c>
      <c r="H232" s="16">
        <f>RANK(Table5[[#This Row],[Risk Score]],$G$62:$G$312)</f>
        <v>148</v>
      </c>
      <c r="I232" s="16">
        <f>VLOOKUP(C232,Table1[[#All],[RC]:[Total Internal Corrosion Score]],27,FALSE)</f>
        <v>33.333333333333329</v>
      </c>
      <c r="J232" s="16">
        <f>RANK(Table5[[#This Row],[INTERNAL CORROSION]],$I$62:$I$312)</f>
        <v>228</v>
      </c>
      <c r="K232" s="16">
        <f>VLOOKUP(C232,Ext.Mo!$C$2:$AK$326,35,FALSE)</f>
        <v>19.493670000000002</v>
      </c>
      <c r="L232" s="16">
        <f>RANK(Table5[[#This Row],[EXTERNAL CORROSION]],$K$62:$K$312)</f>
        <v>3</v>
      </c>
      <c r="M232" s="16">
        <f>VLOOKUP(Table5[[#This Row],[RC]],Table3[[RC]:[Total TPI Score10]],23,0)</f>
        <v>43.63636363636364</v>
      </c>
      <c r="N232" s="16">
        <f>RANK(Table5[[#This Row],[THIRD PARTY INTERFERENCE]],$M$62:$M$312)</f>
        <v>2</v>
      </c>
      <c r="O232" s="16">
        <f>VLOOKUP(Table5[[#This Row],[RC]],LGS_Mo.!$C$5:$P$322,14,0)</f>
        <v>20</v>
      </c>
      <c r="P232" s="16">
        <f>RANK(Table5[[#This Row],[Loss  of ground support]],$O$62:$O$312)</f>
        <v>15</v>
      </c>
      <c r="Q232" s="16">
        <f>(I232+K232+M232+Table5[[#This Row],[Loss  of ground support]])/4</f>
        <v>29.115841742424244</v>
      </c>
      <c r="R232" s="16">
        <f>VLOOKUP(C232,consequence!$B$2:$K$302,10,FALSE)</f>
        <v>3</v>
      </c>
      <c r="S232" s="16">
        <f>VLOOKUP(C232,consequence!B162:$K$302,9,FALSE)</f>
        <v>7</v>
      </c>
      <c r="T232" s="16">
        <f t="shared" si="19"/>
        <v>50</v>
      </c>
      <c r="U232" s="16">
        <f>RANK(Table5[[#This Row],[Consequence]],$T$62:$T$264)</f>
        <v>1</v>
      </c>
      <c r="V232" s="16"/>
      <c r="X232" s="14">
        <f>J473</f>
        <v>0</v>
      </c>
      <c r="Y232" s="14">
        <v>19.493670886075947</v>
      </c>
    </row>
    <row r="233" spans="1:25">
      <c r="A233" s="84" t="s">
        <v>989</v>
      </c>
      <c r="B233" s="84">
        <v>2</v>
      </c>
      <c r="C233" s="81">
        <v>673200001</v>
      </c>
      <c r="D233" s="82" t="s">
        <v>283</v>
      </c>
      <c r="E233" s="57" t="e">
        <f t="shared" si="21"/>
        <v>#REF!</v>
      </c>
      <c r="F233" s="16">
        <v>1490.514684388889</v>
      </c>
      <c r="G233" s="16">
        <f>Table5[[#This Row],[Probability]]*Table5[[#This Row],[Consequence]]</f>
        <v>1476.6254204545455</v>
      </c>
      <c r="H233" s="16">
        <f>RANK(Table5[[#This Row],[Risk Score]],$G$62:$G$312)</f>
        <v>16</v>
      </c>
      <c r="I233" s="16">
        <f>VLOOKUP(C233,Table1[[#All],[RC]:[Total Internal Corrosion Score]],27,FALSE)</f>
        <v>34.999999999999993</v>
      </c>
      <c r="J233" s="16">
        <f>RANK(Table5[[#This Row],[INTERNAL CORROSION]],$I$62:$I$312)</f>
        <v>1</v>
      </c>
      <c r="K233" s="16">
        <f>VLOOKUP(C233,Ext.Mo!$C$2:$AK$326,35,FALSE)</f>
        <v>19.493670000000002</v>
      </c>
      <c r="L233" s="16">
        <f>RANK(Table5[[#This Row],[EXTERNAL CORROSION]],$K$62:$K$312)</f>
        <v>3</v>
      </c>
      <c r="M233" s="16">
        <f>VLOOKUP(Table5[[#This Row],[RC]],Table3[[RC]:[Total TPI Score10]],23,0)</f>
        <v>43.63636363636364</v>
      </c>
      <c r="N233" s="16">
        <f>RANK(Table5[[#This Row],[THIRD PARTY INTERFERENCE]],$M$62:$M$312)</f>
        <v>2</v>
      </c>
      <c r="O233" s="16">
        <f>VLOOKUP(Table5[[#This Row],[RC]],LGS_Mo.!$C$5:$P$322,14,0)</f>
        <v>20</v>
      </c>
      <c r="P233" s="16">
        <f>RANK(Table5[[#This Row],[Loss  of ground support]],$O$62:$O$312)</f>
        <v>15</v>
      </c>
      <c r="Q233" s="16">
        <f>(I233+K233+M233+Table5[[#This Row],[Loss  of ground support]])/4</f>
        <v>29.532508409090909</v>
      </c>
      <c r="R233" s="16">
        <f>VLOOKUP(C233,consequence!$B$2:$K$302,10,FALSE)</f>
        <v>3</v>
      </c>
      <c r="S233" s="16">
        <f>VLOOKUP(C233,consequence!B163:$K$302,9,FALSE)</f>
        <v>7</v>
      </c>
      <c r="T233" s="16">
        <f t="shared" si="19"/>
        <v>50</v>
      </c>
      <c r="U233" s="16">
        <f>RANK(Table5[[#This Row],[Consequence]],$T$62:$T$264)</f>
        <v>1</v>
      </c>
      <c r="V233" s="16"/>
      <c r="X233" s="14" t="e">
        <f>#REF!</f>
        <v>#REF!</v>
      </c>
      <c r="Y233" s="14">
        <v>19.493670886075947</v>
      </c>
    </row>
    <row r="234" spans="1:25">
      <c r="A234" s="84" t="s">
        <v>989</v>
      </c>
      <c r="B234" s="84">
        <v>2</v>
      </c>
      <c r="C234" s="81">
        <v>673200002</v>
      </c>
      <c r="D234" s="82" t="s">
        <v>284</v>
      </c>
      <c r="E234" s="57" t="e">
        <f t="shared" si="21"/>
        <v>#REF!</v>
      </c>
      <c r="F234" s="16">
        <v>1490.514684388889</v>
      </c>
      <c r="G234" s="16">
        <f>Table5[[#This Row],[Probability]]*Table5[[#This Row],[Consequence]]</f>
        <v>1476.6254204545455</v>
      </c>
      <c r="H234" s="16">
        <f>RANK(Table5[[#This Row],[Risk Score]],$G$62:$G$312)</f>
        <v>16</v>
      </c>
      <c r="I234" s="16">
        <f>VLOOKUP(C234,Table1[[#All],[RC]:[Total Internal Corrosion Score]],27,FALSE)</f>
        <v>34.999999999999993</v>
      </c>
      <c r="J234" s="16">
        <f>RANK(Table5[[#This Row],[INTERNAL CORROSION]],$I$62:$I$312)</f>
        <v>1</v>
      </c>
      <c r="K234" s="16">
        <f>VLOOKUP(C234,Ext.Mo!$C$2:$AK$326,35,FALSE)</f>
        <v>19.493670000000002</v>
      </c>
      <c r="L234" s="16">
        <f>RANK(Table5[[#This Row],[EXTERNAL CORROSION]],$K$62:$K$312)</f>
        <v>3</v>
      </c>
      <c r="M234" s="16">
        <f>VLOOKUP(Table5[[#This Row],[RC]],Table3[[RC]:[Total TPI Score10]],23,0)</f>
        <v>43.63636363636364</v>
      </c>
      <c r="N234" s="16">
        <f>RANK(Table5[[#This Row],[THIRD PARTY INTERFERENCE]],$M$62:$M$312)</f>
        <v>2</v>
      </c>
      <c r="O234" s="16">
        <f>VLOOKUP(Table5[[#This Row],[RC]],LGS_Mo.!$C$5:$P$322,14,0)</f>
        <v>20</v>
      </c>
      <c r="P234" s="16">
        <f>RANK(Table5[[#This Row],[Loss  of ground support]],$O$62:$O$312)</f>
        <v>15</v>
      </c>
      <c r="Q234" s="16">
        <f>(I234+K234+M234+Table5[[#This Row],[Loss  of ground support]])/4</f>
        <v>29.532508409090909</v>
      </c>
      <c r="R234" s="16">
        <f>VLOOKUP(C234,consequence!$B$2:$K$302,10,FALSE)</f>
        <v>3</v>
      </c>
      <c r="S234" s="16">
        <f>VLOOKUP(C234,consequence!B164:$K$302,9,FALSE)</f>
        <v>7</v>
      </c>
      <c r="T234" s="16">
        <f t="shared" si="19"/>
        <v>50</v>
      </c>
      <c r="U234" s="16">
        <f>RANK(Table5[[#This Row],[Consequence]],$T$62:$T$264)</f>
        <v>1</v>
      </c>
      <c r="V234" s="16"/>
      <c r="X234" s="14" t="e">
        <f>#REF!</f>
        <v>#REF!</v>
      </c>
      <c r="Y234" s="14">
        <v>19.493670886075947</v>
      </c>
    </row>
    <row r="235" spans="1:25">
      <c r="A235" s="84" t="s">
        <v>989</v>
      </c>
      <c r="B235" s="84">
        <v>2</v>
      </c>
      <c r="C235" s="81">
        <v>673500001</v>
      </c>
      <c r="D235" s="82" t="s">
        <v>285</v>
      </c>
      <c r="E235" s="57" t="e">
        <f t="shared" si="21"/>
        <v>#REF!</v>
      </c>
      <c r="F235" s="16">
        <v>1490.514684388889</v>
      </c>
      <c r="G235" s="16">
        <f>Table5[[#This Row],[Probability]]*Table5[[#This Row],[Consequence]]</f>
        <v>1455.7920871212123</v>
      </c>
      <c r="H235" s="16">
        <f>RANK(Table5[[#This Row],[Risk Score]],$G$62:$G$312)</f>
        <v>148</v>
      </c>
      <c r="I235" s="16">
        <f>VLOOKUP(C235,Table1[[#All],[RC]:[Total Internal Corrosion Score]],27,FALSE)</f>
        <v>33.333333333333329</v>
      </c>
      <c r="J235" s="16">
        <f>RANK(Table5[[#This Row],[INTERNAL CORROSION]],$I$62:$I$312)</f>
        <v>228</v>
      </c>
      <c r="K235" s="16">
        <f>VLOOKUP(C235,Ext.Mo!$C$2:$AK$326,35,FALSE)</f>
        <v>19.493670000000002</v>
      </c>
      <c r="L235" s="16">
        <f>RANK(Table5[[#This Row],[EXTERNAL CORROSION]],$K$62:$K$312)</f>
        <v>3</v>
      </c>
      <c r="M235" s="16">
        <f>VLOOKUP(Table5[[#This Row],[RC]],Table3[[RC]:[Total TPI Score10]],23,0)</f>
        <v>43.63636363636364</v>
      </c>
      <c r="N235" s="16">
        <f>RANK(Table5[[#This Row],[THIRD PARTY INTERFERENCE]],$M$62:$M$312)</f>
        <v>2</v>
      </c>
      <c r="O235" s="16">
        <f>VLOOKUP(Table5[[#This Row],[RC]],LGS_Mo.!$C$5:$P$322,14,0)</f>
        <v>20</v>
      </c>
      <c r="P235" s="16">
        <f>RANK(Table5[[#This Row],[Loss  of ground support]],$O$62:$O$312)</f>
        <v>15</v>
      </c>
      <c r="Q235" s="16">
        <f>(I235+K235+M235+Table5[[#This Row],[Loss  of ground support]])/4</f>
        <v>29.115841742424244</v>
      </c>
      <c r="R235" s="16">
        <f>VLOOKUP(C235,consequence!$B$2:$K$302,10,FALSE)</f>
        <v>3</v>
      </c>
      <c r="S235" s="16">
        <f>VLOOKUP(C235,consequence!B165:$K$302,9,FALSE)</f>
        <v>7</v>
      </c>
      <c r="T235" s="16">
        <f t="shared" si="19"/>
        <v>50</v>
      </c>
      <c r="U235" s="16">
        <f>RANK(Table5[[#This Row],[Consequence]],$T$62:$T$264)</f>
        <v>1</v>
      </c>
      <c r="V235" s="16"/>
      <c r="X235" s="14">
        <f>J476</f>
        <v>0</v>
      </c>
      <c r="Y235" s="14">
        <v>19.493670886075947</v>
      </c>
    </row>
    <row r="236" spans="1:25">
      <c r="A236" s="84" t="s">
        <v>989</v>
      </c>
      <c r="B236" s="84">
        <v>2</v>
      </c>
      <c r="C236" s="81">
        <v>673600001</v>
      </c>
      <c r="D236" s="82" t="s">
        <v>286</v>
      </c>
      <c r="E236" s="57" t="e">
        <f t="shared" si="21"/>
        <v>#REF!</v>
      </c>
      <c r="F236" s="16">
        <v>1490.514684388889</v>
      </c>
      <c r="G236" s="16">
        <f>Table5[[#This Row],[Probability]]*Table5[[#This Row],[Consequence]]</f>
        <v>1455.7920871212123</v>
      </c>
      <c r="H236" s="16">
        <f>RANK(Table5[[#This Row],[Risk Score]],$G$62:$G$312)</f>
        <v>148</v>
      </c>
      <c r="I236" s="16">
        <f>VLOOKUP(C236,Table1[[#All],[RC]:[Total Internal Corrosion Score]],27,FALSE)</f>
        <v>33.333333333333329</v>
      </c>
      <c r="J236" s="16">
        <f>RANK(Table5[[#This Row],[INTERNAL CORROSION]],$I$62:$I$312)</f>
        <v>228</v>
      </c>
      <c r="K236" s="16">
        <f>VLOOKUP(C236,Ext.Mo!$C$2:$AK$326,35,FALSE)</f>
        <v>19.493670000000002</v>
      </c>
      <c r="L236" s="16">
        <f>RANK(Table5[[#This Row],[EXTERNAL CORROSION]],$K$62:$K$312)</f>
        <v>3</v>
      </c>
      <c r="M236" s="16">
        <f>VLOOKUP(Table5[[#This Row],[RC]],Table3[[RC]:[Total TPI Score10]],23,0)</f>
        <v>43.63636363636364</v>
      </c>
      <c r="N236" s="16">
        <f>RANK(Table5[[#This Row],[THIRD PARTY INTERFERENCE]],$M$62:$M$312)</f>
        <v>2</v>
      </c>
      <c r="O236" s="16">
        <f>VLOOKUP(Table5[[#This Row],[RC]],LGS_Mo.!$C$5:$P$322,14,0)</f>
        <v>20</v>
      </c>
      <c r="P236" s="16">
        <f>RANK(Table5[[#This Row],[Loss  of ground support]],$O$62:$O$312)</f>
        <v>15</v>
      </c>
      <c r="Q236" s="16">
        <f>(I236+K236+M236+Table5[[#This Row],[Loss  of ground support]])/4</f>
        <v>29.115841742424244</v>
      </c>
      <c r="R236" s="16">
        <f>VLOOKUP(C236,consequence!$B$2:$K$302,10,FALSE)</f>
        <v>3</v>
      </c>
      <c r="S236" s="16">
        <f>VLOOKUP(C236,consequence!B166:$K$302,9,FALSE)</f>
        <v>7</v>
      </c>
      <c r="T236" s="16">
        <f t="shared" si="19"/>
        <v>50</v>
      </c>
      <c r="U236" s="16">
        <f>RANK(Table5[[#This Row],[Consequence]],$T$62:$T$264)</f>
        <v>1</v>
      </c>
      <c r="V236" s="16"/>
      <c r="X236" s="14">
        <f>J477</f>
        <v>0</v>
      </c>
      <c r="Y236" s="14">
        <v>19.493670886075947</v>
      </c>
    </row>
    <row r="237" spans="1:25">
      <c r="A237" s="84" t="s">
        <v>989</v>
      </c>
      <c r="B237" s="84">
        <v>2</v>
      </c>
      <c r="C237" s="81">
        <v>673700001</v>
      </c>
      <c r="D237" s="82" t="s">
        <v>287</v>
      </c>
      <c r="E237" s="57" t="e">
        <f t="shared" si="21"/>
        <v>#REF!</v>
      </c>
      <c r="F237" s="16">
        <v>1490.514684388889</v>
      </c>
      <c r="G237" s="16">
        <f>Table5[[#This Row],[Probability]]*Table5[[#This Row],[Consequence]]</f>
        <v>1455.7920871212123</v>
      </c>
      <c r="H237" s="16">
        <f>RANK(Table5[[#This Row],[Risk Score]],$G$62:$G$312)</f>
        <v>148</v>
      </c>
      <c r="I237" s="16">
        <f>VLOOKUP(C237,Table1[[#All],[RC]:[Total Internal Corrosion Score]],27,FALSE)</f>
        <v>33.333333333333329</v>
      </c>
      <c r="J237" s="16">
        <f>RANK(Table5[[#This Row],[INTERNAL CORROSION]],$I$62:$I$312)</f>
        <v>228</v>
      </c>
      <c r="K237" s="16">
        <f>VLOOKUP(C237,Ext.Mo!$C$2:$AK$326,35,FALSE)</f>
        <v>19.493670000000002</v>
      </c>
      <c r="L237" s="16">
        <f>RANK(Table5[[#This Row],[EXTERNAL CORROSION]],$K$62:$K$312)</f>
        <v>3</v>
      </c>
      <c r="M237" s="16">
        <f>VLOOKUP(Table5[[#This Row],[RC]],Table3[[RC]:[Total TPI Score10]],23,0)</f>
        <v>43.63636363636364</v>
      </c>
      <c r="N237" s="16">
        <f>RANK(Table5[[#This Row],[THIRD PARTY INTERFERENCE]],$M$62:$M$312)</f>
        <v>2</v>
      </c>
      <c r="O237" s="16">
        <f>VLOOKUP(Table5[[#This Row],[RC]],LGS_Mo.!$C$5:$P$322,14,0)</f>
        <v>20</v>
      </c>
      <c r="P237" s="16">
        <f>RANK(Table5[[#This Row],[Loss  of ground support]],$O$62:$O$312)</f>
        <v>15</v>
      </c>
      <c r="Q237" s="16">
        <f>(I237+K237+M237+Table5[[#This Row],[Loss  of ground support]])/4</f>
        <v>29.115841742424244</v>
      </c>
      <c r="R237" s="16">
        <f>VLOOKUP(C237,consequence!$B$2:$K$302,10,FALSE)</f>
        <v>3</v>
      </c>
      <c r="S237" s="16">
        <f>VLOOKUP(C237,consequence!B167:$K$302,9,FALSE)</f>
        <v>7</v>
      </c>
      <c r="T237" s="16">
        <f t="shared" si="19"/>
        <v>50</v>
      </c>
      <c r="U237" s="16">
        <f>RANK(Table5[[#This Row],[Consequence]],$T$62:$T$264)</f>
        <v>1</v>
      </c>
      <c r="V237" s="16"/>
      <c r="X237" s="14">
        <f>J478</f>
        <v>0</v>
      </c>
      <c r="Y237" s="14">
        <v>19.493670886075947</v>
      </c>
    </row>
    <row r="238" spans="1:25">
      <c r="A238" s="84" t="s">
        <v>989</v>
      </c>
      <c r="B238" s="84">
        <v>2</v>
      </c>
      <c r="C238" s="81">
        <v>674100001</v>
      </c>
      <c r="D238" s="82" t="s">
        <v>288</v>
      </c>
      <c r="E238" s="57" t="e">
        <f t="shared" si="21"/>
        <v>#REF!</v>
      </c>
      <c r="F238" s="16">
        <v>1490.514684388889</v>
      </c>
      <c r="G238" s="16">
        <f>Table5[[#This Row],[Probability]]*Table5[[#This Row],[Consequence]]</f>
        <v>1455.7920871212123</v>
      </c>
      <c r="H238" s="16">
        <f>RANK(Table5[[#This Row],[Risk Score]],$G$62:$G$312)</f>
        <v>148</v>
      </c>
      <c r="I238" s="16">
        <f>VLOOKUP(C238,Table1[[#All],[RC]:[Total Internal Corrosion Score]],27,FALSE)</f>
        <v>33.333333333333329</v>
      </c>
      <c r="J238" s="16">
        <f>RANK(Table5[[#This Row],[INTERNAL CORROSION]],$I$62:$I$312)</f>
        <v>228</v>
      </c>
      <c r="K238" s="16">
        <f>VLOOKUP(C238,Ext.Mo!$C$2:$AK$326,35,FALSE)</f>
        <v>19.493670000000002</v>
      </c>
      <c r="L238" s="16">
        <f>RANK(Table5[[#This Row],[EXTERNAL CORROSION]],$K$62:$K$312)</f>
        <v>3</v>
      </c>
      <c r="M238" s="16">
        <f>VLOOKUP(Table5[[#This Row],[RC]],Table3[[RC]:[Total TPI Score10]],23,0)</f>
        <v>43.63636363636364</v>
      </c>
      <c r="N238" s="16">
        <f>RANK(Table5[[#This Row],[THIRD PARTY INTERFERENCE]],$M$62:$M$312)</f>
        <v>2</v>
      </c>
      <c r="O238" s="16">
        <f>VLOOKUP(Table5[[#This Row],[RC]],LGS_Mo.!$C$5:$P$322,14,0)</f>
        <v>20</v>
      </c>
      <c r="P238" s="16">
        <f>RANK(Table5[[#This Row],[Loss  of ground support]],$O$62:$O$312)</f>
        <v>15</v>
      </c>
      <c r="Q238" s="16">
        <f>(I238+K238+M238+Table5[[#This Row],[Loss  of ground support]])/4</f>
        <v>29.115841742424244</v>
      </c>
      <c r="R238" s="16">
        <f>VLOOKUP(C238,consequence!$B$2:$K$302,10,FALSE)</f>
        <v>3</v>
      </c>
      <c r="S238" s="16">
        <f>VLOOKUP(C238,consequence!B168:$K$302,9,FALSE)</f>
        <v>7</v>
      </c>
      <c r="T238" s="16">
        <f t="shared" si="19"/>
        <v>50</v>
      </c>
      <c r="U238" s="16">
        <f>RANK(Table5[[#This Row],[Consequence]],$T$62:$T$264)</f>
        <v>1</v>
      </c>
      <c r="V238" s="16"/>
      <c r="X238" s="14">
        <f>J479</f>
        <v>0</v>
      </c>
      <c r="Y238" s="14">
        <v>19.493670886075947</v>
      </c>
    </row>
    <row r="239" spans="1:25">
      <c r="A239" s="84">
        <v>42</v>
      </c>
      <c r="B239" s="84">
        <v>3</v>
      </c>
      <c r="C239" s="81">
        <v>56010101</v>
      </c>
      <c r="D239" s="82" t="s">
        <v>306</v>
      </c>
      <c r="E239" s="105">
        <f>F400</f>
        <v>0</v>
      </c>
      <c r="F239" s="16">
        <v>1490.514684388889</v>
      </c>
      <c r="G239" s="70">
        <f>Table5[[#This Row],[Probability]]*Table5[[#This Row],[Consequence]]</f>
        <v>1466.2087537878788</v>
      </c>
      <c r="H239" s="16">
        <f>RANK(Table5[[#This Row],[Risk Score]],$G$62:$G$312)</f>
        <v>23</v>
      </c>
      <c r="I239" s="16">
        <f>VLOOKUP(C239,Table1[[#All],[RC]:[Total Internal Corrosion Score]],27,FALSE)</f>
        <v>34.166666666666664</v>
      </c>
      <c r="J239" s="16">
        <f>RANK(Table5[[#This Row],[INTERNAL CORROSION]],$I$62:$I$312)</f>
        <v>8</v>
      </c>
      <c r="K239" s="16">
        <f>VLOOKUP(C239,Ext.Mo!$C$2:$AK$326,35,FALSE)</f>
        <v>19.493670000000002</v>
      </c>
      <c r="L239" s="16">
        <f>RANK(Table5[[#This Row],[EXTERNAL CORROSION]],$K$62:$K$312)</f>
        <v>3</v>
      </c>
      <c r="M239" s="16">
        <f>VLOOKUP(Table5[[#This Row],[RC]],Table3[[RC]:[Total TPI Score10]],23,0)</f>
        <v>43.63636363636364</v>
      </c>
      <c r="N239" s="16">
        <f>RANK(Table5[[#This Row],[THIRD PARTY INTERFERENCE]],$M$62:$M$312)</f>
        <v>2</v>
      </c>
      <c r="O239" s="16">
        <f>VLOOKUP(Table5[[#This Row],[RC]],LGS_Mo.!$C$5:$P$322,14,0)</f>
        <v>20</v>
      </c>
      <c r="P239" s="16">
        <f>RANK(Table5[[#This Row],[Loss  of ground support]],$O$62:$O$312)</f>
        <v>15</v>
      </c>
      <c r="Q239" s="16">
        <f>(I239+K239+M239+Table5[[#This Row],[Loss  of ground support]])/4</f>
        <v>29.324175075757577</v>
      </c>
      <c r="R239" s="16">
        <f>VLOOKUP(C239,consequence!$B$2:$K$302,10,FALSE)</f>
        <v>3</v>
      </c>
      <c r="S239" s="16">
        <f>VLOOKUP(C239,consequence!B208:$K$302,9,FALSE)</f>
        <v>7</v>
      </c>
      <c r="T239" s="63">
        <f t="shared" si="19"/>
        <v>50</v>
      </c>
      <c r="U239" s="69">
        <f>RANK(Table5[[#This Row],[Consequence]],$T$62:$T$264)</f>
        <v>1</v>
      </c>
      <c r="V239" s="16"/>
      <c r="X239" s="14">
        <f>J519</f>
        <v>0</v>
      </c>
      <c r="Y239" s="14">
        <v>19.493670886075947</v>
      </c>
    </row>
    <row r="240" spans="1:25">
      <c r="A240" s="84">
        <v>42</v>
      </c>
      <c r="B240" s="84">
        <v>3</v>
      </c>
      <c r="C240" s="81">
        <v>56010102</v>
      </c>
      <c r="D240" s="82" t="s">
        <v>307</v>
      </c>
      <c r="E240" s="105">
        <f>F401</f>
        <v>0</v>
      </c>
      <c r="F240" s="16">
        <v>1490.514684388889</v>
      </c>
      <c r="G240" s="70">
        <f>Table5[[#This Row],[Probability]]*Table5[[#This Row],[Consequence]]</f>
        <v>1466.2087537878788</v>
      </c>
      <c r="H240" s="16">
        <f>RANK(Table5[[#This Row],[Risk Score]],$G$62:$G$312)</f>
        <v>23</v>
      </c>
      <c r="I240" s="16">
        <f>VLOOKUP(C240,Table1[[#All],[RC]:[Total Internal Corrosion Score]],27,FALSE)</f>
        <v>34.166666666666664</v>
      </c>
      <c r="J240" s="16">
        <f>RANK(Table5[[#This Row],[INTERNAL CORROSION]],$I$62:$I$312)</f>
        <v>8</v>
      </c>
      <c r="K240" s="16">
        <f>VLOOKUP(C240,Ext.Mo!$C$2:$AK$326,35,FALSE)</f>
        <v>19.493670000000002</v>
      </c>
      <c r="L240" s="16">
        <f>RANK(Table5[[#This Row],[EXTERNAL CORROSION]],$K$62:$K$312)</f>
        <v>3</v>
      </c>
      <c r="M240" s="16">
        <f>VLOOKUP(Table5[[#This Row],[RC]],Table3[[RC]:[Total TPI Score10]],23,0)</f>
        <v>43.63636363636364</v>
      </c>
      <c r="N240" s="16">
        <f>RANK(Table5[[#This Row],[THIRD PARTY INTERFERENCE]],$M$62:$M$312)</f>
        <v>2</v>
      </c>
      <c r="O240" s="16">
        <f>VLOOKUP(Table5[[#This Row],[RC]],LGS_Mo.!$C$5:$P$322,14,0)</f>
        <v>20</v>
      </c>
      <c r="P240" s="16">
        <f>RANK(Table5[[#This Row],[Loss  of ground support]],$O$62:$O$312)</f>
        <v>15</v>
      </c>
      <c r="Q240" s="16">
        <f>(I240+K240+M240+Table5[[#This Row],[Loss  of ground support]])/4</f>
        <v>29.324175075757577</v>
      </c>
      <c r="R240" s="16">
        <f>VLOOKUP(C240,consequence!$B$2:$K$302,10,FALSE)</f>
        <v>3</v>
      </c>
      <c r="S240" s="16">
        <f>VLOOKUP(C240,consequence!B209:$K$302,9,FALSE)</f>
        <v>7</v>
      </c>
      <c r="T240" s="16">
        <f t="shared" si="19"/>
        <v>50</v>
      </c>
      <c r="U240" s="69">
        <f>RANK(Table5[[#This Row],[Consequence]],$T$62:$T$264)</f>
        <v>1</v>
      </c>
      <c r="V240" s="16"/>
      <c r="X240" s="14">
        <f>J520</f>
        <v>0</v>
      </c>
      <c r="Y240" s="14">
        <v>19.493670886075947</v>
      </c>
    </row>
    <row r="241" spans="1:25">
      <c r="A241" s="84">
        <v>42</v>
      </c>
      <c r="B241" s="84">
        <v>3</v>
      </c>
      <c r="C241" s="81">
        <v>56010103</v>
      </c>
      <c r="D241" s="82" t="s">
        <v>308</v>
      </c>
      <c r="E241" s="105">
        <f>F402</f>
        <v>0</v>
      </c>
      <c r="F241" s="16">
        <v>1490.514684388889</v>
      </c>
      <c r="G241" s="70">
        <f>Table5[[#This Row],[Probability]]*Table5[[#This Row],[Consequence]]</f>
        <v>1426.4360265151515</v>
      </c>
      <c r="H241" s="16">
        <f>RANK(Table5[[#This Row],[Risk Score]],$G$62:$G$312)</f>
        <v>191</v>
      </c>
      <c r="I241" s="16">
        <f>VLOOKUP(C241,Table1[[#All],[RC]:[Total Internal Corrosion Score]],27,FALSE)</f>
        <v>34.166666666666664</v>
      </c>
      <c r="J241" s="16">
        <f>RANK(Table5[[#This Row],[INTERNAL CORROSION]],$I$62:$I$312)</f>
        <v>8</v>
      </c>
      <c r="K241" s="16">
        <f>VLOOKUP(C241,Ext.Mo!$C$2:$AK$326,35,FALSE)</f>
        <v>19.493670000000002</v>
      </c>
      <c r="L241" s="16">
        <f>RANK(Table5[[#This Row],[EXTERNAL CORROSION]],$K$62:$K$312)</f>
        <v>3</v>
      </c>
      <c r="M241" s="16">
        <f>VLOOKUP(Table5[[#This Row],[RC]],Table3[[RC]:[Total TPI Score10]],23,0)</f>
        <v>40.454545454545453</v>
      </c>
      <c r="N241" s="16">
        <f>RANK(Table5[[#This Row],[THIRD PARTY INTERFERENCE]],$M$62:$M$312)</f>
        <v>224</v>
      </c>
      <c r="O241" s="16">
        <f>VLOOKUP(Table5[[#This Row],[RC]],LGS_Mo.!$C$5:$P$322,14,0)</f>
        <v>20</v>
      </c>
      <c r="P241" s="16">
        <f>RANK(Table5[[#This Row],[Loss  of ground support]],$O$62:$O$312)</f>
        <v>15</v>
      </c>
      <c r="Q241" s="16">
        <f>(I241+K241+M241+Table5[[#This Row],[Loss  of ground support]])/4</f>
        <v>28.52872053030303</v>
      </c>
      <c r="R241" s="16">
        <f>VLOOKUP(C241,consequence!$B$2:$K$302,10,FALSE)</f>
        <v>3</v>
      </c>
      <c r="S241" s="16">
        <f>VLOOKUP(C241,consequence!B210:$K$302,9,FALSE)</f>
        <v>7</v>
      </c>
      <c r="T241" s="63">
        <f t="shared" si="19"/>
        <v>50</v>
      </c>
      <c r="U241" s="69">
        <f>RANK(Table5[[#This Row],[Consequence]],$T$62:$T$264)</f>
        <v>1</v>
      </c>
      <c r="V241" s="16"/>
      <c r="X241" s="14">
        <f>J521</f>
        <v>0</v>
      </c>
      <c r="Y241" s="14">
        <v>19.493670886075947</v>
      </c>
    </row>
    <row r="242" spans="1:25" s="9" customFormat="1">
      <c r="A242" s="84">
        <v>42</v>
      </c>
      <c r="B242" s="84">
        <v>3</v>
      </c>
      <c r="C242" s="81">
        <v>340300001</v>
      </c>
      <c r="D242" s="82" t="s">
        <v>312</v>
      </c>
      <c r="E242" s="105">
        <f>F409</f>
        <v>0</v>
      </c>
      <c r="F242" s="16">
        <v>1490.514684388889</v>
      </c>
      <c r="G242" s="70">
        <f>Table5[[#This Row],[Probability]]*Table5[[#This Row],[Consequence]]</f>
        <v>1426.4360265151515</v>
      </c>
      <c r="H242" s="16">
        <f>RANK(Table5[[#This Row],[Risk Score]],$G$62:$G$312)</f>
        <v>191</v>
      </c>
      <c r="I242" s="16">
        <f>VLOOKUP(C242,Table1[[#All],[RC]:[Total Internal Corrosion Score]],27,FALSE)</f>
        <v>34.166666666666664</v>
      </c>
      <c r="J242" s="16">
        <f>RANK(Table5[[#This Row],[INTERNAL CORROSION]],$I$62:$I$312)</f>
        <v>8</v>
      </c>
      <c r="K242" s="16">
        <f>VLOOKUP(C242,Ext.Mo!$C$2:$AK$326,35,FALSE)</f>
        <v>19.493670000000002</v>
      </c>
      <c r="L242" s="16">
        <f>RANK(Table5[[#This Row],[EXTERNAL CORROSION]],$K$62:$K$312)</f>
        <v>3</v>
      </c>
      <c r="M242" s="16">
        <f>VLOOKUP(Table5[[#This Row],[RC]],Table3[[RC]:[Total TPI Score10]],23,0)</f>
        <v>40.454545454545453</v>
      </c>
      <c r="N242" s="9">
        <f>RANK(Table5[[#This Row],[THIRD PARTY INTERFERENCE]],$M$62:$M$312)</f>
        <v>224</v>
      </c>
      <c r="O242" s="9">
        <f>VLOOKUP(Table5[[#This Row],[RC]],LGS_Mo.!$C$5:$P$322,14,0)</f>
        <v>20</v>
      </c>
      <c r="P242" s="9">
        <f>RANK(Table5[[#This Row],[Loss  of ground support]],$O$62:$O$312)</f>
        <v>15</v>
      </c>
      <c r="Q242" s="9">
        <f>(I242+K242+M242+Table5[[#This Row],[Loss  of ground support]])/4</f>
        <v>28.52872053030303</v>
      </c>
      <c r="R242" s="9">
        <f>VLOOKUP(C242,consequence!$B$2:$K$302,10,FALSE)</f>
        <v>3</v>
      </c>
      <c r="S242" s="9">
        <f>VLOOKUP(C242,consequence!B217:$K$302,9,FALSE)</f>
        <v>7</v>
      </c>
      <c r="T242" s="9">
        <f t="shared" si="19"/>
        <v>50</v>
      </c>
      <c r="U242" s="116">
        <f>RANK(Table5[[#This Row],[Consequence]],$T$62:$T$264)</f>
        <v>1</v>
      </c>
      <c r="X242" s="14">
        <f>J528</f>
        <v>0</v>
      </c>
      <c r="Y242" s="14">
        <v>19.493670886075947</v>
      </c>
    </row>
    <row r="243" spans="1:25" s="9" customFormat="1">
      <c r="A243" s="84">
        <v>43</v>
      </c>
      <c r="B243" s="84">
        <v>6</v>
      </c>
      <c r="C243" s="81">
        <v>6100</v>
      </c>
      <c r="D243" s="82" t="s">
        <v>325</v>
      </c>
      <c r="E243" s="105">
        <f>F444</f>
        <v>0</v>
      </c>
      <c r="F243" s="16">
        <v>1490.514684388889</v>
      </c>
      <c r="G243" s="70">
        <f>Table5[[#This Row],[Probability]]*Table5[[#This Row],[Consequence]]</f>
        <v>1419.491582070707</v>
      </c>
      <c r="H243" s="16">
        <f>RANK(Table5[[#This Row],[Risk Score]],$G$62:$G$312)</f>
        <v>201</v>
      </c>
      <c r="I243" s="16">
        <f>VLOOKUP(C243,Table1[[#All],[RC]:[Total Internal Corrosion Score]],27,FALSE)</f>
        <v>33.611111111111107</v>
      </c>
      <c r="J243" s="16">
        <f>RANK(Table5[[#This Row],[INTERNAL CORROSION]],$I$62:$I$312)</f>
        <v>208</v>
      </c>
      <c r="K243" s="16">
        <f>VLOOKUP(C243,Ext.Mo!$C$2:$AK$326,35,FALSE)</f>
        <v>19.493670000000002</v>
      </c>
      <c r="L243" s="16">
        <f>RANK(Table5[[#This Row],[EXTERNAL CORROSION]],$K$62:$K$312)</f>
        <v>3</v>
      </c>
      <c r="M243" s="16">
        <f>VLOOKUP(Table5[[#This Row],[RC]],Table3[[RC]:[Total TPI Score10]],23,0)</f>
        <v>40.454545454545453</v>
      </c>
      <c r="N243" s="9">
        <f>RANK(Table5[[#This Row],[THIRD PARTY INTERFERENCE]],$M$62:$M$312)</f>
        <v>224</v>
      </c>
      <c r="O243" s="9">
        <f>VLOOKUP(Table5[[#This Row],[RC]],LGS_Mo.!$C$5:$P$322,14,0)</f>
        <v>20</v>
      </c>
      <c r="P243" s="9">
        <f>RANK(Table5[[#This Row],[Loss  of ground support]],$O$62:$O$312)</f>
        <v>15</v>
      </c>
      <c r="Q243" s="9">
        <f>(I243+K243+M243+Table5[[#This Row],[Loss  of ground support]])/4</f>
        <v>28.389831641414141</v>
      </c>
      <c r="R243" s="9">
        <f>VLOOKUP(C243,consequence!$B$2:$K$302,10,FALSE)</f>
        <v>3</v>
      </c>
      <c r="S243" s="9">
        <f>VLOOKUP(C243,consequence!B234:$K$302,9,FALSE)</f>
        <v>7</v>
      </c>
      <c r="T243" s="115">
        <f t="shared" si="19"/>
        <v>50</v>
      </c>
      <c r="U243" s="116">
        <f>RANK(Table5[[#This Row],[Consequence]],$T$62:$T$264)</f>
        <v>1</v>
      </c>
      <c r="X243" s="14" t="e">
        <f>#REF!</f>
        <v>#REF!</v>
      </c>
      <c r="Y243" s="14">
        <v>19.493670886075947</v>
      </c>
    </row>
    <row r="244" spans="1:25" ht="25.5">
      <c r="A244" s="84">
        <v>43</v>
      </c>
      <c r="B244" s="84">
        <v>6</v>
      </c>
      <c r="C244" s="81">
        <v>445403</v>
      </c>
      <c r="D244" s="82" t="s">
        <v>328</v>
      </c>
      <c r="E244" s="105">
        <f>F447</f>
        <v>0</v>
      </c>
      <c r="F244" s="16">
        <v>1490.514684388889</v>
      </c>
      <c r="G244" s="70">
        <f>Table5[[#This Row],[Probability]]*Table5[[#This Row],[Consequence]]</f>
        <v>1416.0193598484848</v>
      </c>
      <c r="H244" s="16">
        <f>RANK(Table5[[#This Row],[Risk Score]],$G$62:$G$312)</f>
        <v>204</v>
      </c>
      <c r="I244" s="16">
        <f>VLOOKUP(C244,Table1[[#All],[RC]:[Total Internal Corrosion Score]],27,FALSE)</f>
        <v>33.333333333333329</v>
      </c>
      <c r="J244" s="16">
        <f>RANK(Table5[[#This Row],[INTERNAL CORROSION]],$I$62:$I$312)</f>
        <v>228</v>
      </c>
      <c r="K244" s="16">
        <f>VLOOKUP(C244,Ext.Mo!$C$2:$AK$326,35,FALSE)</f>
        <v>19.493670000000002</v>
      </c>
      <c r="L244" s="16">
        <f>RANK(Table5[[#This Row],[EXTERNAL CORROSION]],$K$62:$K$312)</f>
        <v>3</v>
      </c>
      <c r="M244" s="16">
        <f>VLOOKUP(Table5[[#This Row],[RC]],Table3[[RC]:[Total TPI Score10]],23,0)</f>
        <v>40.454545454545453</v>
      </c>
      <c r="N244" s="16">
        <f>RANK(Table5[[#This Row],[THIRD PARTY INTERFERENCE]],$M$62:$M$312)</f>
        <v>224</v>
      </c>
      <c r="O244" s="16">
        <f>VLOOKUP(Table5[[#This Row],[RC]],LGS_Mo.!$C$5:$P$322,14,0)</f>
        <v>20</v>
      </c>
      <c r="P244" s="16">
        <f>RANK(Table5[[#This Row],[Loss  of ground support]],$O$62:$O$312)</f>
        <v>15</v>
      </c>
      <c r="Q244" s="16">
        <f>(I244+K244+M244+Table5[[#This Row],[Loss  of ground support]])/4</f>
        <v>28.320387196969698</v>
      </c>
      <c r="R244" s="16">
        <f>VLOOKUP(C244,consequence!$B$2:$K$302,10,FALSE)</f>
        <v>3</v>
      </c>
      <c r="S244" s="16">
        <f>VLOOKUP(C244,consequence!B237:$K$302,9,FALSE)</f>
        <v>7</v>
      </c>
      <c r="T244" s="16">
        <f t="shared" si="19"/>
        <v>50</v>
      </c>
      <c r="U244" s="69">
        <f>RANK(Table5[[#This Row],[Consequence]],$T$62:$T$264)</f>
        <v>1</v>
      </c>
      <c r="V244" s="16"/>
      <c r="X244" s="14">
        <f>J566</f>
        <v>0</v>
      </c>
      <c r="Y244" s="14">
        <v>19.493670886075947</v>
      </c>
    </row>
    <row r="245" spans="1:25" ht="25.5">
      <c r="A245" s="84">
        <v>43</v>
      </c>
      <c r="B245" s="84">
        <v>6</v>
      </c>
      <c r="C245" s="81">
        <v>615201</v>
      </c>
      <c r="D245" s="82" t="s">
        <v>329</v>
      </c>
      <c r="E245" s="105">
        <f>F448</f>
        <v>0</v>
      </c>
      <c r="F245" s="16">
        <v>1490.514684388889</v>
      </c>
      <c r="G245" s="70">
        <f>Table5[[#This Row],[Probability]]*Table5[[#This Row],[Consequence]]</f>
        <v>1459.2643093434344</v>
      </c>
      <c r="H245" s="16">
        <f>RANK(Table5[[#This Row],[Risk Score]],$G$62:$G$312)</f>
        <v>130</v>
      </c>
      <c r="I245" s="16">
        <f>VLOOKUP(C245,Table1[[#All],[RC]:[Total Internal Corrosion Score]],27,FALSE)</f>
        <v>33.611111111111107</v>
      </c>
      <c r="J245" s="16">
        <f>RANK(Table5[[#This Row],[INTERNAL CORROSION]],$I$62:$I$312)</f>
        <v>208</v>
      </c>
      <c r="K245" s="16">
        <f>VLOOKUP(C245,Ext.Mo!$C$2:$AK$326,35,FALSE)</f>
        <v>19.493670000000002</v>
      </c>
      <c r="L245" s="16">
        <f>RANK(Table5[[#This Row],[EXTERNAL CORROSION]],$K$62:$K$312)</f>
        <v>3</v>
      </c>
      <c r="M245" s="16">
        <f>VLOOKUP(Table5[[#This Row],[RC]],Table3[[RC]:[Total TPI Score10]],23,0)</f>
        <v>43.63636363636364</v>
      </c>
      <c r="N245" s="16">
        <f>RANK(Table5[[#This Row],[THIRD PARTY INTERFERENCE]],$M$62:$M$312)</f>
        <v>2</v>
      </c>
      <c r="O245" s="16">
        <f>VLOOKUP(Table5[[#This Row],[RC]],LGS_Mo.!$C$5:$P$322,14,0)</f>
        <v>20</v>
      </c>
      <c r="P245" s="16">
        <f>RANK(Table5[[#This Row],[Loss  of ground support]],$O$62:$O$312)</f>
        <v>15</v>
      </c>
      <c r="Q245" s="16">
        <f>(I245+K245+M245+Table5[[#This Row],[Loss  of ground support]])/4</f>
        <v>29.185286186868687</v>
      </c>
      <c r="R245" s="16">
        <f>VLOOKUP(C245,consequence!$B$2:$K$302,10,FALSE)</f>
        <v>3</v>
      </c>
      <c r="S245" s="16">
        <f>VLOOKUP(C245,consequence!B238:$K$302,9,FALSE)</f>
        <v>7</v>
      </c>
      <c r="T245" s="63">
        <f t="shared" si="19"/>
        <v>50</v>
      </c>
      <c r="U245" s="69">
        <f>RANK(Table5[[#This Row],[Consequence]],$T$62:$T$264)</f>
        <v>1</v>
      </c>
      <c r="V245" s="16"/>
      <c r="X245" s="14">
        <f>J567</f>
        <v>0</v>
      </c>
      <c r="Y245" s="14">
        <v>19.493670886075947</v>
      </c>
    </row>
    <row r="246" spans="1:25" ht="25.5">
      <c r="A246" s="84">
        <v>43</v>
      </c>
      <c r="B246" s="84">
        <v>6</v>
      </c>
      <c r="C246" s="81">
        <v>616101</v>
      </c>
      <c r="D246" s="82" t="s">
        <v>330</v>
      </c>
      <c r="E246" s="105">
        <f>F449</f>
        <v>0</v>
      </c>
      <c r="F246" s="16">
        <v>1490.514684388889</v>
      </c>
      <c r="G246" s="70">
        <f>Table5[[#This Row],[Probability]]*Table5[[#This Row],[Consequence]]</f>
        <v>1459.2643093434344</v>
      </c>
      <c r="H246" s="16">
        <f>RANK(Table5[[#This Row],[Risk Score]],$G$62:$G$312)</f>
        <v>130</v>
      </c>
      <c r="I246" s="16">
        <f>VLOOKUP(C246,Table1[[#All],[RC]:[Total Internal Corrosion Score]],27,FALSE)</f>
        <v>33.611111111111107</v>
      </c>
      <c r="J246" s="16">
        <f>RANK(Table5[[#This Row],[INTERNAL CORROSION]],$I$62:$I$312)</f>
        <v>208</v>
      </c>
      <c r="K246" s="16">
        <f>VLOOKUP(C246,Ext.Mo!$C$2:$AK$326,35,FALSE)</f>
        <v>19.493670000000002</v>
      </c>
      <c r="L246" s="16">
        <f>RANK(Table5[[#This Row],[EXTERNAL CORROSION]],$K$62:$K$312)</f>
        <v>3</v>
      </c>
      <c r="M246" s="16">
        <f>VLOOKUP(Table5[[#This Row],[RC]],Table3[[RC]:[Total TPI Score10]],23,0)</f>
        <v>43.63636363636364</v>
      </c>
      <c r="N246" s="16">
        <f>RANK(Table5[[#This Row],[THIRD PARTY INTERFERENCE]],$M$62:$M$312)</f>
        <v>2</v>
      </c>
      <c r="O246" s="16">
        <f>VLOOKUP(Table5[[#This Row],[RC]],LGS_Mo.!$C$5:$P$322,14,0)</f>
        <v>20</v>
      </c>
      <c r="P246" s="16">
        <f>RANK(Table5[[#This Row],[Loss  of ground support]],$O$62:$O$312)</f>
        <v>15</v>
      </c>
      <c r="Q246" s="16">
        <f>(I246+K246+M246+Table5[[#This Row],[Loss  of ground support]])/4</f>
        <v>29.185286186868687</v>
      </c>
      <c r="R246" s="16">
        <f>VLOOKUP(C246,consequence!$B$2:$K$302,10,FALSE)</f>
        <v>3</v>
      </c>
      <c r="S246" s="16">
        <f>VLOOKUP(C246,consequence!B239:$K$302,9,FALSE)</f>
        <v>7</v>
      </c>
      <c r="T246" s="16">
        <f t="shared" si="19"/>
        <v>50</v>
      </c>
      <c r="U246" s="69">
        <f>RANK(Table5[[#This Row],[Consequence]],$T$62:$T$264)</f>
        <v>1</v>
      </c>
      <c r="V246" s="16"/>
      <c r="X246" s="14">
        <f>J568</f>
        <v>0</v>
      </c>
      <c r="Y246" s="14">
        <v>19.493670886075947</v>
      </c>
    </row>
    <row r="247" spans="1:25">
      <c r="A247" s="84">
        <v>43</v>
      </c>
      <c r="B247" s="84">
        <v>6</v>
      </c>
      <c r="C247" s="81">
        <v>61520101</v>
      </c>
      <c r="D247" s="82" t="s">
        <v>332</v>
      </c>
      <c r="E247" s="105">
        <f>F451</f>
        <v>0</v>
      </c>
      <c r="F247" s="16">
        <v>1490.514684388889</v>
      </c>
      <c r="G247" s="70">
        <f>Table5[[#This Row],[Probability]]*Table5[[#This Row],[Consequence]]</f>
        <v>1459.2643093434344</v>
      </c>
      <c r="H247" s="16">
        <f>RANK(Table5[[#This Row],[Risk Score]],$G$62:$G$312)</f>
        <v>130</v>
      </c>
      <c r="I247" s="16">
        <f>VLOOKUP(C247,Table1[[#All],[RC]:[Total Internal Corrosion Score]],27,FALSE)</f>
        <v>33.611111111111107</v>
      </c>
      <c r="J247" s="16">
        <f>RANK(Table5[[#This Row],[INTERNAL CORROSION]],$I$62:$I$312)</f>
        <v>208</v>
      </c>
      <c r="K247" s="16">
        <f>VLOOKUP(C247,Ext.Mo!$C$2:$AK$326,35,FALSE)</f>
        <v>19.493670000000002</v>
      </c>
      <c r="L247" s="16">
        <f>RANK(Table5[[#This Row],[EXTERNAL CORROSION]],$K$62:$K$312)</f>
        <v>3</v>
      </c>
      <c r="M247" s="16">
        <f>VLOOKUP(Table5[[#This Row],[RC]],Table3[[RC]:[Total TPI Score10]],23,0)</f>
        <v>43.63636363636364</v>
      </c>
      <c r="N247" s="16">
        <f>RANK(Table5[[#This Row],[THIRD PARTY INTERFERENCE]],$M$62:$M$312)</f>
        <v>2</v>
      </c>
      <c r="O247" s="16">
        <f>VLOOKUP(Table5[[#This Row],[RC]],LGS_Mo.!$C$5:$P$322,14,0)</f>
        <v>20</v>
      </c>
      <c r="P247" s="16">
        <f>RANK(Table5[[#This Row],[Loss  of ground support]],$O$62:$O$312)</f>
        <v>15</v>
      </c>
      <c r="Q247" s="16">
        <f>(I247+K247+M247+Table5[[#This Row],[Loss  of ground support]])/4</f>
        <v>29.185286186868687</v>
      </c>
      <c r="R247" s="16">
        <f>VLOOKUP(C247,consequence!$B$2:$K$302,10,FALSE)</f>
        <v>3</v>
      </c>
      <c r="S247" s="16">
        <f>VLOOKUP(C247,consequence!B241:$K$302,9,FALSE)</f>
        <v>7</v>
      </c>
      <c r="T247" s="16">
        <f t="shared" si="19"/>
        <v>50</v>
      </c>
      <c r="U247" s="69">
        <f>RANK(Table5[[#This Row],[Consequence]],$T$62:$T$264)</f>
        <v>1</v>
      </c>
      <c r="V247" s="16"/>
      <c r="X247" s="14" t="e">
        <f>#REF!</f>
        <v>#REF!</v>
      </c>
      <c r="Y247" s="14">
        <v>19.493670886075947</v>
      </c>
    </row>
    <row r="248" spans="1:25" ht="25.5">
      <c r="A248" s="84">
        <v>43</v>
      </c>
      <c r="B248" s="84">
        <v>6</v>
      </c>
      <c r="C248" s="81">
        <v>61610101</v>
      </c>
      <c r="D248" s="82" t="s">
        <v>333</v>
      </c>
      <c r="E248" s="105">
        <f>F452</f>
        <v>0</v>
      </c>
      <c r="F248" s="16">
        <v>1490.514684388889</v>
      </c>
      <c r="G248" s="70">
        <f>Table5[[#This Row],[Probability]]*Table5[[#This Row],[Consequence]]</f>
        <v>1459.2643093434344</v>
      </c>
      <c r="H248" s="16">
        <f>RANK(Table5[[#This Row],[Risk Score]],$G$62:$G$312)</f>
        <v>130</v>
      </c>
      <c r="I248" s="16">
        <f>VLOOKUP(C248,Table1[[#All],[RC]:[Total Internal Corrosion Score]],27,FALSE)</f>
        <v>33.611111111111107</v>
      </c>
      <c r="J248" s="16">
        <f>RANK(Table5[[#This Row],[INTERNAL CORROSION]],$I$62:$I$312)</f>
        <v>208</v>
      </c>
      <c r="K248" s="16">
        <f>VLOOKUP(C248,Ext.Mo!$C$2:$AK$326,35,FALSE)</f>
        <v>19.493670000000002</v>
      </c>
      <c r="L248" s="16">
        <f>RANK(Table5[[#This Row],[EXTERNAL CORROSION]],$K$62:$K$312)</f>
        <v>3</v>
      </c>
      <c r="M248" s="16">
        <f>VLOOKUP(Table5[[#This Row],[RC]],Table3[[RC]:[Total TPI Score10]],23,0)</f>
        <v>43.63636363636364</v>
      </c>
      <c r="N248" s="16">
        <f>RANK(Table5[[#This Row],[THIRD PARTY INTERFERENCE]],$M$62:$M$312)</f>
        <v>2</v>
      </c>
      <c r="O248" s="16">
        <f>VLOOKUP(Table5[[#This Row],[RC]],LGS_Mo.!$C$5:$P$322,14,0)</f>
        <v>20</v>
      </c>
      <c r="P248" s="16">
        <f>RANK(Table5[[#This Row],[Loss  of ground support]],$O$62:$O$312)</f>
        <v>15</v>
      </c>
      <c r="Q248" s="16">
        <f>(I248+K248+M248+Table5[[#This Row],[Loss  of ground support]])/4</f>
        <v>29.185286186868687</v>
      </c>
      <c r="R248" s="16">
        <f>VLOOKUP(C248,consequence!$B$2:$K$302,10,FALSE)</f>
        <v>3</v>
      </c>
      <c r="S248" s="16">
        <f>VLOOKUP(C248,consequence!B242:$K$302,9,FALSE)</f>
        <v>7</v>
      </c>
      <c r="T248" s="63">
        <f t="shared" si="19"/>
        <v>50</v>
      </c>
      <c r="U248" s="69">
        <f>RANK(Table5[[#This Row],[Consequence]],$T$62:$T$264)</f>
        <v>1</v>
      </c>
      <c r="V248" s="16"/>
      <c r="X248" s="14">
        <f>J571</f>
        <v>0</v>
      </c>
      <c r="Y248" s="14">
        <v>19.493670886075947</v>
      </c>
    </row>
    <row r="249" spans="1:25" s="14" customFormat="1" ht="25.5">
      <c r="A249" s="243">
        <v>43</v>
      </c>
      <c r="B249" s="243">
        <v>9</v>
      </c>
      <c r="C249" s="141">
        <v>63401</v>
      </c>
      <c r="D249" s="140" t="s">
        <v>345</v>
      </c>
      <c r="E249" s="105">
        <f t="shared" ref="E249:E256" si="22">F494</f>
        <v>0</v>
      </c>
      <c r="F249" s="16">
        <v>1490.514684388889</v>
      </c>
      <c r="G249" s="70">
        <f>Table5[[#This Row],[Probability]]*Table5[[#This Row],[Consequence]]</f>
        <v>1404.6797084771767</v>
      </c>
      <c r="H249" s="16">
        <f>RANK(Table5[[#This Row],[Risk Score]],$G$62:$G$312)</f>
        <v>241</v>
      </c>
      <c r="I249" s="16">
        <f>VLOOKUP(C249,Table1[[#All],[RC]:[Total Internal Corrosion Score]],27,FALSE)</f>
        <v>34.166666666666664</v>
      </c>
      <c r="J249" s="16">
        <f>RANK(Table5[[#This Row],[INTERNAL CORROSION]],$I$62:$I$312)</f>
        <v>8</v>
      </c>
      <c r="K249" s="16">
        <f>VLOOKUP(C249,Ext.Mo!$C$2:$AK$326,35,FALSE)</f>
        <v>17.753164556962023</v>
      </c>
      <c r="L249" s="16">
        <f>RANK(Table5[[#This Row],[EXTERNAL CORROSION]],$K$62:$K$312)</f>
        <v>172</v>
      </c>
      <c r="M249" s="16">
        <f>VLOOKUP(Table5[[#This Row],[RC]],Table3[[RC]:[Total TPI Score10]],23,0)</f>
        <v>40.454545454545453</v>
      </c>
      <c r="N249" s="16">
        <f>RANK(Table5[[#This Row],[THIRD PARTY INTERFERENCE]],$M$62:$M$312)</f>
        <v>224</v>
      </c>
      <c r="O249" s="16">
        <f>VLOOKUP(Table5[[#This Row],[RC]],LGS_Mo.!$C$5:$P$322,14,0)</f>
        <v>20</v>
      </c>
      <c r="P249" s="16">
        <f>RANK(Table5[[#This Row],[Loss  of ground support]],$O$62:$O$312)</f>
        <v>15</v>
      </c>
      <c r="Q249" s="16">
        <f>(I249+K249+M249+Table5[[#This Row],[Loss  of ground support]])/4</f>
        <v>28.093594169543536</v>
      </c>
      <c r="R249" s="16">
        <f>VLOOKUP(C249,consequence!$B$2:$K$302,10,FALSE)</f>
        <v>3</v>
      </c>
      <c r="S249" s="16">
        <f>VLOOKUP(C249,consequence!B284:$K$302,9,FALSE)</f>
        <v>7</v>
      </c>
      <c r="T249" s="63">
        <f t="shared" si="19"/>
        <v>50</v>
      </c>
      <c r="U249" s="69">
        <f>RANK(Table5[[#This Row],[Consequence]],$T$62:$T$264)</f>
        <v>1</v>
      </c>
      <c r="V249" s="16"/>
      <c r="Y249" s="14">
        <v>19.4936708860759</v>
      </c>
    </row>
    <row r="250" spans="1:25" s="14" customFormat="1">
      <c r="A250" s="244">
        <v>43</v>
      </c>
      <c r="B250" s="244">
        <v>9</v>
      </c>
      <c r="C250" s="141">
        <v>6340101</v>
      </c>
      <c r="D250" s="140" t="s">
        <v>793</v>
      </c>
      <c r="E250" s="105">
        <f t="shared" si="22"/>
        <v>0</v>
      </c>
      <c r="F250" s="16">
        <v>1490.514684388889</v>
      </c>
      <c r="G250" s="70">
        <f>Table5[[#This Row],[Probability]]*Table5[[#This Row],[Consequence]]</f>
        <v>1444.4524357499042</v>
      </c>
      <c r="H250" s="16">
        <f>RANK(Table5[[#This Row],[Risk Score]],$G$62:$G$312)</f>
        <v>169</v>
      </c>
      <c r="I250" s="16">
        <f>VLOOKUP(C250,Table1[[#All],[RC]:[Total Internal Corrosion Score]],27,FALSE)</f>
        <v>34.166666666666664</v>
      </c>
      <c r="J250" s="16">
        <f>RANK(Table5[[#This Row],[INTERNAL CORROSION]],$I$62:$I$312)</f>
        <v>8</v>
      </c>
      <c r="K250" s="16">
        <f>VLOOKUP(C250,Ext.Mo!$C$2:$AK$326,35,FALSE)</f>
        <v>17.753164556962023</v>
      </c>
      <c r="L250" s="16">
        <f>RANK(Table5[[#This Row],[EXTERNAL CORROSION]],$K$62:$K$312)</f>
        <v>172</v>
      </c>
      <c r="M250" s="16">
        <f>VLOOKUP(Table5[[#This Row],[RC]],Table3[[RC]:[Total TPI Score10]],23,0)</f>
        <v>43.63636363636364</v>
      </c>
      <c r="N250" s="16">
        <f>RANK(Table5[[#This Row],[THIRD PARTY INTERFERENCE]],$M$62:$M$312)</f>
        <v>2</v>
      </c>
      <c r="O250" s="16">
        <f>VLOOKUP(Table5[[#This Row],[RC]],LGS_Mo.!$C$5:$P$322,14,0)</f>
        <v>20</v>
      </c>
      <c r="P250" s="16">
        <f>RANK(Table5[[#This Row],[Loss  of ground support]],$O$62:$O$312)</f>
        <v>15</v>
      </c>
      <c r="Q250" s="16">
        <f>(I250+K250+M250+Table5[[#This Row],[Loss  of ground support]])/4</f>
        <v>28.889048714998083</v>
      </c>
      <c r="R250" s="16">
        <f>VLOOKUP(C250,consequence!$B$2:$K$302,10,FALSE)</f>
        <v>3</v>
      </c>
      <c r="S250" s="16">
        <f>VLOOKUP(C250,consequence!B285:$K$302,9,FALSE)</f>
        <v>7</v>
      </c>
      <c r="T250" s="16">
        <f t="shared" si="19"/>
        <v>50</v>
      </c>
      <c r="U250" s="69">
        <f>RANK(Table5[[#This Row],[Consequence]],$T$62:$T$264)</f>
        <v>1</v>
      </c>
      <c r="V250" s="16"/>
      <c r="Y250" s="14">
        <v>19.4936708860759</v>
      </c>
    </row>
    <row r="251" spans="1:25" s="14" customFormat="1">
      <c r="A251" s="244">
        <v>43</v>
      </c>
      <c r="B251" s="244">
        <v>9</v>
      </c>
      <c r="C251" s="141">
        <v>634010101</v>
      </c>
      <c r="D251" s="140" t="s">
        <v>793</v>
      </c>
      <c r="E251" s="105">
        <f t="shared" si="22"/>
        <v>0</v>
      </c>
      <c r="F251" s="16">
        <v>1490.514684388889</v>
      </c>
      <c r="G251" s="70">
        <f>Table5[[#This Row],[Probability]]*Table5[[#This Row],[Consequence]]</f>
        <v>1444.4524357499042</v>
      </c>
      <c r="H251" s="16">
        <f>RANK(Table5[[#This Row],[Risk Score]],$G$62:$G$312)</f>
        <v>169</v>
      </c>
      <c r="I251" s="16">
        <f>VLOOKUP(C251,Table1[[#All],[RC]:[Total Internal Corrosion Score]],27,FALSE)</f>
        <v>34.166666666666664</v>
      </c>
      <c r="J251" s="16">
        <f>RANK(Table5[[#This Row],[INTERNAL CORROSION]],$I$62:$I$312)</f>
        <v>8</v>
      </c>
      <c r="K251" s="16">
        <f>VLOOKUP(C251,Ext.Mo!$C$2:$AK$326,35,FALSE)</f>
        <v>17.753164556962023</v>
      </c>
      <c r="L251" s="16">
        <f>RANK(Table5[[#This Row],[EXTERNAL CORROSION]],$K$62:$K$312)</f>
        <v>172</v>
      </c>
      <c r="M251" s="16">
        <f>VLOOKUP(Table5[[#This Row],[RC]],Table3[[RC]:[Total TPI Score10]],23,0)</f>
        <v>43.63636363636364</v>
      </c>
      <c r="N251" s="16">
        <f>RANK(Table5[[#This Row],[THIRD PARTY INTERFERENCE]],$M$62:$M$312)</f>
        <v>2</v>
      </c>
      <c r="O251" s="16">
        <f>VLOOKUP(Table5[[#This Row],[RC]],LGS_Mo.!$C$5:$P$322,14,0)</f>
        <v>20</v>
      </c>
      <c r="P251" s="16">
        <f>RANK(Table5[[#This Row],[Loss  of ground support]],$O$62:$O$312)</f>
        <v>15</v>
      </c>
      <c r="Q251" s="16">
        <f>(I251+K251+M251+Table5[[#This Row],[Loss  of ground support]])/4</f>
        <v>28.889048714998083</v>
      </c>
      <c r="R251" s="16">
        <f>VLOOKUP(C251,consequence!$B$2:$K$302,10,FALSE)</f>
        <v>3</v>
      </c>
      <c r="S251" s="16">
        <f>VLOOKUP(C251,consequence!B286:$K$302,9,FALSE)</f>
        <v>7</v>
      </c>
      <c r="T251" s="63">
        <f t="shared" si="19"/>
        <v>50</v>
      </c>
      <c r="U251" s="69">
        <f>RANK(Table5[[#This Row],[Consequence]],$T$62:$T$264)</f>
        <v>1</v>
      </c>
      <c r="V251" s="16"/>
      <c r="Y251" s="14">
        <v>19.4936708860759</v>
      </c>
    </row>
    <row r="252" spans="1:25" s="14" customFormat="1">
      <c r="A252" s="244">
        <v>43</v>
      </c>
      <c r="B252" s="244">
        <v>9</v>
      </c>
      <c r="C252" s="81">
        <v>6340102</v>
      </c>
      <c r="D252" s="82" t="s">
        <v>795</v>
      </c>
      <c r="E252" s="105">
        <f t="shared" si="22"/>
        <v>0</v>
      </c>
      <c r="F252" s="16">
        <v>1490.514684388889</v>
      </c>
      <c r="G252" s="70">
        <f>Table5[[#This Row],[Probability]]*Table5[[#This Row],[Consequence]]</f>
        <v>1404.6797084771767</v>
      </c>
      <c r="H252" s="16">
        <f>RANK(Table5[[#This Row],[Risk Score]],$G$62:$G$312)</f>
        <v>241</v>
      </c>
      <c r="I252" s="16">
        <f>VLOOKUP(C252,Table1[[#All],[RC]:[Total Internal Corrosion Score]],27,FALSE)</f>
        <v>34.166666666666664</v>
      </c>
      <c r="J252" s="16">
        <f>RANK(Table5[[#This Row],[INTERNAL CORROSION]],$I$62:$I$312)</f>
        <v>8</v>
      </c>
      <c r="K252" s="16">
        <f>VLOOKUP(C252,Ext.Mo!$C$2:$AK$326,35,FALSE)</f>
        <v>17.753164556962023</v>
      </c>
      <c r="L252" s="16">
        <f>RANK(Table5[[#This Row],[EXTERNAL CORROSION]],$K$62:$K$312)</f>
        <v>172</v>
      </c>
      <c r="M252" s="16">
        <f>VLOOKUP(Table5[[#This Row],[RC]],Table3[[RC]:[Total TPI Score10]],23,0)</f>
        <v>40.454545454545453</v>
      </c>
      <c r="N252" s="16">
        <f>RANK(Table5[[#This Row],[THIRD PARTY INTERFERENCE]],$M$62:$M$312)</f>
        <v>224</v>
      </c>
      <c r="O252" s="16">
        <f>VLOOKUP(Table5[[#This Row],[RC]],LGS_Mo.!$C$5:$P$322,14,0)</f>
        <v>20</v>
      </c>
      <c r="P252" s="16">
        <f>RANK(Table5[[#This Row],[Loss  of ground support]],$O$62:$O$312)</f>
        <v>15</v>
      </c>
      <c r="Q252" s="16">
        <f>(I252+K252+M252+Table5[[#This Row],[Loss  of ground support]])/4</f>
        <v>28.093594169543536</v>
      </c>
      <c r="R252" s="16">
        <f>VLOOKUP(C252,consequence!$B$2:$K$302,10,FALSE)</f>
        <v>3</v>
      </c>
      <c r="S252" s="16">
        <f>VLOOKUP(C252,consequence!B287:$K$302,9,FALSE)</f>
        <v>7</v>
      </c>
      <c r="T252" s="16">
        <f t="shared" si="19"/>
        <v>50</v>
      </c>
      <c r="U252" s="69">
        <f>RANK(Table5[[#This Row],[Consequence]],$T$62:$T$264)</f>
        <v>1</v>
      </c>
      <c r="V252" s="16"/>
      <c r="Y252" s="14">
        <v>19.4936708860759</v>
      </c>
    </row>
    <row r="253" spans="1:25" s="14" customFormat="1">
      <c r="A253" s="243">
        <v>43</v>
      </c>
      <c r="B253" s="243">
        <v>9</v>
      </c>
      <c r="C253" s="141">
        <v>65306</v>
      </c>
      <c r="D253" s="140" t="s">
        <v>346</v>
      </c>
      <c r="E253" s="105">
        <f t="shared" si="22"/>
        <v>0</v>
      </c>
      <c r="F253" s="16">
        <v>1490.514684388889</v>
      </c>
      <c r="G253" s="70">
        <f>Table5[[#This Row],[Probability]]*Table5[[#This Row],[Consequence]]</f>
        <v>1444.4524357499042</v>
      </c>
      <c r="H253" s="16">
        <f>RANK(Table5[[#This Row],[Risk Score]],$G$62:$G$312)</f>
        <v>169</v>
      </c>
      <c r="I253" s="16">
        <f>VLOOKUP(C253,Table1[[#All],[RC]:[Total Internal Corrosion Score]],27,FALSE)</f>
        <v>34.166666666666664</v>
      </c>
      <c r="J253" s="16">
        <f>RANK(Table5[[#This Row],[INTERNAL CORROSION]],$I$62:$I$312)</f>
        <v>8</v>
      </c>
      <c r="K253" s="16">
        <f>VLOOKUP(C253,Ext.Mo!$C$2:$AK$326,35,FALSE)</f>
        <v>17.753164556962023</v>
      </c>
      <c r="L253" s="16">
        <f>RANK(Table5[[#This Row],[EXTERNAL CORROSION]],$K$62:$K$312)</f>
        <v>172</v>
      </c>
      <c r="M253" s="16">
        <f>VLOOKUP(Table5[[#This Row],[RC]],Table3[[RC]:[Total TPI Score10]],23,0)</f>
        <v>43.63636363636364</v>
      </c>
      <c r="N253" s="16">
        <f>RANK(Table5[[#This Row],[THIRD PARTY INTERFERENCE]],$M$62:$M$312)</f>
        <v>2</v>
      </c>
      <c r="O253" s="16">
        <f>VLOOKUP(Table5[[#This Row],[RC]],LGS_Mo.!$C$5:$P$322,14,0)</f>
        <v>20</v>
      </c>
      <c r="P253" s="16">
        <f>RANK(Table5[[#This Row],[Loss  of ground support]],$O$62:$O$312)</f>
        <v>15</v>
      </c>
      <c r="Q253" s="16">
        <f>(I253+K253+M253+Table5[[#This Row],[Loss  of ground support]])/4</f>
        <v>28.889048714998083</v>
      </c>
      <c r="R253" s="16">
        <f>VLOOKUP(C253,consequence!$B$2:$K$302,10,FALSE)</f>
        <v>3</v>
      </c>
      <c r="S253" s="16">
        <f>VLOOKUP(C253,consequence!B288:$K$302,9,FALSE)</f>
        <v>7</v>
      </c>
      <c r="T253" s="63">
        <f t="shared" si="19"/>
        <v>50</v>
      </c>
      <c r="U253" s="69">
        <f>RANK(Table5[[#This Row],[Consequence]],$T$62:$T$264)</f>
        <v>1</v>
      </c>
      <c r="V253" s="16"/>
      <c r="Y253" s="14">
        <v>19.4936708860759</v>
      </c>
    </row>
    <row r="254" spans="1:25" s="14" customFormat="1">
      <c r="A254" s="244">
        <v>43</v>
      </c>
      <c r="B254" s="244">
        <v>9</v>
      </c>
      <c r="C254" s="81">
        <v>653050001</v>
      </c>
      <c r="D254" s="82" t="s">
        <v>801</v>
      </c>
      <c r="E254" s="105">
        <f t="shared" si="22"/>
        <v>0</v>
      </c>
      <c r="F254" s="16">
        <v>1490.514684388889</v>
      </c>
      <c r="G254" s="70">
        <f>Table5[[#This Row],[Probability]]*Table5[[#This Row],[Consequence]]</f>
        <v>1444.4524357499042</v>
      </c>
      <c r="H254" s="16">
        <f>RANK(Table5[[#This Row],[Risk Score]],$G$62:$G$312)</f>
        <v>169</v>
      </c>
      <c r="I254" s="16">
        <f>VLOOKUP(C254,Table1[[#All],[RC]:[Total Internal Corrosion Score]],27,FALSE)</f>
        <v>34.166666666666664</v>
      </c>
      <c r="J254" s="16">
        <f>RANK(Table5[[#This Row],[INTERNAL CORROSION]],$I$62:$I$312)</f>
        <v>8</v>
      </c>
      <c r="K254" s="16">
        <f>VLOOKUP(C254,Ext.Mo!$C$2:$AK$326,35,FALSE)</f>
        <v>17.753164556962023</v>
      </c>
      <c r="L254" s="16">
        <f>RANK(Table5[[#This Row],[EXTERNAL CORROSION]],$K$62:$K$312)</f>
        <v>172</v>
      </c>
      <c r="M254" s="16">
        <f>VLOOKUP(Table5[[#This Row],[RC]],Table3[[RC]:[Total TPI Score10]],23,0)</f>
        <v>43.63636363636364</v>
      </c>
      <c r="N254" s="16">
        <f>RANK(Table5[[#This Row],[THIRD PARTY INTERFERENCE]],$M$62:$M$312)</f>
        <v>2</v>
      </c>
      <c r="O254" s="16">
        <f>VLOOKUP(Table5[[#This Row],[RC]],LGS_Mo.!$C$5:$P$322,14,0)</f>
        <v>20</v>
      </c>
      <c r="P254" s="16">
        <f>RANK(Table5[[#This Row],[Loss  of ground support]],$O$62:$O$312)</f>
        <v>15</v>
      </c>
      <c r="Q254" s="16">
        <f>(I254+K254+M254+Table5[[#This Row],[Loss  of ground support]])/4</f>
        <v>28.889048714998083</v>
      </c>
      <c r="R254" s="16">
        <f>VLOOKUP(C254,consequence!$B$2:$K$302,10,FALSE)</f>
        <v>3</v>
      </c>
      <c r="S254" s="16">
        <f>VLOOKUP(C254,consequence!B289:$K$302,9,FALSE)</f>
        <v>7</v>
      </c>
      <c r="T254" s="16">
        <f t="shared" si="19"/>
        <v>50</v>
      </c>
      <c r="U254" s="69">
        <f>RANK(Table5[[#This Row],[Consequence]],$T$62:$T$264)</f>
        <v>1</v>
      </c>
      <c r="V254" s="16"/>
      <c r="Y254" s="14">
        <v>19.4936708860759</v>
      </c>
    </row>
    <row r="255" spans="1:25" s="14" customFormat="1">
      <c r="A255" s="244">
        <v>43</v>
      </c>
      <c r="B255" s="244">
        <v>9</v>
      </c>
      <c r="C255" s="81">
        <v>653050002</v>
      </c>
      <c r="D255" s="82" t="s">
        <v>803</v>
      </c>
      <c r="E255" s="105">
        <f t="shared" si="22"/>
        <v>0</v>
      </c>
      <c r="F255" s="16">
        <v>1490.514684388889</v>
      </c>
      <c r="G255" s="70">
        <f>Table5[[#This Row],[Probability]]*Table5[[#This Row],[Consequence]]</f>
        <v>1444.4524357499042</v>
      </c>
      <c r="H255" s="16">
        <f>RANK(Table5[[#This Row],[Risk Score]],$G$62:$G$312)</f>
        <v>169</v>
      </c>
      <c r="I255" s="16">
        <f>VLOOKUP(C255,Table1[[#All],[RC]:[Total Internal Corrosion Score]],27,FALSE)</f>
        <v>34.166666666666664</v>
      </c>
      <c r="J255" s="16">
        <f>RANK(Table5[[#This Row],[INTERNAL CORROSION]],$I$62:$I$312)</f>
        <v>8</v>
      </c>
      <c r="K255" s="16">
        <f>VLOOKUP(C255,Ext.Mo!$C$2:$AK$326,35,FALSE)</f>
        <v>17.753164556962023</v>
      </c>
      <c r="L255" s="16">
        <f>RANK(Table5[[#This Row],[EXTERNAL CORROSION]],$K$62:$K$312)</f>
        <v>172</v>
      </c>
      <c r="M255" s="16">
        <f>VLOOKUP(Table5[[#This Row],[RC]],Table3[[RC]:[Total TPI Score10]],23,0)</f>
        <v>43.63636363636364</v>
      </c>
      <c r="N255" s="16">
        <f>RANK(Table5[[#This Row],[THIRD PARTY INTERFERENCE]],$M$62:$M$312)</f>
        <v>2</v>
      </c>
      <c r="O255" s="16">
        <f>VLOOKUP(Table5[[#This Row],[RC]],LGS_Mo.!$C$5:$P$322,14,0)</f>
        <v>20</v>
      </c>
      <c r="P255" s="16">
        <f>RANK(Table5[[#This Row],[Loss  of ground support]],$O$62:$O$312)</f>
        <v>15</v>
      </c>
      <c r="Q255" s="16">
        <f>(I255+K255+M255+Table5[[#This Row],[Loss  of ground support]])/4</f>
        <v>28.889048714998083</v>
      </c>
      <c r="R255" s="16">
        <f>VLOOKUP(C255,consequence!$B$2:$K$302,10,FALSE)</f>
        <v>3</v>
      </c>
      <c r="S255" s="16">
        <f>VLOOKUP(C255,consequence!B290:$K$302,9,FALSE)</f>
        <v>7</v>
      </c>
      <c r="T255" s="63">
        <f t="shared" si="19"/>
        <v>50</v>
      </c>
      <c r="U255" s="69">
        <f>RANK(Table5[[#This Row],[Consequence]],$T$62:$T$264)</f>
        <v>1</v>
      </c>
      <c r="V255" s="16"/>
      <c r="Y255" s="14">
        <v>19.4936708860759</v>
      </c>
    </row>
    <row r="256" spans="1:25" s="14" customFormat="1">
      <c r="A256" s="244">
        <v>43</v>
      </c>
      <c r="B256" s="244">
        <v>9</v>
      </c>
      <c r="C256" s="141">
        <v>653060001</v>
      </c>
      <c r="D256" s="140" t="s">
        <v>346</v>
      </c>
      <c r="E256" s="105">
        <f t="shared" si="22"/>
        <v>0</v>
      </c>
      <c r="F256" s="16">
        <v>1490.514684388889</v>
      </c>
      <c r="G256" s="70">
        <f>Table5[[#This Row],[Probability]]*Table5[[#This Row],[Consequence]]</f>
        <v>1444.4524357499042</v>
      </c>
      <c r="H256" s="16">
        <f>RANK(Table5[[#This Row],[Risk Score]],$G$62:$G$312)</f>
        <v>169</v>
      </c>
      <c r="I256" s="16">
        <f>VLOOKUP(C256,Table1[[#All],[RC]:[Total Internal Corrosion Score]],27,FALSE)</f>
        <v>34.166666666666664</v>
      </c>
      <c r="J256" s="16">
        <f>RANK(Table5[[#This Row],[INTERNAL CORROSION]],$I$62:$I$312)</f>
        <v>8</v>
      </c>
      <c r="K256" s="16">
        <f>VLOOKUP(C256,Ext.Mo!$C$2:$AK$326,35,FALSE)</f>
        <v>17.753164556962023</v>
      </c>
      <c r="L256" s="16">
        <f>RANK(Table5[[#This Row],[EXTERNAL CORROSION]],$K$62:$K$312)</f>
        <v>172</v>
      </c>
      <c r="M256" s="16">
        <f>VLOOKUP(Table5[[#This Row],[RC]],Table3[[RC]:[Total TPI Score10]],23,0)</f>
        <v>43.63636363636364</v>
      </c>
      <c r="N256" s="16">
        <f>RANK(Table5[[#This Row],[THIRD PARTY INTERFERENCE]],$M$62:$M$312)</f>
        <v>2</v>
      </c>
      <c r="O256" s="16">
        <f>VLOOKUP(Table5[[#This Row],[RC]],LGS_Mo.!$C$5:$P$322,14,0)</f>
        <v>20</v>
      </c>
      <c r="P256" s="16">
        <f>RANK(Table5[[#This Row],[Loss  of ground support]],$O$62:$O$312)</f>
        <v>15</v>
      </c>
      <c r="Q256" s="16">
        <f>(I256+K256+M256+Table5[[#This Row],[Loss  of ground support]])/4</f>
        <v>28.889048714998083</v>
      </c>
      <c r="R256" s="16">
        <f>VLOOKUP(C256,consequence!$B$2:$K$302,10,FALSE)</f>
        <v>3</v>
      </c>
      <c r="S256" s="16">
        <f>VLOOKUP(C256,consequence!B291:$K$302,9,FALSE)</f>
        <v>7</v>
      </c>
      <c r="T256" s="16">
        <f t="shared" si="19"/>
        <v>50</v>
      </c>
      <c r="U256" s="69">
        <f>RANK(Table5[[#This Row],[Consequence]],$T$62:$T$264)</f>
        <v>1</v>
      </c>
      <c r="V256" s="16"/>
      <c r="Y256" s="14">
        <v>19.4936708860759</v>
      </c>
    </row>
    <row r="257" spans="1:25">
      <c r="A257" s="84">
        <v>43</v>
      </c>
      <c r="B257" s="80">
        <v>9</v>
      </c>
      <c r="C257" s="81">
        <v>6523</v>
      </c>
      <c r="D257" s="82" t="s">
        <v>781</v>
      </c>
      <c r="E257" s="105">
        <f>F465</f>
        <v>0</v>
      </c>
      <c r="F257" s="16">
        <v>1490.514684388889</v>
      </c>
      <c r="G257" s="70">
        <f>Table5[[#This Row],[Probability]]*Table5[[#This Row],[Consequence]]</f>
        <v>1841.208753787879</v>
      </c>
      <c r="H257" s="16">
        <f>RANK(Table5[[#This Row],[Risk Score]],$G$62:$G$312)</f>
        <v>1</v>
      </c>
      <c r="I257" s="16">
        <f>VLOOKUP(C257,Table1[[#All],[RC]:[Total Internal Corrosion Score]],27,FALSE)</f>
        <v>34.166666666666664</v>
      </c>
      <c r="J257" s="16">
        <f>RANK(Table5[[#This Row],[INTERNAL CORROSION]],$I$62:$I$312)</f>
        <v>8</v>
      </c>
      <c r="K257" s="16">
        <f>VLOOKUP(C257,Ext.Mo!$C$2:$AK$326,35,FALSE)</f>
        <v>19.493670000000002</v>
      </c>
      <c r="L257" s="16">
        <f>RANK(Table5[[#This Row],[EXTERNAL CORROSION]],$K$62:$K$312)</f>
        <v>3</v>
      </c>
      <c r="M257" s="16">
        <f>VLOOKUP(Table5[[#This Row],[RC]],Table3[[RC]:[Total TPI Score10]],23,0)</f>
        <v>43.63636363636364</v>
      </c>
      <c r="N257" s="16">
        <f>RANK(Table5[[#This Row],[THIRD PARTY INTERFERENCE]],$M$62:$M$312)</f>
        <v>2</v>
      </c>
      <c r="O257" s="16">
        <f>VLOOKUP(Table5[[#This Row],[RC]],LGS_Mo.!$C$5:$P$322,14,0)</f>
        <v>50</v>
      </c>
      <c r="P257" s="16">
        <f>RANK(Table5[[#This Row],[Loss  of ground support]],$O$62:$O$312)</f>
        <v>1</v>
      </c>
      <c r="Q257" s="16">
        <f>(I257+K257+M257+Table5[[#This Row],[Loss  of ground support]])/4</f>
        <v>36.82417507575758</v>
      </c>
      <c r="R257" s="16">
        <f>VLOOKUP(C257,consequence!$B$2:$K$302,10,FALSE)</f>
        <v>3</v>
      </c>
      <c r="S257" s="16">
        <f>VLOOKUP(C257,consequence!B255:$K$302,9,FALSE)</f>
        <v>7</v>
      </c>
      <c r="T257" s="16">
        <f>((R257*5)+(S257*5))</f>
        <v>50</v>
      </c>
      <c r="U257" s="69">
        <f>RANK(Table5[[#This Row],[Consequence]],$T$62:$T$264)</f>
        <v>1</v>
      </c>
      <c r="V257" s="16"/>
      <c r="X257" s="14">
        <f>J584</f>
        <v>0</v>
      </c>
      <c r="Y257" s="14">
        <v>19.493670886075947</v>
      </c>
    </row>
    <row r="258" spans="1:25">
      <c r="A258" s="84">
        <v>44</v>
      </c>
      <c r="B258" s="84">
        <v>1</v>
      </c>
      <c r="C258" s="81">
        <v>4023</v>
      </c>
      <c r="D258" s="82" t="s">
        <v>231</v>
      </c>
      <c r="E258" s="57" t="e">
        <f>E62</f>
        <v>#REF!</v>
      </c>
      <c r="F258" s="16">
        <v>1490.514684388889</v>
      </c>
      <c r="G258" s="16">
        <f>Table5[[#This Row],[Probability]]*Table5[[#This Row],[Consequence]]</f>
        <v>1466.208764863828</v>
      </c>
      <c r="H258" s="16">
        <f>RANK(Table5[[#This Row],[Risk Score]],$G$62:$G$312)</f>
        <v>22</v>
      </c>
      <c r="I258" s="16">
        <f>VLOOKUP(C258,Table1[[#All],[RC]:[Total Internal Corrosion Score]],27,FALSE)</f>
        <v>34.166666666666664</v>
      </c>
      <c r="J258" s="16">
        <f>RANK(Table5[[#This Row],[INTERNAL CORROSION]],$I$62:$I$312)</f>
        <v>8</v>
      </c>
      <c r="K258" s="16">
        <f>VLOOKUP(C258,Ext.Mo!$C$2:$AK$326,35,FALSE)</f>
        <v>19.493670886075947</v>
      </c>
      <c r="L258" s="16">
        <f>RANK(Table5[[#This Row],[EXTERNAL CORROSION]],$K$62:$K$312)</f>
        <v>2</v>
      </c>
      <c r="M258" s="16">
        <f>VLOOKUP(Table5[[#This Row],[RC]],Table3[[RC]:[Total TPI Score10]],23,0)</f>
        <v>43.63636363636364</v>
      </c>
      <c r="N258" s="16">
        <f>RANK(Table5[[#This Row],[THIRD PARTY INTERFERENCE]],$M$62:$M$312)</f>
        <v>2</v>
      </c>
      <c r="O258" s="16">
        <f>VLOOKUP(Table5[[#This Row],[RC]],LGS_Mo.!$C$5:$P$322,14,0)</f>
        <v>20</v>
      </c>
      <c r="P258" s="16">
        <f>RANK(Table5[[#This Row],[Loss  of ground support]],$O$62:$O$312)</f>
        <v>15</v>
      </c>
      <c r="Q258" s="16">
        <f>(I258+K258+M258+Table5[[#This Row],[Loss  of ground support]])/4</f>
        <v>29.324175297276561</v>
      </c>
      <c r="R258" s="16">
        <f>VLOOKUP(C258,consequence!$B$2:$K$302,10,FALSE)</f>
        <v>3</v>
      </c>
      <c r="S258" s="16">
        <f>VLOOKUP(C258,consequence!B3:$K$302,9,FALSE)</f>
        <v>7</v>
      </c>
      <c r="T258" s="16">
        <f t="shared" si="19"/>
        <v>50</v>
      </c>
      <c r="U258" s="16">
        <f>RANK(Table5[[#This Row],[Consequence]],$T$62:$T$264)</f>
        <v>1</v>
      </c>
      <c r="V258" s="16"/>
      <c r="X258" t="e">
        <f>#REF!</f>
        <v>#REF!</v>
      </c>
      <c r="Y258" s="14">
        <v>19.493670886075947</v>
      </c>
    </row>
    <row r="259" spans="1:25">
      <c r="A259" s="29">
        <v>44</v>
      </c>
      <c r="B259" s="29">
        <v>1</v>
      </c>
      <c r="C259" s="26">
        <v>40231</v>
      </c>
      <c r="D259" s="27" t="s">
        <v>236</v>
      </c>
      <c r="E259" s="57" t="e">
        <f>E180</f>
        <v>#REF!</v>
      </c>
      <c r="F259" s="16">
        <v>1490.514684388889</v>
      </c>
      <c r="G259" s="16">
        <f>Table5[[#This Row],[Probability]]*Table5[[#This Row],[Consequence]]</f>
        <v>1412.8068661296511</v>
      </c>
      <c r="H259" s="16">
        <f>RANK(Table5[[#This Row],[Risk Score]],$G$62:$G$312)</f>
        <v>207</v>
      </c>
      <c r="I259" s="16">
        <f>VLOOKUP(C259,Table1[[#All],[RC]:[Total Internal Corrosion Score]],27,FALSE)</f>
        <v>34.166666666666664</v>
      </c>
      <c r="J259" s="16">
        <f>RANK(Table5[[#This Row],[INTERNAL CORROSION]],$I$62:$I$312)</f>
        <v>8</v>
      </c>
      <c r="K259" s="16">
        <f>VLOOKUP(C259,Ext.Mo!$C$2:$AK$326,35,FALSE)</f>
        <v>15.221518987341771</v>
      </c>
      <c r="L259" s="16">
        <f>RANK(Table5[[#This Row],[EXTERNAL CORROSION]],$K$62:$K$312)</f>
        <v>211</v>
      </c>
      <c r="M259" s="16">
        <f>VLOOKUP(Table5[[#This Row],[RC]],Table3[[RC]:[Total TPI Score10]],23,0)</f>
        <v>43.63636363636364</v>
      </c>
      <c r="N259" s="16">
        <f>RANK(Table5[[#This Row],[THIRD PARTY INTERFERENCE]],$M$62:$M$312)</f>
        <v>2</v>
      </c>
      <c r="O259" s="16">
        <f>VLOOKUP(Table5[[#This Row],[RC]],LGS_Mo.!$C$5:$P$322,14,0)</f>
        <v>20</v>
      </c>
      <c r="P259" s="16">
        <f>RANK(Table5[[#This Row],[Loss  of ground support]],$O$62:$O$312)</f>
        <v>15</v>
      </c>
      <c r="Q259" s="16">
        <f>(I259+K259+M259+Table5[[#This Row],[Loss  of ground support]])/4</f>
        <v>28.25613732259302</v>
      </c>
      <c r="R259" s="16">
        <f>VLOOKUP(C259,consequence!$B$2:$K$302,10,FALSE)</f>
        <v>3</v>
      </c>
      <c r="S259" s="16">
        <f>VLOOKUP(C259,consequence!B16:$K$302,9,FALSE)</f>
        <v>7</v>
      </c>
      <c r="T259" s="16">
        <f t="shared" si="19"/>
        <v>50</v>
      </c>
      <c r="U259" s="16">
        <f>RANK(Table5[[#This Row],[Consequence]],$T$62:$T$264)</f>
        <v>1</v>
      </c>
      <c r="V259" s="16"/>
      <c r="X259" s="14">
        <f>J327</f>
        <v>0</v>
      </c>
      <c r="Y259" s="14">
        <v>19.493670886075947</v>
      </c>
    </row>
    <row r="260" spans="1:25">
      <c r="A260" s="80">
        <v>44</v>
      </c>
      <c r="B260" s="80">
        <v>1</v>
      </c>
      <c r="C260" s="81">
        <v>402330206</v>
      </c>
      <c r="D260" s="82" t="s">
        <v>613</v>
      </c>
      <c r="E260" s="57" t="e">
        <f>E155</f>
        <v>#REF!</v>
      </c>
      <c r="F260" s="16">
        <v>1490.514684388889</v>
      </c>
      <c r="G260" s="16">
        <f>Table5[[#This Row],[Probability]]*Table5[[#This Row],[Consequence]]</f>
        <v>1373.0341388569236</v>
      </c>
      <c r="H260" s="16">
        <f>RANK(Table5[[#This Row],[Risk Score]],$G$62:$G$312)</f>
        <v>245</v>
      </c>
      <c r="I260" s="16">
        <f>VLOOKUP(C260,Table1[[#All],[RC]:[Total Internal Corrosion Score]],27,FALSE)</f>
        <v>34.166666666666664</v>
      </c>
      <c r="J260" s="16">
        <f>RANK(Table5[[#This Row],[INTERNAL CORROSION]],$I$62:$I$312)</f>
        <v>8</v>
      </c>
      <c r="K260" s="16">
        <f>VLOOKUP(C260,Ext.Mo!$C$2:$AK$326,35,FALSE)</f>
        <v>15.221518987341771</v>
      </c>
      <c r="L260" s="16">
        <f>RANK(Table5[[#This Row],[EXTERNAL CORROSION]],$K$62:$K$312)</f>
        <v>211</v>
      </c>
      <c r="M260" s="16">
        <f>VLOOKUP(Table5[[#This Row],[RC]],Table3[[RC]:[Total TPI Score10]],23,0)</f>
        <v>40.454545454545453</v>
      </c>
      <c r="N260" s="16">
        <f>RANK(Table5[[#This Row],[THIRD PARTY INTERFERENCE]],$M$62:$M$312)</f>
        <v>224</v>
      </c>
      <c r="O260" s="16">
        <f>VLOOKUP(Table5[[#This Row],[RC]],LGS_Mo.!$C$5:$P$322,14,0)</f>
        <v>20</v>
      </c>
      <c r="P260" s="16">
        <f>RANK(Table5[[#This Row],[Loss  of ground support]],$O$62:$O$312)</f>
        <v>15</v>
      </c>
      <c r="Q260" s="16">
        <f>(I260+K260+M260+Table5[[#This Row],[Loss  of ground support]])/4</f>
        <v>27.460682777138473</v>
      </c>
      <c r="R260" s="16">
        <f>VLOOKUP(C260,consequence!$B$2:$K$302,10,FALSE)</f>
        <v>3</v>
      </c>
      <c r="S260" s="16">
        <f>VLOOKUP(C260,consequence!B18:$K$302,9,FALSE)</f>
        <v>7</v>
      </c>
      <c r="T260" s="16">
        <f t="shared" si="19"/>
        <v>50</v>
      </c>
      <c r="U260" s="16">
        <f>RANK(Table5[[#This Row],[Consequence]],$T$62:$T$264)</f>
        <v>1</v>
      </c>
      <c r="V260" s="16"/>
      <c r="X260" s="14">
        <f>J329</f>
        <v>0</v>
      </c>
      <c r="Y260" s="14">
        <v>19.493670886075947</v>
      </c>
    </row>
    <row r="261" spans="1:25" s="9" customFormat="1">
      <c r="A261" s="80">
        <v>44</v>
      </c>
      <c r="B261" s="80">
        <v>1</v>
      </c>
      <c r="C261" s="81">
        <v>40231</v>
      </c>
      <c r="D261" s="82" t="s">
        <v>591</v>
      </c>
      <c r="E261" s="57" t="e">
        <f>E160</f>
        <v>#REF!</v>
      </c>
      <c r="F261" s="16">
        <v>1490.514684388889</v>
      </c>
      <c r="G261" s="16">
        <f>Table5[[#This Row],[Probability]]*Table5[[#This Row],[Consequence]]</f>
        <v>1412.8068661296511</v>
      </c>
      <c r="H261" s="16">
        <f>RANK(Table5[[#This Row],[Risk Score]],$G$62:$G$312)</f>
        <v>207</v>
      </c>
      <c r="I261" s="16">
        <f>VLOOKUP(C261,Table1[[#All],[RC]:[Total Internal Corrosion Score]],27,FALSE)</f>
        <v>34.166666666666664</v>
      </c>
      <c r="J261" s="16">
        <f>RANK(Table5[[#This Row],[INTERNAL CORROSION]],$I$62:$I$312)</f>
        <v>8</v>
      </c>
      <c r="K261" s="16">
        <f>VLOOKUP(C261,Ext.Mo!$C$2:$AK$326,35,FALSE)</f>
        <v>15.221518987341771</v>
      </c>
      <c r="L261" s="16">
        <f>RANK(Table5[[#This Row],[EXTERNAL CORROSION]],$K$62:$K$312)</f>
        <v>211</v>
      </c>
      <c r="M261" s="16">
        <f>VLOOKUP(Table5[[#This Row],[RC]],Table3[[RC]:[Total TPI Score10]],23,0)</f>
        <v>43.63636363636364</v>
      </c>
      <c r="N261" s="9">
        <f>RANK(Table5[[#This Row],[THIRD PARTY INTERFERENCE]],$M$62:$M$312)</f>
        <v>2</v>
      </c>
      <c r="O261" s="9">
        <f>VLOOKUP(Table5[[#This Row],[RC]],LGS_Mo.!$C$5:$P$322,14,0)</f>
        <v>20</v>
      </c>
      <c r="P261" s="9">
        <f>RANK(Table5[[#This Row],[Loss  of ground support]],$O$62:$O$312)</f>
        <v>15</v>
      </c>
      <c r="Q261" s="9">
        <f>(I261+K261+M261+Table5[[#This Row],[Loss  of ground support]])/4</f>
        <v>28.25613732259302</v>
      </c>
      <c r="R261" s="9">
        <v>7</v>
      </c>
      <c r="S261" s="9">
        <v>3</v>
      </c>
      <c r="T261" s="9">
        <f t="shared" si="19"/>
        <v>50</v>
      </c>
      <c r="U261" s="9">
        <f>RANK(Table5[[#This Row],[Consequence]],$T$62:$T$264)</f>
        <v>1</v>
      </c>
      <c r="X261" s="14">
        <f>J339</f>
        <v>0</v>
      </c>
      <c r="Y261" s="14">
        <v>19.493670886075947</v>
      </c>
    </row>
    <row r="262" spans="1:25" s="9" customFormat="1">
      <c r="A262" s="84">
        <v>45</v>
      </c>
      <c r="B262" s="84">
        <v>6</v>
      </c>
      <c r="C262" s="81">
        <v>617801</v>
      </c>
      <c r="D262" s="82" t="s">
        <v>331</v>
      </c>
      <c r="E262" s="105">
        <f>F450</f>
        <v>0</v>
      </c>
      <c r="F262" s="16">
        <v>1490.514684388889</v>
      </c>
      <c r="G262" s="70">
        <f>Table5[[#This Row],[Probability]]*Table5[[#This Row],[Consequence]]</f>
        <v>1459.2643093434344</v>
      </c>
      <c r="H262" s="16">
        <f>RANK(Table5[[#This Row],[Risk Score]],$G$62:$G$312)</f>
        <v>130</v>
      </c>
      <c r="I262" s="16">
        <f>VLOOKUP(C262,Table1[[#All],[RC]:[Total Internal Corrosion Score]],27,FALSE)</f>
        <v>33.611111111111107</v>
      </c>
      <c r="J262" s="16">
        <f>RANK(Table5[[#This Row],[INTERNAL CORROSION]],$I$62:$I$312)</f>
        <v>208</v>
      </c>
      <c r="K262" s="16">
        <f>VLOOKUP(C262,Ext.Mo!$C$2:$AK$326,35,FALSE)</f>
        <v>19.493670000000002</v>
      </c>
      <c r="L262" s="16">
        <f>RANK(Table5[[#This Row],[EXTERNAL CORROSION]],$K$62:$K$312)</f>
        <v>3</v>
      </c>
      <c r="M262" s="16">
        <f>VLOOKUP(Table5[[#This Row],[RC]],Table3[[RC]:[Total TPI Score10]],23,0)</f>
        <v>43.63636363636364</v>
      </c>
      <c r="N262" s="16">
        <f>RANK(Table5[[#This Row],[THIRD PARTY INTERFERENCE]],$M$62:$M$312)</f>
        <v>2</v>
      </c>
      <c r="O262" s="16">
        <f>VLOOKUP(Table5[[#This Row],[RC]],LGS_Mo.!$C$5:$P$322,14,0)</f>
        <v>20</v>
      </c>
      <c r="P262" s="16">
        <f>RANK(Table5[[#This Row],[Loss  of ground support]],$O$62:$O$312)</f>
        <v>15</v>
      </c>
      <c r="Q262" s="16">
        <f>(I262+K262+M262+Table5[[#This Row],[Loss  of ground support]])/4</f>
        <v>29.185286186868687</v>
      </c>
      <c r="R262" s="16">
        <f>VLOOKUP(C262,consequence!$B$2:$K$302,10,FALSE)</f>
        <v>3</v>
      </c>
      <c r="S262" s="16">
        <f>VLOOKUP(C262,consequence!B240:$K$302,9,FALSE)</f>
        <v>7</v>
      </c>
      <c r="T262" s="63">
        <f t="shared" si="19"/>
        <v>50</v>
      </c>
      <c r="U262" s="69">
        <f>RANK(Table5[[#This Row],[Consequence]],$T$62:$T$264)</f>
        <v>1</v>
      </c>
      <c r="V262" s="16"/>
      <c r="X262" s="14">
        <f>J569</f>
        <v>0</v>
      </c>
      <c r="Y262" s="14">
        <v>19.493670886075947</v>
      </c>
    </row>
    <row r="263" spans="1:25">
      <c r="A263" s="84">
        <v>45</v>
      </c>
      <c r="B263" s="84">
        <v>9</v>
      </c>
      <c r="C263" s="81">
        <v>620</v>
      </c>
      <c r="D263" s="82" t="s">
        <v>340</v>
      </c>
      <c r="E263" s="105">
        <f>F462</f>
        <v>0</v>
      </c>
      <c r="F263" s="16">
        <v>1490.514684388889</v>
      </c>
      <c r="G263" s="70">
        <f>Table5[[#This Row],[Probability]]*Table5[[#This Row],[Consequence]]</f>
        <v>1453.8981477272728</v>
      </c>
      <c r="H263" s="16">
        <f>RANK(Table5[[#This Row],[Risk Score]],$G$62:$G$312)</f>
        <v>168</v>
      </c>
      <c r="I263" s="16">
        <f>VLOOKUP(C263,Table1[[#All],[RC]:[Total Internal Corrosion Score]],27,FALSE)</f>
        <v>34.999999999999993</v>
      </c>
      <c r="J263" s="16">
        <f>RANK(Table5[[#This Row],[INTERNAL CORROSION]],$I$62:$I$312)</f>
        <v>1</v>
      </c>
      <c r="K263" s="16">
        <f>VLOOKUP(C263,Ext.Mo!$C$2:$AK$326,35,FALSE)</f>
        <v>19.493670000000002</v>
      </c>
      <c r="L263" s="16">
        <f>RANK(Table5[[#This Row],[EXTERNAL CORROSION]],$K$62:$K$312)</f>
        <v>3</v>
      </c>
      <c r="M263" s="16">
        <f>VLOOKUP(Table5[[#This Row],[RC]],Table3[[RC]:[Total TPI Score10]],23,0)</f>
        <v>41.81818181818182</v>
      </c>
      <c r="N263" s="9">
        <f>RANK(Table5[[#This Row],[THIRD PARTY INTERFERENCE]],$M$62:$M$312)</f>
        <v>223</v>
      </c>
      <c r="O263" s="9">
        <f>VLOOKUP(Table5[[#This Row],[RC]],LGS_Mo.!$C$5:$P$322,14,0)</f>
        <v>20</v>
      </c>
      <c r="P263" s="9">
        <f>RANK(Table5[[#This Row],[Loss  of ground support]],$O$62:$O$312)</f>
        <v>15</v>
      </c>
      <c r="Q263" s="9">
        <f>(I263+K263+M263+Table5[[#This Row],[Loss  of ground support]])/4</f>
        <v>29.077962954545455</v>
      </c>
      <c r="R263" s="9">
        <f>VLOOKUP(C263,consequence!$B$2:$K$302,10,FALSE)</f>
        <v>3</v>
      </c>
      <c r="S263" s="9">
        <f>VLOOKUP(C263,consequence!B252:$K$302,9,FALSE)</f>
        <v>7</v>
      </c>
      <c r="T263" s="115">
        <f t="shared" si="19"/>
        <v>50</v>
      </c>
      <c r="U263" s="116">
        <f>RANK(Table5[[#This Row],[Consequence]],$T$62:$T$264)</f>
        <v>1</v>
      </c>
      <c r="V263" s="9"/>
      <c r="X263" s="14">
        <f>J581</f>
        <v>0</v>
      </c>
      <c r="Y263" s="14">
        <v>19.493670886075947</v>
      </c>
    </row>
    <row r="264" spans="1:25" ht="25.5">
      <c r="A264" s="84">
        <v>45</v>
      </c>
      <c r="B264" s="84">
        <v>9</v>
      </c>
      <c r="C264" s="81">
        <v>6203</v>
      </c>
      <c r="D264" s="82" t="s">
        <v>342</v>
      </c>
      <c r="E264" s="105">
        <f>F469</f>
        <v>0</v>
      </c>
      <c r="F264" s="16">
        <v>1490.514684388889</v>
      </c>
      <c r="G264" s="70">
        <f>Table5[[#This Row],[Probability]]*Table5[[#This Row],[Consequence]]</f>
        <v>1476.6254204545455</v>
      </c>
      <c r="H264" s="16">
        <f>RANK(Table5[[#This Row],[Risk Score]],$G$62:$G$312)</f>
        <v>16</v>
      </c>
      <c r="I264" s="16">
        <f>VLOOKUP(C264,Table1[[#All],[RC]:[Total Internal Corrosion Score]],27,FALSE)</f>
        <v>34.999999999999993</v>
      </c>
      <c r="J264" s="16">
        <f>RANK(Table5[[#This Row],[INTERNAL CORROSION]],$I$62:$I$312)</f>
        <v>1</v>
      </c>
      <c r="K264" s="16">
        <f>VLOOKUP(C264,Ext.Mo!$C$2:$AK$326,35,FALSE)</f>
        <v>19.493670000000002</v>
      </c>
      <c r="L264" s="16">
        <f>RANK(Table5[[#This Row],[EXTERNAL CORROSION]],$K$62:$K$312)</f>
        <v>3</v>
      </c>
      <c r="M264" s="16">
        <f>VLOOKUP(Table5[[#This Row],[RC]],Table3[[RC]:[Total TPI Score10]],23,0)</f>
        <v>43.63636363636364</v>
      </c>
      <c r="N264" s="16">
        <f>RANK(Table5[[#This Row],[THIRD PARTY INTERFERENCE]],$M$62:$M$312)</f>
        <v>2</v>
      </c>
      <c r="O264" s="16">
        <f>VLOOKUP(Table5[[#This Row],[RC]],LGS_Mo.!$C$5:$P$322,14,0)</f>
        <v>20</v>
      </c>
      <c r="P264" s="16">
        <f>RANK(Table5[[#This Row],[Loss  of ground support]],$O$62:$O$312)</f>
        <v>15</v>
      </c>
      <c r="Q264" s="16">
        <f>(I264+K264+M264+Table5[[#This Row],[Loss  of ground support]])/4</f>
        <v>29.532508409090909</v>
      </c>
      <c r="R264" s="16">
        <f>VLOOKUP(C264,consequence!$B$2:$K$302,10,FALSE)</f>
        <v>3</v>
      </c>
      <c r="S264" s="16">
        <f>VLOOKUP(C264,consequence!B259:$K$302,9,FALSE)</f>
        <v>7</v>
      </c>
      <c r="T264" s="16">
        <f t="shared" ref="T264:T311" si="23">((R264*5)+(S264*5))</f>
        <v>50</v>
      </c>
      <c r="U264" s="69">
        <f>RANK(Table5[[#This Row],[Consequence]],$T$62:$T$264)</f>
        <v>1</v>
      </c>
      <c r="V264" s="16"/>
      <c r="X264" s="14">
        <f>J588</f>
        <v>0</v>
      </c>
      <c r="Y264" s="14">
        <v>19.493670886075947</v>
      </c>
    </row>
    <row r="265" spans="1:25" s="14" customFormat="1">
      <c r="A265" s="243">
        <v>45</v>
      </c>
      <c r="B265" s="243">
        <v>9</v>
      </c>
      <c r="C265" s="81">
        <v>6203004</v>
      </c>
      <c r="D265" s="82" t="s">
        <v>348</v>
      </c>
      <c r="E265" s="105">
        <f>F503</f>
        <v>0</v>
      </c>
      <c r="F265" s="16">
        <v>1490.514684388889</v>
      </c>
      <c r="G265" s="70">
        <f>Table5[[#This Row],[Probability]]*Table5[[#This Row],[Consequence]]</f>
        <v>1442.4745876486384</v>
      </c>
      <c r="H265" s="16">
        <f>RANK(Table5[[#This Row],[Risk Score]],$G$62:$G$312)</f>
        <v>190</v>
      </c>
      <c r="I265" s="16">
        <f>VLOOKUP(C265,Table1[[#All],[RC]:[Total Internal Corrosion Score]],27,FALSE)</f>
        <v>34.166666666666664</v>
      </c>
      <c r="J265" s="16">
        <f>RANK(Table5[[#This Row],[INTERNAL CORROSION]],$I$62:$I$312)</f>
        <v>8</v>
      </c>
      <c r="K265" s="16">
        <f>VLOOKUP(C265,Ext.Mo!$C$2:$AK$326,35,FALSE)</f>
        <v>17.594936708860757</v>
      </c>
      <c r="L265" s="16">
        <f>RANK(Table5[[#This Row],[EXTERNAL CORROSION]],$K$62:$K$312)</f>
        <v>210</v>
      </c>
      <c r="M265" s="16">
        <f>VLOOKUP(Table5[[#This Row],[RC]],Table3[[RC]:[Total TPI Score10]],23,0)</f>
        <v>43.63636363636364</v>
      </c>
      <c r="N265" s="16">
        <f>RANK(Table5[[#This Row],[THIRD PARTY INTERFERENCE]],$M$62:$M$312)</f>
        <v>2</v>
      </c>
      <c r="O265" s="16">
        <f>VLOOKUP(Table5[[#This Row],[RC]],LGS_Mo.!$C$5:$P$322,14,0)</f>
        <v>20</v>
      </c>
      <c r="P265" s="16">
        <f>RANK(Table5[[#This Row],[Loss  of ground support]],$O$62:$O$312)</f>
        <v>15</v>
      </c>
      <c r="Q265" s="16">
        <f>(I265+K265+M265+Table5[[#This Row],[Loss  of ground support]])/4</f>
        <v>28.849491752972767</v>
      </c>
      <c r="R265" s="16">
        <f>VLOOKUP(C265,consequence!$B$2:$K$302,10,FALSE)</f>
        <v>3</v>
      </c>
      <c r="S265" s="16">
        <f>VLOOKUP(C265,consequence!B293:$K$302,9,FALSE)</f>
        <v>7</v>
      </c>
      <c r="T265" s="16">
        <f t="shared" si="23"/>
        <v>50</v>
      </c>
      <c r="U265" s="69">
        <f>RANK(Table5[[#This Row],[Consequence]],$T$62:$T$264)</f>
        <v>1</v>
      </c>
      <c r="V265" s="16"/>
      <c r="Y265" s="14">
        <v>19.4936708860759</v>
      </c>
    </row>
    <row r="266" spans="1:25" s="120" customFormat="1">
      <c r="A266" s="84" t="s">
        <v>990</v>
      </c>
      <c r="B266" s="84">
        <v>3</v>
      </c>
      <c r="C266" s="81">
        <v>330</v>
      </c>
      <c r="D266" s="82" t="s">
        <v>290</v>
      </c>
      <c r="E266" s="57" t="e">
        <f>E103</f>
        <v>#REF!</v>
      </c>
      <c r="F266" s="16">
        <v>1490.514684388889</v>
      </c>
      <c r="G266" s="16">
        <f>Table5[[#This Row],[Probability]]*Table5[[#This Row],[Consequence]]</f>
        <v>1466.2087537878788</v>
      </c>
      <c r="H266" s="16">
        <f>RANK(Table5[[#This Row],[Risk Score]],$G$62:$G$312)</f>
        <v>23</v>
      </c>
      <c r="I266" s="16">
        <f>VLOOKUP(C266,Table1[[#All],[RC]:[Total Internal Corrosion Score]],27,FALSE)</f>
        <v>34.166666666666664</v>
      </c>
      <c r="J266" s="16">
        <f>RANK(Table5[[#This Row],[INTERNAL CORROSION]],$I$62:$I$312)</f>
        <v>8</v>
      </c>
      <c r="K266" s="16">
        <f>VLOOKUP(C266,Ext.Mo!$C$2:$AK$326,35,FALSE)</f>
        <v>19.493670000000002</v>
      </c>
      <c r="L266" s="16">
        <f>RANK(Table5[[#This Row],[EXTERNAL CORROSION]],$K$62:$K$312)</f>
        <v>3</v>
      </c>
      <c r="M266" s="16">
        <f>VLOOKUP(Table5[[#This Row],[RC]],Table3[[RC]:[Total TPI Score10]],23,0)</f>
        <v>43.63636363636364</v>
      </c>
      <c r="N266" s="120">
        <f>RANK(Table5[[#This Row],[THIRD PARTY INTERFERENCE]],$M$62:$M$312)</f>
        <v>2</v>
      </c>
      <c r="O266" s="120">
        <f>VLOOKUP(Table5[[#This Row],[RC]],LGS_Mo.!$C$5:$P$322,14,0)</f>
        <v>20</v>
      </c>
      <c r="P266" s="120">
        <f>RANK(Table5[[#This Row],[Loss  of ground support]],$O$62:$O$312)</f>
        <v>15</v>
      </c>
      <c r="Q266" s="120">
        <f>(I266+K266+M266+Table5[[#This Row],[Loss  of ground support]])/4</f>
        <v>29.324175075757577</v>
      </c>
      <c r="R266" s="120">
        <f>VLOOKUP(C266,consequence!$B$2:$K$302,10,FALSE)</f>
        <v>3</v>
      </c>
      <c r="S266" s="120">
        <f>VLOOKUP(C266,consequence!B171:$K$302,9,FALSE)</f>
        <v>7</v>
      </c>
      <c r="T266" s="120">
        <f t="shared" si="23"/>
        <v>50</v>
      </c>
      <c r="U266" s="120">
        <f>RANK(Table5[[#This Row],[Consequence]],$T$62:$T$264)</f>
        <v>1</v>
      </c>
      <c r="X266" s="14">
        <f>J482</f>
        <v>0</v>
      </c>
      <c r="Y266" s="14">
        <v>19.493670886075947</v>
      </c>
    </row>
    <row r="267" spans="1:25" s="9" customFormat="1">
      <c r="A267" s="84" t="s">
        <v>990</v>
      </c>
      <c r="B267" s="80">
        <v>3</v>
      </c>
      <c r="C267" s="81">
        <v>330100002</v>
      </c>
      <c r="D267" s="82" t="s">
        <v>742</v>
      </c>
      <c r="E267" s="57" t="e">
        <f t="shared" ref="E267:E272" si="24">E266</f>
        <v>#REF!</v>
      </c>
      <c r="F267" s="16">
        <v>1490.514684388889</v>
      </c>
      <c r="G267" s="16">
        <f>Table5[[#This Row],[Probability]]*Table5[[#This Row],[Consequence]]</f>
        <v>1466.2087537878788</v>
      </c>
      <c r="H267" s="16">
        <f>RANK(Table5[[#This Row],[Risk Score]],$G$62:$G$312)</f>
        <v>23</v>
      </c>
      <c r="I267" s="16">
        <f>VLOOKUP(C267,Table1[[#All],[RC]:[Total Internal Corrosion Score]],27,FALSE)</f>
        <v>34.166666666666664</v>
      </c>
      <c r="J267" s="16">
        <f>RANK(Table5[[#This Row],[INTERNAL CORROSION]],$I$62:$I$312)</f>
        <v>8</v>
      </c>
      <c r="K267" s="16">
        <f>VLOOKUP(C267,Ext.Mo!$C$2:$AK$326,35,FALSE)</f>
        <v>19.493670000000002</v>
      </c>
      <c r="L267" s="16">
        <f>RANK(Table5[[#This Row],[EXTERNAL CORROSION]],$K$62:$K$312)</f>
        <v>3</v>
      </c>
      <c r="M267" s="16">
        <f>VLOOKUP(Table5[[#This Row],[RC]],Table3[[RC]:[Total TPI Score10]],23,0)</f>
        <v>43.63636363636364</v>
      </c>
      <c r="N267" s="9">
        <f>RANK(Table5[[#This Row],[THIRD PARTY INTERFERENCE]],$M$62:$M$312)</f>
        <v>2</v>
      </c>
      <c r="O267" s="9">
        <f>VLOOKUP(Table5[[#This Row],[RC]],LGS_Mo.!$C$5:$P$322,14,0)</f>
        <v>20</v>
      </c>
      <c r="P267" s="9">
        <f>RANK(Table5[[#This Row],[Loss  of ground support]],$O$62:$O$312)</f>
        <v>15</v>
      </c>
      <c r="Q267" s="9">
        <f>(I267+K267+M267+Table5[[#This Row],[Loss  of ground support]])/4</f>
        <v>29.324175075757577</v>
      </c>
      <c r="R267" s="9">
        <f>VLOOKUP(C267,consequence!$B$2:$K$302,10,FALSE)</f>
        <v>3</v>
      </c>
      <c r="S267" s="9">
        <f>VLOOKUP(C267,consequence!B172:$K$302,9,FALSE)</f>
        <v>7</v>
      </c>
      <c r="T267" s="9">
        <f t="shared" si="23"/>
        <v>50</v>
      </c>
      <c r="U267" s="9">
        <f>RANK(Table5[[#This Row],[Consequence]],$T$62:$T$264)</f>
        <v>1</v>
      </c>
      <c r="X267" s="14">
        <f>J483</f>
        <v>0</v>
      </c>
      <c r="Y267" s="14">
        <v>19.493670886075947</v>
      </c>
    </row>
    <row r="268" spans="1:25">
      <c r="A268" s="84" t="s">
        <v>990</v>
      </c>
      <c r="B268" s="80">
        <v>3</v>
      </c>
      <c r="C268" s="81">
        <v>330100003</v>
      </c>
      <c r="D268" s="82" t="s">
        <v>750</v>
      </c>
      <c r="E268" s="57" t="e">
        <f t="shared" si="24"/>
        <v>#REF!</v>
      </c>
      <c r="F268" s="16">
        <v>1490.514684388889</v>
      </c>
      <c r="G268" s="16">
        <f>Table5[[#This Row],[Probability]]*Table5[[#This Row],[Consequence]]</f>
        <v>1466.2087537878788</v>
      </c>
      <c r="H268" s="16">
        <f>RANK(Table5[[#This Row],[Risk Score]],$G$62:$G$312)</f>
        <v>23</v>
      </c>
      <c r="I268" s="16">
        <f>VLOOKUP(C268,Table1[[#All],[RC]:[Total Internal Corrosion Score]],27,FALSE)</f>
        <v>34.166666666666664</v>
      </c>
      <c r="J268" s="16">
        <f>RANK(Table5[[#This Row],[INTERNAL CORROSION]],$I$62:$I$312)</f>
        <v>8</v>
      </c>
      <c r="K268" s="16">
        <f>VLOOKUP(C268,Ext.Mo!$C$2:$AK$326,35,FALSE)</f>
        <v>19.493670000000002</v>
      </c>
      <c r="L268" s="16">
        <f>RANK(Table5[[#This Row],[EXTERNAL CORROSION]],$K$62:$K$312)</f>
        <v>3</v>
      </c>
      <c r="M268" s="16">
        <f>VLOOKUP(Table5[[#This Row],[RC]],Table3[[RC]:[Total TPI Score10]],23,0)</f>
        <v>43.63636363636364</v>
      </c>
      <c r="N268" s="16">
        <f>RANK(Table5[[#This Row],[THIRD PARTY INTERFERENCE]],$M$62:$M$312)</f>
        <v>2</v>
      </c>
      <c r="O268" s="16">
        <f>VLOOKUP(Table5[[#This Row],[RC]],LGS_Mo.!$C$5:$P$322,14,0)</f>
        <v>20</v>
      </c>
      <c r="P268" s="16">
        <f>RANK(Table5[[#This Row],[Loss  of ground support]],$O$62:$O$312)</f>
        <v>15</v>
      </c>
      <c r="Q268" s="16">
        <f>(I268+K268+M268+Table5[[#This Row],[Loss  of ground support]])/4</f>
        <v>29.324175075757577</v>
      </c>
      <c r="R268" s="16">
        <f>VLOOKUP(C268,consequence!$B$2:$K$302,10,FALSE)</f>
        <v>3</v>
      </c>
      <c r="S268" s="16">
        <f>VLOOKUP(C268,consequence!B173:$K$302,9,FALSE)</f>
        <v>7</v>
      </c>
      <c r="T268" s="16">
        <f t="shared" si="23"/>
        <v>50</v>
      </c>
      <c r="U268" s="16">
        <f>RANK(Table5[[#This Row],[Consequence]],$T$62:$T$264)</f>
        <v>1</v>
      </c>
      <c r="V268" s="16"/>
      <c r="X268" s="14" t="e">
        <f>#REF!</f>
        <v>#REF!</v>
      </c>
      <c r="Y268" s="14">
        <v>19.493670886075947</v>
      </c>
    </row>
    <row r="269" spans="1:25">
      <c r="A269" s="84" t="s">
        <v>990</v>
      </c>
      <c r="B269" s="201">
        <v>3</v>
      </c>
      <c r="C269" s="81">
        <v>33010009</v>
      </c>
      <c r="D269" s="82" t="s">
        <v>769</v>
      </c>
      <c r="E269" s="57" t="e">
        <f t="shared" si="24"/>
        <v>#REF!</v>
      </c>
      <c r="F269" s="16">
        <v>1490.514684388889</v>
      </c>
      <c r="G269" s="16">
        <f>Table5[[#This Row],[Probability]]*Table5[[#This Row],[Consequence]]</f>
        <v>1466.2087537878788</v>
      </c>
      <c r="H269" s="16">
        <f>RANK(Table5[[#This Row],[Risk Score]],$G$62:$G$312)</f>
        <v>23</v>
      </c>
      <c r="I269" s="16">
        <f>VLOOKUP(C269,Table1[[#All],[RC]:[Total Internal Corrosion Score]],27,FALSE)</f>
        <v>34.166666666666664</v>
      </c>
      <c r="J269" s="16">
        <f>RANK(Table5[[#This Row],[INTERNAL CORROSION]],$I$62:$I$312)</f>
        <v>8</v>
      </c>
      <c r="K269" s="16">
        <f>VLOOKUP(C269,Ext.Mo!$C$2:$AK$326,35,FALSE)</f>
        <v>19.493670000000002</v>
      </c>
      <c r="L269" s="16">
        <f>RANK(Table5[[#This Row],[EXTERNAL CORROSION]],$K$62:$K$312)</f>
        <v>3</v>
      </c>
      <c r="M269" s="16">
        <f>VLOOKUP(Table5[[#This Row],[RC]],Table3[[RC]:[Total TPI Score10]],23,0)</f>
        <v>43.63636363636364</v>
      </c>
      <c r="N269" s="16">
        <f>RANK(Table5[[#This Row],[THIRD PARTY INTERFERENCE]],$M$62:$M$312)</f>
        <v>2</v>
      </c>
      <c r="O269" s="16">
        <f>VLOOKUP(Table5[[#This Row],[RC]],LGS_Mo.!$C$5:$P$322,14,0)</f>
        <v>20</v>
      </c>
      <c r="P269" s="16">
        <f>RANK(Table5[[#This Row],[Loss  of ground support]],$O$62:$O$312)</f>
        <v>15</v>
      </c>
      <c r="Q269" s="16">
        <f>(I269+K269+M269+Table5[[#This Row],[Loss  of ground support]])/4</f>
        <v>29.324175075757577</v>
      </c>
      <c r="R269" s="16">
        <f>VLOOKUP(C269,consequence!$B$2:$K$302,10,FALSE)</f>
        <v>3</v>
      </c>
      <c r="S269" s="16">
        <f>VLOOKUP(C269,consequence!B174:$K$302,9,FALSE)</f>
        <v>7</v>
      </c>
      <c r="T269" s="16">
        <f t="shared" si="23"/>
        <v>50</v>
      </c>
      <c r="U269" s="16">
        <f>RANK(Table5[[#This Row],[Consequence]],$T$62:$T$264)</f>
        <v>1</v>
      </c>
      <c r="V269" s="16"/>
      <c r="X269" s="14">
        <f>J485</f>
        <v>0</v>
      </c>
      <c r="Y269" s="14">
        <v>19.493670886075947</v>
      </c>
    </row>
    <row r="270" spans="1:25">
      <c r="A270" s="84" t="s">
        <v>990</v>
      </c>
      <c r="B270" s="87">
        <v>3</v>
      </c>
      <c r="C270" s="88">
        <v>330200002</v>
      </c>
      <c r="D270" s="82" t="s">
        <v>727</v>
      </c>
      <c r="E270" s="57" t="e">
        <f t="shared" si="24"/>
        <v>#REF!</v>
      </c>
      <c r="F270" s="16">
        <v>1490.514684388889</v>
      </c>
      <c r="G270" s="16">
        <f>Table5[[#This Row],[Probability]]*Table5[[#This Row],[Consequence]]</f>
        <v>1466.2087537878788</v>
      </c>
      <c r="H270" s="16">
        <f>RANK(Table5[[#This Row],[Risk Score]],$G$62:$G$312)</f>
        <v>23</v>
      </c>
      <c r="I270" s="16">
        <f>VLOOKUP(C270,Table1[[#All],[RC]:[Total Internal Corrosion Score]],27,FALSE)</f>
        <v>34.166666666666664</v>
      </c>
      <c r="J270" s="16">
        <f>RANK(Table5[[#This Row],[INTERNAL CORROSION]],$I$62:$I$312)</f>
        <v>8</v>
      </c>
      <c r="K270" s="16">
        <f>VLOOKUP(C270,Ext.Mo!$C$2:$AK$326,35,FALSE)</f>
        <v>19.493670000000002</v>
      </c>
      <c r="L270" s="16">
        <f>RANK(Table5[[#This Row],[EXTERNAL CORROSION]],$K$62:$K$312)</f>
        <v>3</v>
      </c>
      <c r="M270" s="16">
        <f>VLOOKUP(Table5[[#This Row],[RC]],Table3[[RC]:[Total TPI Score10]],23,0)</f>
        <v>43.63636363636364</v>
      </c>
      <c r="N270" s="16">
        <f>RANK(Table5[[#This Row],[THIRD PARTY INTERFERENCE]],$M$62:$M$312)</f>
        <v>2</v>
      </c>
      <c r="O270" s="16">
        <f>VLOOKUP(Table5[[#This Row],[RC]],LGS_Mo.!$C$5:$P$322,14,0)</f>
        <v>20</v>
      </c>
      <c r="P270" s="16">
        <f>RANK(Table5[[#This Row],[Loss  of ground support]],$O$62:$O$312)</f>
        <v>15</v>
      </c>
      <c r="Q270" s="16">
        <f>(I270+K270+M270+Table5[[#This Row],[Loss  of ground support]])/4</f>
        <v>29.324175075757577</v>
      </c>
      <c r="R270" s="16">
        <f>VLOOKUP(C270,consequence!$B$2:$K$302,10,FALSE)</f>
        <v>3</v>
      </c>
      <c r="S270" s="16">
        <f>VLOOKUP(C270,consequence!B175:$K$302,9,FALSE)</f>
        <v>7</v>
      </c>
      <c r="T270" s="16">
        <f t="shared" si="23"/>
        <v>50</v>
      </c>
      <c r="U270" s="16">
        <f>RANK(Table5[[#This Row],[Consequence]],$T$62:$T$264)</f>
        <v>1</v>
      </c>
      <c r="V270" s="16"/>
      <c r="X270" s="14" t="e">
        <f>#REF!</f>
        <v>#REF!</v>
      </c>
      <c r="Y270" s="14">
        <v>19.493670886075947</v>
      </c>
    </row>
    <row r="271" spans="1:25">
      <c r="A271" s="84" t="s">
        <v>990</v>
      </c>
      <c r="B271" s="80">
        <v>3</v>
      </c>
      <c r="C271" s="81">
        <v>330300001</v>
      </c>
      <c r="D271" s="82" t="s">
        <v>733</v>
      </c>
      <c r="E271" s="57" t="e">
        <f t="shared" si="24"/>
        <v>#REF!</v>
      </c>
      <c r="F271" s="16">
        <v>1490.514684388889</v>
      </c>
      <c r="G271" s="16">
        <f>Table5[[#This Row],[Probability]]*Table5[[#This Row],[Consequence]]</f>
        <v>1466.2087537878788</v>
      </c>
      <c r="H271" s="16">
        <f>RANK(Table5[[#This Row],[Risk Score]],$G$62:$G$312)</f>
        <v>23</v>
      </c>
      <c r="I271" s="16">
        <f>VLOOKUP(C271,Table1[[#All],[RC]:[Total Internal Corrosion Score]],27,FALSE)</f>
        <v>34.166666666666664</v>
      </c>
      <c r="J271" s="16">
        <f>RANK(Table5[[#This Row],[INTERNAL CORROSION]],$I$62:$I$312)</f>
        <v>8</v>
      </c>
      <c r="K271" s="16">
        <f>VLOOKUP(C271,Ext.Mo!$C$2:$AK$326,35,FALSE)</f>
        <v>19.493670000000002</v>
      </c>
      <c r="L271" s="16">
        <f>RANK(Table5[[#This Row],[EXTERNAL CORROSION]],$K$62:$K$312)</f>
        <v>3</v>
      </c>
      <c r="M271" s="16">
        <f>VLOOKUP(Table5[[#This Row],[RC]],Table3[[RC]:[Total TPI Score10]],23,0)</f>
        <v>43.63636363636364</v>
      </c>
      <c r="N271" s="16">
        <f>RANK(Table5[[#This Row],[THIRD PARTY INTERFERENCE]],$M$62:$M$312)</f>
        <v>2</v>
      </c>
      <c r="O271" s="16">
        <f>VLOOKUP(Table5[[#This Row],[RC]],LGS_Mo.!$C$5:$P$322,14,0)</f>
        <v>20</v>
      </c>
      <c r="P271" s="16">
        <f>RANK(Table5[[#This Row],[Loss  of ground support]],$O$62:$O$312)</f>
        <v>15</v>
      </c>
      <c r="Q271" s="16">
        <f>(I271+K271+M271+Table5[[#This Row],[Loss  of ground support]])/4</f>
        <v>29.324175075757577</v>
      </c>
      <c r="R271" s="16">
        <f>VLOOKUP(C271,consequence!$B$2:$K$302,10,FALSE)</f>
        <v>3</v>
      </c>
      <c r="S271" s="16">
        <f>VLOOKUP(C271,consequence!B176:$K$302,9,FALSE)</f>
        <v>7</v>
      </c>
      <c r="T271" s="16">
        <f t="shared" si="23"/>
        <v>50</v>
      </c>
      <c r="U271" s="16">
        <f>RANK(Table5[[#This Row],[Consequence]],$T$62:$T$264)</f>
        <v>1</v>
      </c>
      <c r="V271" s="16"/>
      <c r="X271" s="14" t="e">
        <f>#REF!</f>
        <v>#REF!</v>
      </c>
      <c r="Y271" s="14">
        <v>19.493670886075947</v>
      </c>
    </row>
    <row r="272" spans="1:25" s="14" customFormat="1">
      <c r="A272" s="84" t="s">
        <v>990</v>
      </c>
      <c r="B272" s="80">
        <v>3</v>
      </c>
      <c r="C272" s="81">
        <v>330300001</v>
      </c>
      <c r="D272" s="82" t="s">
        <v>734</v>
      </c>
      <c r="E272" s="57" t="e">
        <f t="shared" si="24"/>
        <v>#REF!</v>
      </c>
      <c r="F272" s="16">
        <v>1490.514684388889</v>
      </c>
      <c r="G272" s="16">
        <f>Table5[[#This Row],[Probability]]*Table5[[#This Row],[Consequence]]</f>
        <v>1466.2087537878788</v>
      </c>
      <c r="H272" s="16">
        <f>RANK(Table5[[#This Row],[Risk Score]],$G$62:$G$312)</f>
        <v>23</v>
      </c>
      <c r="I272" s="16">
        <f>VLOOKUP(C272,Table1[[#All],[RC]:[Total Internal Corrosion Score]],27,FALSE)</f>
        <v>34.166666666666664</v>
      </c>
      <c r="J272" s="16">
        <f>RANK(Table5[[#This Row],[INTERNAL CORROSION]],$I$62:$I$312)</f>
        <v>8</v>
      </c>
      <c r="K272" s="16">
        <f>VLOOKUP(C272,Ext.Mo!$C$2:$AK$326,35,FALSE)</f>
        <v>19.493670000000002</v>
      </c>
      <c r="L272" s="16">
        <f>RANK(Table5[[#This Row],[EXTERNAL CORROSION]],$K$62:$K$312)</f>
        <v>3</v>
      </c>
      <c r="M272" s="16">
        <f>VLOOKUP(Table5[[#This Row],[RC]],Table3[[RC]:[Total TPI Score10]],23,0)</f>
        <v>43.63636363636364</v>
      </c>
      <c r="N272" s="16">
        <f>RANK(Table5[[#This Row],[THIRD PARTY INTERFERENCE]],$M$62:$M$312)</f>
        <v>2</v>
      </c>
      <c r="O272" s="16">
        <f>VLOOKUP(Table5[[#This Row],[RC]],LGS_Mo.!$C$5:$P$322,14,0)</f>
        <v>20</v>
      </c>
      <c r="P272" s="16">
        <f>RANK(Table5[[#This Row],[Loss  of ground support]],$O$62:$O$312)</f>
        <v>15</v>
      </c>
      <c r="Q272" s="16">
        <f>(I272+K272+M272+Table5[[#This Row],[Loss  of ground support]])/4</f>
        <v>29.324175075757577</v>
      </c>
      <c r="R272" s="16">
        <f>VLOOKUP(C272,consequence!$B$2:$K$302,10,FALSE)</f>
        <v>3</v>
      </c>
      <c r="S272" s="16">
        <f>VLOOKUP(C272,consequence!B177:$K$302,9,FALSE)</f>
        <v>7</v>
      </c>
      <c r="T272" s="16">
        <f t="shared" si="23"/>
        <v>50</v>
      </c>
      <c r="U272" s="16">
        <f>RANK(Table5[[#This Row],[Consequence]],$T$62:$T$264)</f>
        <v>1</v>
      </c>
      <c r="V272" s="16"/>
      <c r="X272" s="14" t="e">
        <f>#REF!</f>
        <v>#REF!</v>
      </c>
      <c r="Y272" s="14">
        <v>19.493670886075947</v>
      </c>
    </row>
    <row r="273" spans="1:25" s="9" customFormat="1">
      <c r="A273" s="84" t="s">
        <v>990</v>
      </c>
      <c r="B273" s="80">
        <v>3</v>
      </c>
      <c r="C273" s="81">
        <v>330400008</v>
      </c>
      <c r="D273" s="82" t="s">
        <v>729</v>
      </c>
      <c r="E273" s="104">
        <f t="shared" ref="E273:E283" si="25">F370</f>
        <v>0</v>
      </c>
      <c r="F273" s="16">
        <v>1490.514684388889</v>
      </c>
      <c r="G273" s="16">
        <f>Table5[[#This Row],[Probability]]*Table5[[#This Row],[Consequence]]</f>
        <v>1466.2087537878788</v>
      </c>
      <c r="H273" s="16">
        <f>RANK(Table5[[#This Row],[Risk Score]],$G$62:$G$312)</f>
        <v>23</v>
      </c>
      <c r="I273" s="16">
        <f>VLOOKUP(C273,Table1[[#All],[RC]:[Total Internal Corrosion Score]],27,FALSE)</f>
        <v>34.166666666666664</v>
      </c>
      <c r="J273" s="16">
        <f>RANK(Table5[[#This Row],[INTERNAL CORROSION]],$I$62:$I$312)</f>
        <v>8</v>
      </c>
      <c r="K273" s="16">
        <f>VLOOKUP(C273,Ext.Mo!$C$2:$AK$326,35,FALSE)</f>
        <v>19.493670000000002</v>
      </c>
      <c r="L273" s="16">
        <f>RANK(Table5[[#This Row],[EXTERNAL CORROSION]],$K$62:$K$312)</f>
        <v>3</v>
      </c>
      <c r="M273" s="16">
        <f>VLOOKUP(Table5[[#This Row],[RC]],Table3[[RC]:[Total TPI Score10]],23,0)</f>
        <v>43.63636363636364</v>
      </c>
      <c r="N273" s="9">
        <f>RANK(Table5[[#This Row],[THIRD PARTY INTERFERENCE]],$M$62:$M$312)</f>
        <v>2</v>
      </c>
      <c r="O273" s="9">
        <f>VLOOKUP(Table5[[#This Row],[RC]],LGS_Mo.!$C$5:$P$322,14,0)</f>
        <v>20</v>
      </c>
      <c r="P273" s="9">
        <f>RANK(Table5[[#This Row],[Loss  of ground support]],$O$62:$O$312)</f>
        <v>15</v>
      </c>
      <c r="Q273" s="9">
        <f>(I273+K273+M273+Table5[[#This Row],[Loss  of ground support]])/4</f>
        <v>29.324175075757577</v>
      </c>
      <c r="R273" s="9">
        <f>VLOOKUP(C273,consequence!$B$2:$K$302,10,FALSE)</f>
        <v>3</v>
      </c>
      <c r="S273" s="9">
        <f>VLOOKUP(C273,consequence!B178:$K$302,9,FALSE)</f>
        <v>7</v>
      </c>
      <c r="T273" s="115">
        <f t="shared" si="23"/>
        <v>50</v>
      </c>
      <c r="U273" s="9">
        <f>RANK(Table5[[#This Row],[Consequence]],$T$62:$T$264)</f>
        <v>1</v>
      </c>
      <c r="X273" s="14">
        <f>J489</f>
        <v>0</v>
      </c>
      <c r="Y273" s="14">
        <v>19.493670886075947</v>
      </c>
    </row>
    <row r="274" spans="1:25" s="9" customFormat="1">
      <c r="A274" s="84" t="s">
        <v>990</v>
      </c>
      <c r="B274" s="80">
        <v>3</v>
      </c>
      <c r="C274" s="81">
        <v>330500001</v>
      </c>
      <c r="D274" s="82" t="s">
        <v>738</v>
      </c>
      <c r="E274" s="105">
        <f t="shared" si="25"/>
        <v>0</v>
      </c>
      <c r="F274" s="16">
        <v>1490.514684388889</v>
      </c>
      <c r="G274" s="70">
        <f>Table5[[#This Row],[Probability]]*Table5[[#This Row],[Consequence]]</f>
        <v>1466.2087537878788</v>
      </c>
      <c r="H274" s="16">
        <f>RANK(Table5[[#This Row],[Risk Score]],$G$62:$G$312)</f>
        <v>23</v>
      </c>
      <c r="I274" s="16">
        <f>VLOOKUP(C274,Table1[[#All],[RC]:[Total Internal Corrosion Score]],27,FALSE)</f>
        <v>34.166666666666664</v>
      </c>
      <c r="J274" s="16">
        <f>RANK(Table5[[#This Row],[INTERNAL CORROSION]],$I$62:$I$312)</f>
        <v>8</v>
      </c>
      <c r="K274" s="16">
        <f>VLOOKUP(C274,Ext.Mo!$C$2:$AK$326,35,FALSE)</f>
        <v>19.493670000000002</v>
      </c>
      <c r="L274" s="16">
        <f>RANK(Table5[[#This Row],[EXTERNAL CORROSION]],$K$62:$K$312)</f>
        <v>3</v>
      </c>
      <c r="M274" s="16">
        <f>VLOOKUP(Table5[[#This Row],[RC]],Table3[[RC]:[Total TPI Score10]],23,0)</f>
        <v>43.63636363636364</v>
      </c>
      <c r="N274" s="9">
        <f>RANK(Table5[[#This Row],[THIRD PARTY INTERFERENCE]],$M$62:$M$312)</f>
        <v>2</v>
      </c>
      <c r="O274" s="9">
        <f>VLOOKUP(Table5[[#This Row],[RC]],LGS_Mo.!$C$5:$P$322,14,0)</f>
        <v>20</v>
      </c>
      <c r="P274" s="9">
        <f>RANK(Table5[[#This Row],[Loss  of ground support]],$O$62:$O$312)</f>
        <v>15</v>
      </c>
      <c r="Q274" s="9">
        <f>(I274+K274+M274+Table5[[#This Row],[Loss  of ground support]])/4</f>
        <v>29.324175075757577</v>
      </c>
      <c r="R274" s="9">
        <f>VLOOKUP(C274,consequence!$B$2:$K$302,10,FALSE)</f>
        <v>3</v>
      </c>
      <c r="S274" s="9">
        <f>VLOOKUP(C274,consequence!B179:$K$302,9,FALSE)</f>
        <v>7</v>
      </c>
      <c r="T274" s="9">
        <f t="shared" si="23"/>
        <v>50</v>
      </c>
      <c r="U274" s="116">
        <f>RANK(Table5[[#This Row],[Consequence]],$T$62:$T$264)</f>
        <v>1</v>
      </c>
      <c r="X274" s="14">
        <f>J490</f>
        <v>0</v>
      </c>
      <c r="Y274" s="14">
        <v>19.493670886075947</v>
      </c>
    </row>
    <row r="275" spans="1:25">
      <c r="A275" s="84" t="s">
        <v>990</v>
      </c>
      <c r="B275" s="80">
        <v>3</v>
      </c>
      <c r="C275" s="81">
        <v>33050002</v>
      </c>
      <c r="D275" s="82" t="s">
        <v>765</v>
      </c>
      <c r="E275" s="105">
        <f t="shared" si="25"/>
        <v>0</v>
      </c>
      <c r="F275" s="16">
        <v>1490.514684388889</v>
      </c>
      <c r="G275" s="70">
        <f>Table5[[#This Row],[Probability]]*Table5[[#This Row],[Consequence]]</f>
        <v>1466.2087537878788</v>
      </c>
      <c r="H275" s="16">
        <f>RANK(Table5[[#This Row],[Risk Score]],$G$62:$G$312)</f>
        <v>23</v>
      </c>
      <c r="I275" s="16">
        <f>VLOOKUP(C275,Table1[[#All],[RC]:[Total Internal Corrosion Score]],27,FALSE)</f>
        <v>34.166666666666664</v>
      </c>
      <c r="J275" s="16">
        <f>RANK(Table5[[#This Row],[INTERNAL CORROSION]],$I$62:$I$312)</f>
        <v>8</v>
      </c>
      <c r="K275" s="16">
        <f>VLOOKUP(C275,Ext.Mo!$C$2:$AK$326,35,FALSE)</f>
        <v>19.493670000000002</v>
      </c>
      <c r="L275" s="16">
        <f>RANK(Table5[[#This Row],[EXTERNAL CORROSION]],$K$62:$K$312)</f>
        <v>3</v>
      </c>
      <c r="M275" s="16">
        <f>VLOOKUP(Table5[[#This Row],[RC]],Table3[[RC]:[Total TPI Score10]],23,0)</f>
        <v>43.63636363636364</v>
      </c>
      <c r="N275" s="16">
        <f>RANK(Table5[[#This Row],[THIRD PARTY INTERFERENCE]],$M$62:$M$312)</f>
        <v>2</v>
      </c>
      <c r="O275" s="16">
        <f>VLOOKUP(Table5[[#This Row],[RC]],LGS_Mo.!$C$5:$P$322,14,0)</f>
        <v>20</v>
      </c>
      <c r="P275" s="16">
        <f>RANK(Table5[[#This Row],[Loss  of ground support]],$O$62:$O$312)</f>
        <v>15</v>
      </c>
      <c r="Q275" s="16">
        <f>(I275+K275+M275+Table5[[#This Row],[Loss  of ground support]])/4</f>
        <v>29.324175075757577</v>
      </c>
      <c r="R275" s="16">
        <f>VLOOKUP(C275,consequence!$B$2:$K$302,10,FALSE)</f>
        <v>3</v>
      </c>
      <c r="S275" s="16">
        <f>VLOOKUP(C275,consequence!B180:$K$302,9,FALSE)</f>
        <v>7</v>
      </c>
      <c r="T275" s="63">
        <f t="shared" si="23"/>
        <v>50</v>
      </c>
      <c r="U275" s="69">
        <f>RANK(Table5[[#This Row],[Consequence]],$T$62:$T$264)</f>
        <v>1</v>
      </c>
      <c r="V275" s="16"/>
      <c r="X275" s="14">
        <f>J491</f>
        <v>0</v>
      </c>
      <c r="Y275" s="14">
        <v>19.493670886075947</v>
      </c>
    </row>
    <row r="276" spans="1:25" s="9" customFormat="1">
      <c r="A276" s="84" t="s">
        <v>990</v>
      </c>
      <c r="B276" s="80">
        <v>3</v>
      </c>
      <c r="C276" s="81">
        <v>330500001</v>
      </c>
      <c r="D276" s="82" t="s">
        <v>760</v>
      </c>
      <c r="E276" s="105">
        <f t="shared" si="25"/>
        <v>0</v>
      </c>
      <c r="F276" s="16">
        <v>1490.514684388889</v>
      </c>
      <c r="G276" s="70">
        <f>Table5[[#This Row],[Probability]]*Table5[[#This Row],[Consequence]]</f>
        <v>1466.2087537878788</v>
      </c>
      <c r="H276" s="16">
        <f>RANK(Table5[[#This Row],[Risk Score]],$G$62:$G$312)</f>
        <v>23</v>
      </c>
      <c r="I276" s="16">
        <f>VLOOKUP(C276,Table1[[#All],[RC]:[Total Internal Corrosion Score]],27,FALSE)</f>
        <v>34.166666666666664</v>
      </c>
      <c r="J276" s="16">
        <f>RANK(Table5[[#This Row],[INTERNAL CORROSION]],$I$62:$I$312)</f>
        <v>8</v>
      </c>
      <c r="K276" s="16">
        <f>VLOOKUP(C276,Ext.Mo!$C$2:$AK$326,35,FALSE)</f>
        <v>19.493670000000002</v>
      </c>
      <c r="L276" s="16">
        <f>RANK(Table5[[#This Row],[EXTERNAL CORROSION]],$K$62:$K$312)</f>
        <v>3</v>
      </c>
      <c r="M276" s="16">
        <f>VLOOKUP(Table5[[#This Row],[RC]],Table3[[RC]:[Total TPI Score10]],23,0)</f>
        <v>43.63636363636364</v>
      </c>
      <c r="N276" s="9">
        <f>RANK(Table5[[#This Row],[THIRD PARTY INTERFERENCE]],$M$62:$M$312)</f>
        <v>2</v>
      </c>
      <c r="O276" s="9">
        <f>VLOOKUP(Table5[[#This Row],[RC]],LGS_Mo.!$C$5:$P$322,14,0)</f>
        <v>20</v>
      </c>
      <c r="P276" s="9">
        <f>RANK(Table5[[#This Row],[Loss  of ground support]],$O$62:$O$312)</f>
        <v>15</v>
      </c>
      <c r="Q276" s="9">
        <f>(I276+K276+M276+Table5[[#This Row],[Loss  of ground support]])/4</f>
        <v>29.324175075757577</v>
      </c>
      <c r="R276" s="9">
        <f>VLOOKUP(C276,consequence!$B$2:$K$302,10,FALSE)</f>
        <v>3</v>
      </c>
      <c r="S276" s="9">
        <f>VLOOKUP(C276,consequence!B181:$K$302,9,FALSE)</f>
        <v>7</v>
      </c>
      <c r="T276" s="9">
        <f t="shared" si="23"/>
        <v>50</v>
      </c>
      <c r="U276" s="116">
        <f>RANK(Table5[[#This Row],[Consequence]],$T$62:$T$264)</f>
        <v>1</v>
      </c>
      <c r="X276" s="14">
        <f>J492</f>
        <v>0</v>
      </c>
      <c r="Y276" s="14">
        <v>19.493670886075947</v>
      </c>
    </row>
    <row r="277" spans="1:25" s="9" customFormat="1">
      <c r="A277" s="84" t="s">
        <v>990</v>
      </c>
      <c r="B277" s="80">
        <v>3</v>
      </c>
      <c r="C277" s="81">
        <v>330500004</v>
      </c>
      <c r="D277" s="82" t="s">
        <v>736</v>
      </c>
      <c r="E277" s="105">
        <f t="shared" si="25"/>
        <v>0</v>
      </c>
      <c r="F277" s="16">
        <v>1490.514684388889</v>
      </c>
      <c r="G277" s="70">
        <f>Table5[[#This Row],[Probability]]*Table5[[#This Row],[Consequence]]</f>
        <v>1466.2087537878788</v>
      </c>
      <c r="H277" s="16">
        <f>RANK(Table5[[#This Row],[Risk Score]],$G$62:$G$312)</f>
        <v>23</v>
      </c>
      <c r="I277" s="16">
        <f>VLOOKUP(C277,Table1[[#All],[RC]:[Total Internal Corrosion Score]],27,FALSE)</f>
        <v>34.166666666666664</v>
      </c>
      <c r="J277" s="16">
        <f>RANK(Table5[[#This Row],[INTERNAL CORROSION]],$I$62:$I$312)</f>
        <v>8</v>
      </c>
      <c r="K277" s="16">
        <f>VLOOKUP(C277,Ext.Mo!$C$2:$AK$326,35,FALSE)</f>
        <v>19.493670000000002</v>
      </c>
      <c r="L277" s="16">
        <f>RANK(Table5[[#This Row],[EXTERNAL CORROSION]],$K$62:$K$312)</f>
        <v>3</v>
      </c>
      <c r="M277" s="16">
        <f>VLOOKUP(Table5[[#This Row],[RC]],Table3[[RC]:[Total TPI Score10]],23,0)</f>
        <v>43.63636363636364</v>
      </c>
      <c r="N277" s="9">
        <f>RANK(Table5[[#This Row],[THIRD PARTY INTERFERENCE]],$M$62:$M$312)</f>
        <v>2</v>
      </c>
      <c r="O277" s="9">
        <f>VLOOKUP(Table5[[#This Row],[RC]],LGS_Mo.!$C$5:$P$322,14,0)</f>
        <v>20</v>
      </c>
      <c r="P277" s="9">
        <f>RANK(Table5[[#This Row],[Loss  of ground support]],$O$62:$O$312)</f>
        <v>15</v>
      </c>
      <c r="Q277" s="9">
        <f>(I277+K277+M277+Table5[[#This Row],[Loss  of ground support]])/4</f>
        <v>29.324175075757577</v>
      </c>
      <c r="R277" s="9">
        <f>VLOOKUP(C277,consequence!$B$2:$K$302,10,FALSE)</f>
        <v>3</v>
      </c>
      <c r="S277" s="9">
        <f>VLOOKUP(C277,consequence!B182:$K$302,9,FALSE)</f>
        <v>7</v>
      </c>
      <c r="T277" s="115">
        <f t="shared" si="23"/>
        <v>50</v>
      </c>
      <c r="U277" s="116">
        <f>RANK(Table5[[#This Row],[Consequence]],$T$62:$T$264)</f>
        <v>1</v>
      </c>
      <c r="X277" s="14">
        <f>J493</f>
        <v>0</v>
      </c>
      <c r="Y277" s="14">
        <v>19.493670886075947</v>
      </c>
    </row>
    <row r="278" spans="1:25" s="9" customFormat="1">
      <c r="A278" s="84" t="s">
        <v>990</v>
      </c>
      <c r="B278" s="80">
        <v>3</v>
      </c>
      <c r="C278" s="81">
        <v>330500003</v>
      </c>
      <c r="D278" s="82" t="s">
        <v>740</v>
      </c>
      <c r="E278" s="105">
        <f t="shared" si="25"/>
        <v>0</v>
      </c>
      <c r="F278" s="16">
        <v>1490.514684388889</v>
      </c>
      <c r="G278" s="70">
        <f>Table5[[#This Row],[Probability]]*Table5[[#This Row],[Consequence]]</f>
        <v>1466.2087537878788</v>
      </c>
      <c r="H278" s="16">
        <f>RANK(Table5[[#This Row],[Risk Score]],$G$62:$G$312)</f>
        <v>23</v>
      </c>
      <c r="I278" s="16">
        <f>VLOOKUP(C278,Table1[[#All],[RC]:[Total Internal Corrosion Score]],27,FALSE)</f>
        <v>34.166666666666664</v>
      </c>
      <c r="J278" s="16">
        <f>RANK(Table5[[#This Row],[INTERNAL CORROSION]],$I$62:$I$312)</f>
        <v>8</v>
      </c>
      <c r="K278" s="16">
        <f>VLOOKUP(C278,Ext.Mo!$C$2:$AK$326,35,FALSE)</f>
        <v>19.493670000000002</v>
      </c>
      <c r="L278" s="16">
        <f>RANK(Table5[[#This Row],[EXTERNAL CORROSION]],$K$62:$K$312)</f>
        <v>3</v>
      </c>
      <c r="M278" s="16">
        <f>VLOOKUP(Table5[[#This Row],[RC]],Table3[[RC]:[Total TPI Score10]],23,0)</f>
        <v>43.63636363636364</v>
      </c>
      <c r="N278" s="9">
        <f>RANK(Table5[[#This Row],[THIRD PARTY INTERFERENCE]],$M$62:$M$312)</f>
        <v>2</v>
      </c>
      <c r="O278" s="9">
        <f>VLOOKUP(Table5[[#This Row],[RC]],LGS_Mo.!$C$5:$P$322,14,0)</f>
        <v>20</v>
      </c>
      <c r="P278" s="9">
        <f>RANK(Table5[[#This Row],[Loss  of ground support]],$O$62:$O$312)</f>
        <v>15</v>
      </c>
      <c r="Q278" s="9">
        <f>(I278+K278+M278+Table5[[#This Row],[Loss  of ground support]])/4</f>
        <v>29.324175075757577</v>
      </c>
      <c r="R278" s="9">
        <f>VLOOKUP(C278,consequence!$B$2:$K$302,10,FALSE)</f>
        <v>3</v>
      </c>
      <c r="S278" s="9">
        <f>VLOOKUP(C278,consequence!B183:$K$302,9,FALSE)</f>
        <v>7</v>
      </c>
      <c r="T278" s="9">
        <f t="shared" si="23"/>
        <v>50</v>
      </c>
      <c r="U278" s="116">
        <f>RANK(Table5[[#This Row],[Consequence]],$T$62:$T$264)</f>
        <v>1</v>
      </c>
      <c r="X278" s="14" t="e">
        <f>#REF!</f>
        <v>#REF!</v>
      </c>
      <c r="Y278" s="14">
        <v>19.493670886075947</v>
      </c>
    </row>
    <row r="279" spans="1:25">
      <c r="A279" s="84" t="s">
        <v>990</v>
      </c>
      <c r="B279" s="80">
        <v>3</v>
      </c>
      <c r="C279" s="81">
        <v>330500007</v>
      </c>
      <c r="D279" s="82" t="s">
        <v>731</v>
      </c>
      <c r="E279" s="105">
        <f t="shared" si="25"/>
        <v>0</v>
      </c>
      <c r="F279" s="16">
        <v>1490.514684388889</v>
      </c>
      <c r="G279" s="70">
        <f>Table5[[#This Row],[Probability]]*Table5[[#This Row],[Consequence]]</f>
        <v>1466.2087537878788</v>
      </c>
      <c r="H279" s="16">
        <f>RANK(Table5[[#This Row],[Risk Score]],$G$62:$G$312)</f>
        <v>23</v>
      </c>
      <c r="I279" s="16">
        <f>VLOOKUP(C279,Table1[[#All],[RC]:[Total Internal Corrosion Score]],27,FALSE)</f>
        <v>34.166666666666664</v>
      </c>
      <c r="J279" s="16">
        <f>RANK(Table5[[#This Row],[INTERNAL CORROSION]],$I$62:$I$312)</f>
        <v>8</v>
      </c>
      <c r="K279" s="16">
        <f>VLOOKUP(C279,Ext.Mo!$C$2:$AK$326,35,FALSE)</f>
        <v>19.493670000000002</v>
      </c>
      <c r="L279" s="16">
        <f>RANK(Table5[[#This Row],[EXTERNAL CORROSION]],$K$62:$K$312)</f>
        <v>3</v>
      </c>
      <c r="M279" s="16">
        <f>VLOOKUP(Table5[[#This Row],[RC]],Table3[[RC]:[Total TPI Score10]],23,0)</f>
        <v>43.63636363636364</v>
      </c>
      <c r="N279" s="16">
        <f>RANK(Table5[[#This Row],[THIRD PARTY INTERFERENCE]],$M$62:$M$312)</f>
        <v>2</v>
      </c>
      <c r="O279" s="16">
        <f>VLOOKUP(Table5[[#This Row],[RC]],LGS_Mo.!$C$5:$P$322,14,0)</f>
        <v>20</v>
      </c>
      <c r="P279" s="16">
        <f>RANK(Table5[[#This Row],[Loss  of ground support]],$O$62:$O$312)</f>
        <v>15</v>
      </c>
      <c r="Q279" s="16">
        <f>(I279+K279+M279+Table5[[#This Row],[Loss  of ground support]])/4</f>
        <v>29.324175075757577</v>
      </c>
      <c r="R279" s="16">
        <f>VLOOKUP(C279,consequence!$B$2:$K$302,10,FALSE)</f>
        <v>3</v>
      </c>
      <c r="S279" s="16">
        <f>VLOOKUP(C279,consequence!B184:$K$302,9,FALSE)</f>
        <v>7</v>
      </c>
      <c r="T279" s="63">
        <f t="shared" si="23"/>
        <v>50</v>
      </c>
      <c r="U279" s="69">
        <f>RANK(Table5[[#This Row],[Consequence]],$T$62:$T$264)</f>
        <v>1</v>
      </c>
      <c r="V279" s="16"/>
      <c r="X279" s="14">
        <f>J495</f>
        <v>0</v>
      </c>
      <c r="Y279" s="14">
        <v>19.493670886075947</v>
      </c>
    </row>
    <row r="280" spans="1:25">
      <c r="A280" s="84" t="s">
        <v>990</v>
      </c>
      <c r="B280" s="80">
        <v>3</v>
      </c>
      <c r="C280" s="81">
        <v>330500008</v>
      </c>
      <c r="D280" s="82" t="s">
        <v>744</v>
      </c>
      <c r="E280" s="105">
        <f t="shared" si="25"/>
        <v>0</v>
      </c>
      <c r="F280" s="16">
        <v>1490.514684388889</v>
      </c>
      <c r="G280" s="70">
        <f>Table5[[#This Row],[Probability]]*Table5[[#This Row],[Consequence]]</f>
        <v>1466.2087537878788</v>
      </c>
      <c r="H280" s="16">
        <f>RANK(Table5[[#This Row],[Risk Score]],$G$62:$G$312)</f>
        <v>23</v>
      </c>
      <c r="I280" s="16">
        <f>VLOOKUP(C280,Table1[[#All],[RC]:[Total Internal Corrosion Score]],27,FALSE)</f>
        <v>34.166666666666664</v>
      </c>
      <c r="J280" s="16">
        <f>RANK(Table5[[#This Row],[INTERNAL CORROSION]],$I$62:$I$312)</f>
        <v>8</v>
      </c>
      <c r="K280" s="16">
        <f>VLOOKUP(C280,Ext.Mo!$C$2:$AK$326,35,FALSE)</f>
        <v>19.493670000000002</v>
      </c>
      <c r="L280" s="16">
        <f>RANK(Table5[[#This Row],[EXTERNAL CORROSION]],$K$62:$K$312)</f>
        <v>3</v>
      </c>
      <c r="M280" s="16">
        <f>VLOOKUP(Table5[[#This Row],[RC]],Table3[[RC]:[Total TPI Score10]],23,0)</f>
        <v>43.63636363636364</v>
      </c>
      <c r="N280" s="16">
        <f>RANK(Table5[[#This Row],[THIRD PARTY INTERFERENCE]],$M$62:$M$312)</f>
        <v>2</v>
      </c>
      <c r="O280" s="16">
        <f>VLOOKUP(Table5[[#This Row],[RC]],LGS_Mo.!$C$5:$P$322,14,0)</f>
        <v>20</v>
      </c>
      <c r="P280" s="16">
        <f>RANK(Table5[[#This Row],[Loss  of ground support]],$O$62:$O$312)</f>
        <v>15</v>
      </c>
      <c r="Q280" s="16">
        <f>(I280+K280+M280+Table5[[#This Row],[Loss  of ground support]])/4</f>
        <v>29.324175075757577</v>
      </c>
      <c r="R280" s="16">
        <f>VLOOKUP(C280,consequence!$B$2:$K$302,10,FALSE)</f>
        <v>3</v>
      </c>
      <c r="S280" s="16">
        <f>VLOOKUP(C280,consequence!B185:$K$302,9,FALSE)</f>
        <v>7</v>
      </c>
      <c r="T280" s="16">
        <f t="shared" si="23"/>
        <v>50</v>
      </c>
      <c r="U280" s="69">
        <f>RANK(Table5[[#This Row],[Consequence]],$T$62:$T$264)</f>
        <v>1</v>
      </c>
      <c r="V280" s="16"/>
      <c r="X280" s="14">
        <f>J496</f>
        <v>0</v>
      </c>
      <c r="Y280" s="14">
        <v>19.493670886075947</v>
      </c>
    </row>
    <row r="281" spans="1:25">
      <c r="A281" s="84" t="s">
        <v>990</v>
      </c>
      <c r="B281" s="80">
        <v>3</v>
      </c>
      <c r="C281" s="81">
        <v>330500012</v>
      </c>
      <c r="D281" s="82" t="s">
        <v>748</v>
      </c>
      <c r="E281" s="105">
        <f t="shared" si="25"/>
        <v>0</v>
      </c>
      <c r="F281" s="16">
        <v>1490.514684388889</v>
      </c>
      <c r="G281" s="70">
        <f>Table5[[#This Row],[Probability]]*Table5[[#This Row],[Consequence]]</f>
        <v>1466.2087537878788</v>
      </c>
      <c r="H281" s="16">
        <f>RANK(Table5[[#This Row],[Risk Score]],$G$62:$G$312)</f>
        <v>23</v>
      </c>
      <c r="I281" s="16">
        <f>VLOOKUP(C281,Table1[[#All],[RC]:[Total Internal Corrosion Score]],27,FALSE)</f>
        <v>34.166666666666664</v>
      </c>
      <c r="J281" s="16">
        <f>RANK(Table5[[#This Row],[INTERNAL CORROSION]],$I$62:$I$312)</f>
        <v>8</v>
      </c>
      <c r="K281" s="16">
        <f>VLOOKUP(C281,Ext.Mo!$C$2:$AK$326,35,FALSE)</f>
        <v>19.493670000000002</v>
      </c>
      <c r="L281" s="16">
        <f>RANK(Table5[[#This Row],[EXTERNAL CORROSION]],$K$62:$K$312)</f>
        <v>3</v>
      </c>
      <c r="M281" s="16">
        <f>VLOOKUP(Table5[[#This Row],[RC]],Table3[[RC]:[Total TPI Score10]],23,0)</f>
        <v>43.63636363636364</v>
      </c>
      <c r="N281" s="16">
        <f>RANK(Table5[[#This Row],[THIRD PARTY INTERFERENCE]],$M$62:$M$312)</f>
        <v>2</v>
      </c>
      <c r="O281" s="16">
        <f>VLOOKUP(Table5[[#This Row],[RC]],LGS_Mo.!$C$5:$P$322,14,0)</f>
        <v>20</v>
      </c>
      <c r="P281" s="16">
        <f>RANK(Table5[[#This Row],[Loss  of ground support]],$O$62:$O$312)</f>
        <v>15</v>
      </c>
      <c r="Q281" s="16">
        <f>(I281+K281+M281+Table5[[#This Row],[Loss  of ground support]])/4</f>
        <v>29.324175075757577</v>
      </c>
      <c r="R281" s="16">
        <f>VLOOKUP(C281,consequence!$B$2:$K$302,10,FALSE)</f>
        <v>3</v>
      </c>
      <c r="S281" s="16">
        <f>VLOOKUP(C281,consequence!B186:$K$302,9,FALSE)</f>
        <v>7</v>
      </c>
      <c r="T281" s="63">
        <f t="shared" si="23"/>
        <v>50</v>
      </c>
      <c r="U281" s="69">
        <f>RANK(Table5[[#This Row],[Consequence]],$T$62:$T$264)</f>
        <v>1</v>
      </c>
      <c r="V281" s="16"/>
      <c r="X281" s="14" t="e">
        <f>#REF!</f>
        <v>#REF!</v>
      </c>
      <c r="Y281" s="14">
        <v>19.493670886075947</v>
      </c>
    </row>
    <row r="282" spans="1:25">
      <c r="A282" s="84" t="s">
        <v>990</v>
      </c>
      <c r="B282" s="80">
        <v>3</v>
      </c>
      <c r="C282" s="81">
        <v>330600002</v>
      </c>
      <c r="D282" s="82" t="s">
        <v>755</v>
      </c>
      <c r="E282" s="105">
        <f t="shared" si="25"/>
        <v>0</v>
      </c>
      <c r="F282" s="16">
        <v>1490.514684388889</v>
      </c>
      <c r="G282" s="70">
        <f>Table5[[#This Row],[Probability]]*Table5[[#This Row],[Consequence]]</f>
        <v>1466.2087537878788</v>
      </c>
      <c r="H282" s="16">
        <f>RANK(Table5[[#This Row],[Risk Score]],$G$62:$G$312)</f>
        <v>23</v>
      </c>
      <c r="I282" s="16">
        <f>VLOOKUP(C282,Table1[[#All],[RC]:[Total Internal Corrosion Score]],27,FALSE)</f>
        <v>34.166666666666664</v>
      </c>
      <c r="J282" s="16">
        <f>RANK(Table5[[#This Row],[INTERNAL CORROSION]],$I$62:$I$312)</f>
        <v>8</v>
      </c>
      <c r="K282" s="16">
        <f>VLOOKUP(C282,Ext.Mo!$C$2:$AK$326,35,FALSE)</f>
        <v>19.493670000000002</v>
      </c>
      <c r="L282" s="16">
        <f>RANK(Table5[[#This Row],[EXTERNAL CORROSION]],$K$62:$K$312)</f>
        <v>3</v>
      </c>
      <c r="M282" s="16">
        <f>VLOOKUP(Table5[[#This Row],[RC]],Table3[[RC]:[Total TPI Score10]],23,0)</f>
        <v>43.63636363636364</v>
      </c>
      <c r="N282" s="16">
        <f>RANK(Table5[[#This Row],[THIRD PARTY INTERFERENCE]],$M$62:$M$312)</f>
        <v>2</v>
      </c>
      <c r="O282" s="16">
        <f>VLOOKUP(Table5[[#This Row],[RC]],LGS_Mo.!$C$5:$P$322,14,0)</f>
        <v>20</v>
      </c>
      <c r="P282" s="16">
        <f>RANK(Table5[[#This Row],[Loss  of ground support]],$O$62:$O$312)</f>
        <v>15</v>
      </c>
      <c r="Q282" s="16">
        <f>(I282+K282+M282+Table5[[#This Row],[Loss  of ground support]])/4</f>
        <v>29.324175075757577</v>
      </c>
      <c r="R282" s="16">
        <f>VLOOKUP(C282,consequence!$B$2:$K$302,10,FALSE)</f>
        <v>3</v>
      </c>
      <c r="S282" s="16">
        <f>VLOOKUP(C282,consequence!B187:$K$302,9,FALSE)</f>
        <v>7</v>
      </c>
      <c r="T282" s="16">
        <f t="shared" si="23"/>
        <v>50</v>
      </c>
      <c r="U282" s="69">
        <f>RANK(Table5[[#This Row],[Consequence]],$T$62:$T$264)</f>
        <v>1</v>
      </c>
      <c r="V282" s="16"/>
      <c r="X282" s="14">
        <f>J498</f>
        <v>0</v>
      </c>
      <c r="Y282" s="14">
        <v>19.493670886075947</v>
      </c>
    </row>
    <row r="283" spans="1:25">
      <c r="A283" s="84" t="s">
        <v>990</v>
      </c>
      <c r="B283" s="80">
        <v>3</v>
      </c>
      <c r="C283" s="81">
        <v>330600003</v>
      </c>
      <c r="D283" s="82" t="s">
        <v>752</v>
      </c>
      <c r="E283" s="105">
        <f t="shared" si="25"/>
        <v>0</v>
      </c>
      <c r="F283" s="16">
        <v>1490.514684388889</v>
      </c>
      <c r="G283" s="70">
        <f>Table5[[#This Row],[Probability]]*Table5[[#This Row],[Consequence]]</f>
        <v>1466.2087537878788</v>
      </c>
      <c r="H283" s="16">
        <f>RANK(Table5[[#This Row],[Risk Score]],$G$62:$G$312)</f>
        <v>23</v>
      </c>
      <c r="I283" s="16">
        <f>VLOOKUP(C283,Table1[[#All],[RC]:[Total Internal Corrosion Score]],27,FALSE)</f>
        <v>34.166666666666664</v>
      </c>
      <c r="J283" s="16">
        <f>RANK(Table5[[#This Row],[INTERNAL CORROSION]],$I$62:$I$312)</f>
        <v>8</v>
      </c>
      <c r="K283" s="16">
        <f>VLOOKUP(C283,Ext.Mo!$C$2:$AK$326,35,FALSE)</f>
        <v>19.493670000000002</v>
      </c>
      <c r="L283" s="16">
        <f>RANK(Table5[[#This Row],[EXTERNAL CORROSION]],$K$62:$K$312)</f>
        <v>3</v>
      </c>
      <c r="M283" s="16">
        <f>VLOOKUP(Table5[[#This Row],[RC]],Table3[[RC]:[Total TPI Score10]],23,0)</f>
        <v>43.63636363636364</v>
      </c>
      <c r="N283" s="16">
        <f>RANK(Table5[[#This Row],[THIRD PARTY INTERFERENCE]],$M$62:$M$312)</f>
        <v>2</v>
      </c>
      <c r="O283" s="16">
        <f>VLOOKUP(Table5[[#This Row],[RC]],LGS_Mo.!$C$5:$P$322,14,0)</f>
        <v>20</v>
      </c>
      <c r="P283" s="16">
        <f>RANK(Table5[[#This Row],[Loss  of ground support]],$O$62:$O$312)</f>
        <v>15</v>
      </c>
      <c r="Q283" s="16">
        <f>(I283+K283+M283+Table5[[#This Row],[Loss  of ground support]])/4</f>
        <v>29.324175075757577</v>
      </c>
      <c r="R283" s="16">
        <f>VLOOKUP(C283,consequence!$B$2:$K$302,10,FALSE)</f>
        <v>3</v>
      </c>
      <c r="S283" s="16">
        <f>VLOOKUP(C283,consequence!B188:$K$302,9,FALSE)</f>
        <v>7</v>
      </c>
      <c r="T283" s="63">
        <f t="shared" si="23"/>
        <v>50</v>
      </c>
      <c r="U283" s="69">
        <f>RANK(Table5[[#This Row],[Consequence]],$T$62:$T$264)</f>
        <v>1</v>
      </c>
      <c r="V283" s="16"/>
      <c r="X283" s="14">
        <f>J499</f>
        <v>0</v>
      </c>
      <c r="Y283" s="14">
        <v>19.493670886075947</v>
      </c>
    </row>
    <row r="284" spans="1:25">
      <c r="A284" s="80">
        <v>42</v>
      </c>
      <c r="B284" s="80">
        <v>3</v>
      </c>
      <c r="C284" s="81">
        <v>340300002</v>
      </c>
      <c r="D284" s="82" t="s">
        <v>746</v>
      </c>
      <c r="E284" s="105">
        <f>F383</f>
        <v>0</v>
      </c>
      <c r="F284" s="16">
        <v>1490.514684388889</v>
      </c>
      <c r="G284" s="70">
        <f>Table5[[#This Row],[Probability]]*Table5[[#This Row],[Consequence]]</f>
        <v>1466.2087537878788</v>
      </c>
      <c r="H284" s="16">
        <f>RANK(Table5[[#This Row],[Risk Score]],$G$62:$G$312)</f>
        <v>23</v>
      </c>
      <c r="I284" s="16">
        <f>VLOOKUP(C284,Table1[[#All],[RC]:[Total Internal Corrosion Score]],27,FALSE)</f>
        <v>34.166666666666664</v>
      </c>
      <c r="J284" s="16">
        <f>RANK(Table5[[#This Row],[INTERNAL CORROSION]],$I$62:$I$312)</f>
        <v>8</v>
      </c>
      <c r="K284" s="16">
        <f>VLOOKUP(C284,Ext.Mo!$C$2:$AK$326,35,FALSE)</f>
        <v>19.493670000000002</v>
      </c>
      <c r="L284" s="16">
        <f>RANK(Table5[[#This Row],[EXTERNAL CORROSION]],$K$62:$K$312)</f>
        <v>3</v>
      </c>
      <c r="M284" s="16">
        <f>VLOOKUP(Table5[[#This Row],[RC]],Table3[[RC]:[Total TPI Score10]],23,0)</f>
        <v>43.63636363636364</v>
      </c>
      <c r="N284" s="16">
        <f>RANK(Table5[[#This Row],[THIRD PARTY INTERFERENCE]],$M$62:$M$312)</f>
        <v>2</v>
      </c>
      <c r="O284" s="16">
        <f>VLOOKUP(Table5[[#This Row],[RC]],LGS_Mo.!$C$5:$P$322,14,0)</f>
        <v>20</v>
      </c>
      <c r="P284" s="16">
        <f>RANK(Table5[[#This Row],[Loss  of ground support]],$O$62:$O$312)</f>
        <v>15</v>
      </c>
      <c r="Q284" s="16">
        <f>(I284+K284+M284+Table5[[#This Row],[Loss  of ground support]])/4</f>
        <v>29.324175075757577</v>
      </c>
      <c r="R284" s="16">
        <f>VLOOKUP(C284,consequence!$B$2:$K$302,10,FALSE)</f>
        <v>3</v>
      </c>
      <c r="S284" s="16">
        <f>VLOOKUP(C284,consequence!B191:$K$302,9,FALSE)</f>
        <v>7</v>
      </c>
      <c r="T284" s="16">
        <f t="shared" si="23"/>
        <v>50</v>
      </c>
      <c r="U284" s="69">
        <f>RANK(Table5[[#This Row],[Consequence]],$T$62:$T$264)</f>
        <v>1</v>
      </c>
      <c r="V284" s="16"/>
      <c r="X284" s="14">
        <f>J502</f>
        <v>0</v>
      </c>
      <c r="Y284" s="14">
        <v>19.493670886075947</v>
      </c>
    </row>
    <row r="285" spans="1:25">
      <c r="A285" s="80">
        <v>42</v>
      </c>
      <c r="B285" s="80">
        <v>3</v>
      </c>
      <c r="C285" s="81">
        <v>3402106</v>
      </c>
      <c r="D285" s="82" t="s">
        <v>763</v>
      </c>
      <c r="E285" s="105">
        <f>F389</f>
        <v>0</v>
      </c>
      <c r="F285" s="16">
        <v>1490.514684388889</v>
      </c>
      <c r="G285" s="70">
        <f>Table5[[#This Row],[Probability]]*Table5[[#This Row],[Consequence]]</f>
        <v>1459.2643093434344</v>
      </c>
      <c r="H285" s="16">
        <f>RANK(Table5[[#This Row],[Risk Score]],$G$62:$G$312)</f>
        <v>130</v>
      </c>
      <c r="I285" s="16">
        <f>VLOOKUP(C285,Table1[[#All],[RC]:[Total Internal Corrosion Score]],27,FALSE)</f>
        <v>33.611111111111107</v>
      </c>
      <c r="J285" s="16">
        <f>RANK(Table5[[#This Row],[INTERNAL CORROSION]],$I$62:$I$312)</f>
        <v>208</v>
      </c>
      <c r="K285" s="16">
        <f>VLOOKUP(C285,Ext.Mo!$C$2:$AK$326,35,FALSE)</f>
        <v>19.493670000000002</v>
      </c>
      <c r="L285" s="16">
        <f>RANK(Table5[[#This Row],[EXTERNAL CORROSION]],$K$62:$K$312)</f>
        <v>3</v>
      </c>
      <c r="M285" s="16">
        <f>VLOOKUP(Table5[[#This Row],[RC]],Table3[[RC]:[Total TPI Score10]],23,0)</f>
        <v>43.63636363636364</v>
      </c>
      <c r="N285" s="16">
        <f>RANK(Table5[[#This Row],[THIRD PARTY INTERFERENCE]],$M$62:$M$312)</f>
        <v>2</v>
      </c>
      <c r="O285" s="16">
        <f>VLOOKUP(Table5[[#This Row],[RC]],LGS_Mo.!$C$5:$P$322,14,0)</f>
        <v>20</v>
      </c>
      <c r="P285" s="16">
        <f>RANK(Table5[[#This Row],[Loss  of ground support]],$O$62:$O$312)</f>
        <v>15</v>
      </c>
      <c r="Q285" s="16">
        <f>(I285+K285+M285+Table5[[#This Row],[Loss  of ground support]])/4</f>
        <v>29.185286186868687</v>
      </c>
      <c r="R285" s="16">
        <f>VLOOKUP(C285,consequence!$B$2:$K$302,10,FALSE)</f>
        <v>3</v>
      </c>
      <c r="S285" s="16">
        <f>VLOOKUP(C285,consequence!B197:$K$302,9,FALSE)</f>
        <v>7</v>
      </c>
      <c r="T285" s="16">
        <f t="shared" si="23"/>
        <v>50</v>
      </c>
      <c r="U285" s="69">
        <f>RANK(Table5[[#This Row],[Consequence]],$T$62:$T$264)</f>
        <v>1</v>
      </c>
      <c r="V285" s="16"/>
      <c r="X285" s="14">
        <f>J508</f>
        <v>0</v>
      </c>
      <c r="Y285" s="14">
        <v>19.493670886075947</v>
      </c>
    </row>
    <row r="286" spans="1:25">
      <c r="A286" s="84" t="s">
        <v>990</v>
      </c>
      <c r="B286" s="80">
        <v>3</v>
      </c>
      <c r="C286" s="81">
        <v>330800104</v>
      </c>
      <c r="D286" s="82" t="s">
        <v>304</v>
      </c>
      <c r="E286" s="105">
        <f>F397</f>
        <v>0</v>
      </c>
      <c r="F286" s="16">
        <v>1490.514684388889</v>
      </c>
      <c r="G286" s="70">
        <f>Table5[[#This Row],[Probability]]*Table5[[#This Row],[Consequence]]</f>
        <v>1466.2087537878788</v>
      </c>
      <c r="H286" s="16">
        <f>RANK(Table5[[#This Row],[Risk Score]],$G$62:$G$312)</f>
        <v>23</v>
      </c>
      <c r="I286" s="16">
        <f>VLOOKUP(C286,Table1[[#All],[RC]:[Total Internal Corrosion Score]],27,FALSE)</f>
        <v>34.166666666666664</v>
      </c>
      <c r="J286" s="16">
        <f>RANK(Table5[[#This Row],[INTERNAL CORROSION]],$I$62:$I$312)</f>
        <v>8</v>
      </c>
      <c r="K286" s="16">
        <f>VLOOKUP(C286,Ext.Mo!$C$2:$AK$326,35,FALSE)</f>
        <v>19.493670000000002</v>
      </c>
      <c r="L286" s="16">
        <f>RANK(Table5[[#This Row],[EXTERNAL CORROSION]],$K$62:$K$312)</f>
        <v>3</v>
      </c>
      <c r="M286" s="16">
        <f>VLOOKUP(Table5[[#This Row],[RC]],Table3[[RC]:[Total TPI Score10]],23,0)</f>
        <v>43.63636363636364</v>
      </c>
      <c r="N286" s="16">
        <f>RANK(Table5[[#This Row],[THIRD PARTY INTERFERENCE]],$M$62:$M$312)</f>
        <v>2</v>
      </c>
      <c r="O286" s="16">
        <f>VLOOKUP(Table5[[#This Row],[RC]],LGS_Mo.!$C$5:$P$322,14,0)</f>
        <v>20</v>
      </c>
      <c r="P286" s="16">
        <f>RANK(Table5[[#This Row],[Loss  of ground support]],$O$62:$O$312)</f>
        <v>15</v>
      </c>
      <c r="Q286" s="16">
        <f>(I286+K286+M286+Table5[[#This Row],[Loss  of ground support]])/4</f>
        <v>29.324175075757577</v>
      </c>
      <c r="R286" s="16">
        <f>VLOOKUP(C286,consequence!$B$2:$K$302,10,FALSE)</f>
        <v>3</v>
      </c>
      <c r="S286" s="16">
        <f>VLOOKUP(C286,consequence!B205:$K$302,9,FALSE)</f>
        <v>7</v>
      </c>
      <c r="T286" s="16">
        <f t="shared" si="23"/>
        <v>50</v>
      </c>
      <c r="U286" s="69">
        <f>RANK(Table5[[#This Row],[Consequence]],$T$62:$T$264)</f>
        <v>1</v>
      </c>
      <c r="V286" s="16"/>
      <c r="X286" s="14">
        <f>J516</f>
        <v>0</v>
      </c>
      <c r="Y286" s="14">
        <v>19.493670886075947</v>
      </c>
    </row>
    <row r="287" spans="1:25">
      <c r="A287" s="84" t="s">
        <v>990</v>
      </c>
      <c r="B287" s="87">
        <v>3</v>
      </c>
      <c r="C287" s="88">
        <v>33081004</v>
      </c>
      <c r="D287" s="89" t="s">
        <v>304</v>
      </c>
      <c r="E287" s="105">
        <f>F398</f>
        <v>0</v>
      </c>
      <c r="F287" s="16">
        <v>1490.514684388889</v>
      </c>
      <c r="G287" s="70">
        <f>Table5[[#This Row],[Probability]]*Table5[[#This Row],[Consequence]]</f>
        <v>1466.2087537878788</v>
      </c>
      <c r="H287" s="16">
        <f>RANK(Table5[[#This Row],[Risk Score]],$G$62:$G$312)</f>
        <v>23</v>
      </c>
      <c r="I287" s="16">
        <f>VLOOKUP(C287,Table1[[#All],[RC]:[Total Internal Corrosion Score]],27,FALSE)</f>
        <v>34.166666666666664</v>
      </c>
      <c r="J287" s="16">
        <f>RANK(Table5[[#This Row],[INTERNAL CORROSION]],$I$62:$I$312)</f>
        <v>8</v>
      </c>
      <c r="K287" s="16">
        <f>VLOOKUP(C287,Ext.Mo!$C$2:$AK$326,35,FALSE)</f>
        <v>19.493670000000002</v>
      </c>
      <c r="L287" s="16">
        <f>RANK(Table5[[#This Row],[EXTERNAL CORROSION]],$K$62:$K$312)</f>
        <v>3</v>
      </c>
      <c r="M287" s="16">
        <f>VLOOKUP(Table5[[#This Row],[RC]],Table3[[RC]:[Total TPI Score10]],23,0)</f>
        <v>43.63636363636364</v>
      </c>
      <c r="N287" s="16">
        <f>RANK(Table5[[#This Row],[THIRD PARTY INTERFERENCE]],$M$62:$M$312)</f>
        <v>2</v>
      </c>
      <c r="O287" s="16">
        <f>VLOOKUP(Table5[[#This Row],[RC]],LGS_Mo.!$C$5:$P$322,14,0)</f>
        <v>20</v>
      </c>
      <c r="P287" s="16">
        <f>RANK(Table5[[#This Row],[Loss  of ground support]],$O$62:$O$312)</f>
        <v>15</v>
      </c>
      <c r="Q287" s="16">
        <f>(I287+K287+M287+Table5[[#This Row],[Loss  of ground support]])/4</f>
        <v>29.324175075757577</v>
      </c>
      <c r="R287" s="16">
        <f>VLOOKUP(C287,consequence!$B$2:$K$302,10,FALSE)</f>
        <v>3</v>
      </c>
      <c r="S287" s="16">
        <f>VLOOKUP(C287,consequence!B206:$K$302,9,FALSE)</f>
        <v>7</v>
      </c>
      <c r="T287" s="63">
        <f t="shared" si="23"/>
        <v>50</v>
      </c>
      <c r="U287" s="69">
        <f>RANK(Table5[[#This Row],[Consequence]],$T$62:$T$264)</f>
        <v>1</v>
      </c>
      <c r="V287" s="16"/>
      <c r="X287" s="14">
        <f>J517</f>
        <v>0</v>
      </c>
      <c r="Y287" s="14">
        <v>19.493670886075947</v>
      </c>
    </row>
    <row r="288" spans="1:25">
      <c r="A288" s="84" t="s">
        <v>990</v>
      </c>
      <c r="B288" s="84">
        <v>3</v>
      </c>
      <c r="C288" s="81">
        <v>33083010</v>
      </c>
      <c r="D288" s="82" t="s">
        <v>305</v>
      </c>
      <c r="E288" s="105">
        <f>F399</f>
        <v>0</v>
      </c>
      <c r="F288" s="16">
        <v>1490.514684388889</v>
      </c>
      <c r="G288" s="70">
        <f>Table5[[#This Row],[Probability]]*Table5[[#This Row],[Consequence]]</f>
        <v>1466.2087537878788</v>
      </c>
      <c r="H288" s="16">
        <f>RANK(Table5[[#This Row],[Risk Score]],$G$62:$G$312)</f>
        <v>23</v>
      </c>
      <c r="I288" s="16">
        <f>VLOOKUP(C288,Table1[[#All],[RC]:[Total Internal Corrosion Score]],27,FALSE)</f>
        <v>34.166666666666664</v>
      </c>
      <c r="J288" s="16">
        <f>RANK(Table5[[#This Row],[INTERNAL CORROSION]],$I$62:$I$312)</f>
        <v>8</v>
      </c>
      <c r="K288" s="16">
        <f>VLOOKUP(C288,Ext.Mo!$C$2:$AK$326,35,FALSE)</f>
        <v>19.493670000000002</v>
      </c>
      <c r="L288" s="16">
        <f>RANK(Table5[[#This Row],[EXTERNAL CORROSION]],$K$62:$K$312)</f>
        <v>3</v>
      </c>
      <c r="M288" s="16">
        <f>VLOOKUP(Table5[[#This Row],[RC]],Table3[[RC]:[Total TPI Score10]],23,0)</f>
        <v>43.63636363636364</v>
      </c>
      <c r="N288" s="16">
        <f>RANK(Table5[[#This Row],[THIRD PARTY INTERFERENCE]],$M$62:$M$312)</f>
        <v>2</v>
      </c>
      <c r="O288" s="16">
        <f>VLOOKUP(Table5[[#This Row],[RC]],LGS_Mo.!$C$5:$P$322,14,0)</f>
        <v>20</v>
      </c>
      <c r="P288" s="16">
        <f>RANK(Table5[[#This Row],[Loss  of ground support]],$O$62:$O$312)</f>
        <v>15</v>
      </c>
      <c r="Q288" s="16">
        <f>(I288+K288+M288+Table5[[#This Row],[Loss  of ground support]])/4</f>
        <v>29.324175075757577</v>
      </c>
      <c r="R288" s="16">
        <f>VLOOKUP(C288,consequence!$B$2:$K$302,10,FALSE)</f>
        <v>3</v>
      </c>
      <c r="S288" s="16">
        <f>VLOOKUP(C288,consequence!B207:$K$302,9,FALSE)</f>
        <v>7</v>
      </c>
      <c r="T288" s="16">
        <f t="shared" si="23"/>
        <v>50</v>
      </c>
      <c r="U288" s="69">
        <f>RANK(Table5[[#This Row],[Consequence]],$T$62:$T$264)</f>
        <v>1</v>
      </c>
      <c r="V288" s="16"/>
      <c r="X288" s="14">
        <f>J518</f>
        <v>0</v>
      </c>
      <c r="Y288" s="14">
        <v>19.493670886075947</v>
      </c>
    </row>
    <row r="289" spans="1:25">
      <c r="A289" s="84" t="s">
        <v>990</v>
      </c>
      <c r="B289" s="84">
        <v>3</v>
      </c>
      <c r="C289" s="81">
        <v>330820005</v>
      </c>
      <c r="D289" s="82" t="s">
        <v>309</v>
      </c>
      <c r="E289" s="105">
        <f>F403</f>
        <v>0</v>
      </c>
      <c r="F289" s="16">
        <v>1490.514684388889</v>
      </c>
      <c r="G289" s="70">
        <f>Table5[[#This Row],[Probability]]*Table5[[#This Row],[Consequence]]</f>
        <v>1459.2643093434344</v>
      </c>
      <c r="H289" s="16">
        <f>RANK(Table5[[#This Row],[Risk Score]],$G$62:$G$312)</f>
        <v>130</v>
      </c>
      <c r="I289" s="16">
        <f>VLOOKUP(C289,Table1[[#All],[RC]:[Total Internal Corrosion Score]],27,FALSE)</f>
        <v>33.611111111111107</v>
      </c>
      <c r="J289" s="16">
        <f>RANK(Table5[[#This Row],[INTERNAL CORROSION]],$I$62:$I$312)</f>
        <v>208</v>
      </c>
      <c r="K289" s="16">
        <f>VLOOKUP(C289,Ext.Mo!$C$2:$AK$326,35,FALSE)</f>
        <v>19.493670000000002</v>
      </c>
      <c r="L289" s="16">
        <f>RANK(Table5[[#This Row],[EXTERNAL CORROSION]],$K$62:$K$312)</f>
        <v>3</v>
      </c>
      <c r="M289" s="16">
        <f>VLOOKUP(Table5[[#This Row],[RC]],Table3[[RC]:[Total TPI Score10]],23,0)</f>
        <v>43.63636363636364</v>
      </c>
      <c r="N289" s="16">
        <f>RANK(Table5[[#This Row],[THIRD PARTY INTERFERENCE]],$M$62:$M$312)</f>
        <v>2</v>
      </c>
      <c r="O289" s="16">
        <f>VLOOKUP(Table5[[#This Row],[RC]],LGS_Mo.!$C$5:$P$322,14,0)</f>
        <v>20</v>
      </c>
      <c r="P289" s="16">
        <f>RANK(Table5[[#This Row],[Loss  of ground support]],$O$62:$O$312)</f>
        <v>15</v>
      </c>
      <c r="Q289" s="16">
        <f>(I289+K289+M289+Table5[[#This Row],[Loss  of ground support]])/4</f>
        <v>29.185286186868687</v>
      </c>
      <c r="R289" s="16">
        <f>VLOOKUP(C289,consequence!$B$2:$K$302,10,FALSE)</f>
        <v>3</v>
      </c>
      <c r="S289" s="16">
        <f>VLOOKUP(C289,consequence!B211:$K$302,9,FALSE)</f>
        <v>7</v>
      </c>
      <c r="T289" s="16">
        <f t="shared" si="23"/>
        <v>50</v>
      </c>
      <c r="U289" s="69">
        <f>RANK(Table5[[#This Row],[Consequence]],$T$62:$T$264)</f>
        <v>1</v>
      </c>
      <c r="V289" s="16"/>
      <c r="X289" s="14">
        <f>J522</f>
        <v>0</v>
      </c>
      <c r="Y289" s="14">
        <v>19.493670886075947</v>
      </c>
    </row>
    <row r="290" spans="1:25">
      <c r="A290" s="84" t="s">
        <v>990</v>
      </c>
      <c r="B290" s="80">
        <v>3</v>
      </c>
      <c r="C290" s="81">
        <v>330900001</v>
      </c>
      <c r="D290" s="82" t="s">
        <v>767</v>
      </c>
      <c r="E290" s="105">
        <f>F404</f>
        <v>0</v>
      </c>
      <c r="F290" s="16">
        <v>1490.514684388889</v>
      </c>
      <c r="G290" s="70">
        <f>Table5[[#This Row],[Probability]]*Table5[[#This Row],[Consequence]]</f>
        <v>1466.2087537878788</v>
      </c>
      <c r="H290" s="16">
        <f>RANK(Table5[[#This Row],[Risk Score]],$G$62:$G$312)</f>
        <v>23</v>
      </c>
      <c r="I290" s="16">
        <f>VLOOKUP(C290,Table1[[#All],[RC]:[Total Internal Corrosion Score]],27,FALSE)</f>
        <v>34.166666666666664</v>
      </c>
      <c r="J290" s="16">
        <f>RANK(Table5[[#This Row],[INTERNAL CORROSION]],$I$62:$I$312)</f>
        <v>8</v>
      </c>
      <c r="K290" s="16">
        <f>VLOOKUP(C290,Ext.Mo!$C$2:$AK$326,35,FALSE)</f>
        <v>19.493670000000002</v>
      </c>
      <c r="L290" s="16">
        <f>RANK(Table5[[#This Row],[EXTERNAL CORROSION]],$K$62:$K$312)</f>
        <v>3</v>
      </c>
      <c r="M290" s="16">
        <f>VLOOKUP(Table5[[#This Row],[RC]],Table3[[RC]:[Total TPI Score10]],23,0)</f>
        <v>43.63636363636364</v>
      </c>
      <c r="N290" s="16">
        <f>RANK(Table5[[#This Row],[THIRD PARTY INTERFERENCE]],$M$62:$M$312)</f>
        <v>2</v>
      </c>
      <c r="O290" s="16">
        <f>VLOOKUP(Table5[[#This Row],[RC]],LGS_Mo.!$C$5:$P$322,14,0)</f>
        <v>20</v>
      </c>
      <c r="P290" s="16">
        <f>RANK(Table5[[#This Row],[Loss  of ground support]],$O$62:$O$312)</f>
        <v>15</v>
      </c>
      <c r="Q290" s="16">
        <f>(I290+K290+M290+Table5[[#This Row],[Loss  of ground support]])/4</f>
        <v>29.324175075757577</v>
      </c>
      <c r="R290" s="16">
        <f>VLOOKUP(C290,consequence!$B$2:$K$302,10,FALSE)</f>
        <v>3</v>
      </c>
      <c r="S290" s="16">
        <f>VLOOKUP(C290,consequence!B212:$K$302,9,FALSE)</f>
        <v>7</v>
      </c>
      <c r="T290" s="63">
        <f t="shared" si="23"/>
        <v>50</v>
      </c>
      <c r="U290" s="69">
        <f>RANK(Table5[[#This Row],[Consequence]],$T$62:$T$264)</f>
        <v>1</v>
      </c>
      <c r="V290" s="16"/>
      <c r="X290" s="14">
        <f>J523</f>
        <v>0</v>
      </c>
      <c r="Y290" s="14">
        <v>19.493670886075947</v>
      </c>
    </row>
    <row r="291" spans="1:25">
      <c r="A291" s="84" t="s">
        <v>990</v>
      </c>
      <c r="B291" s="84">
        <v>3</v>
      </c>
      <c r="C291" s="81">
        <v>330901001</v>
      </c>
      <c r="D291" s="82" t="s">
        <v>310</v>
      </c>
      <c r="E291" s="105">
        <f>F405</f>
        <v>0</v>
      </c>
      <c r="F291" s="16">
        <v>1490.514684388889</v>
      </c>
      <c r="G291" s="70">
        <f>Table5[[#This Row],[Probability]]*Table5[[#This Row],[Consequence]]</f>
        <v>1466.2087537878788</v>
      </c>
      <c r="H291" s="16">
        <f>RANK(Table5[[#This Row],[Risk Score]],$G$62:$G$312)</f>
        <v>23</v>
      </c>
      <c r="I291" s="16">
        <f>VLOOKUP(C291,Table1[[#All],[RC]:[Total Internal Corrosion Score]],27,FALSE)</f>
        <v>34.166666666666664</v>
      </c>
      <c r="J291" s="16">
        <f>RANK(Table5[[#This Row],[INTERNAL CORROSION]],$I$62:$I$312)</f>
        <v>8</v>
      </c>
      <c r="K291" s="16">
        <f>VLOOKUP(C291,Ext.Mo!$C$2:$AK$326,35,FALSE)</f>
        <v>19.493670000000002</v>
      </c>
      <c r="L291" s="16">
        <f>RANK(Table5[[#This Row],[EXTERNAL CORROSION]],$K$62:$K$312)</f>
        <v>3</v>
      </c>
      <c r="M291" s="16">
        <f>VLOOKUP(Table5[[#This Row],[RC]],Table3[[RC]:[Total TPI Score10]],23,0)</f>
        <v>43.63636363636364</v>
      </c>
      <c r="N291" s="16">
        <f>RANK(Table5[[#This Row],[THIRD PARTY INTERFERENCE]],$M$62:$M$312)</f>
        <v>2</v>
      </c>
      <c r="O291" s="16">
        <f>VLOOKUP(Table5[[#This Row],[RC]],LGS_Mo.!$C$5:$P$322,14,0)</f>
        <v>20</v>
      </c>
      <c r="P291" s="16">
        <f>RANK(Table5[[#This Row],[Loss  of ground support]],$O$62:$O$312)</f>
        <v>15</v>
      </c>
      <c r="Q291" s="16">
        <f>(I291+K291+M291+Table5[[#This Row],[Loss  of ground support]])/4</f>
        <v>29.324175075757577</v>
      </c>
      <c r="R291" s="16">
        <f>VLOOKUP(C291,consequence!$B$2:$K$302,10,FALSE)</f>
        <v>3</v>
      </c>
      <c r="S291" s="16">
        <f>VLOOKUP(C291,consequence!B213:$K$302,9,FALSE)</f>
        <v>7</v>
      </c>
      <c r="T291" s="16">
        <f t="shared" si="23"/>
        <v>50</v>
      </c>
      <c r="U291" s="69">
        <f>RANK(Table5[[#This Row],[Consequence]],$T$62:$T$264)</f>
        <v>1</v>
      </c>
      <c r="V291" s="16"/>
      <c r="X291" s="14">
        <f>J524</f>
        <v>0</v>
      </c>
      <c r="Y291" s="14">
        <v>19.493670886075947</v>
      </c>
    </row>
    <row r="292" spans="1:25">
      <c r="A292" s="84" t="s">
        <v>990</v>
      </c>
      <c r="B292" s="80">
        <v>3</v>
      </c>
      <c r="C292" s="81">
        <v>330901002</v>
      </c>
      <c r="D292" s="82" t="s">
        <v>757</v>
      </c>
      <c r="E292" s="105">
        <f>F406</f>
        <v>0</v>
      </c>
      <c r="F292" s="16">
        <v>1490.514684388889</v>
      </c>
      <c r="G292" s="70">
        <f>Table5[[#This Row],[Probability]]*Table5[[#This Row],[Consequence]]</f>
        <v>1466.2087537878788</v>
      </c>
      <c r="H292" s="16">
        <f>RANK(Table5[[#This Row],[Risk Score]],$G$62:$G$312)</f>
        <v>23</v>
      </c>
      <c r="I292" s="16">
        <f>VLOOKUP(C292,Table1[[#All],[RC]:[Total Internal Corrosion Score]],27,FALSE)</f>
        <v>34.166666666666664</v>
      </c>
      <c r="J292" s="16">
        <f>RANK(Table5[[#This Row],[INTERNAL CORROSION]],$I$62:$I$312)</f>
        <v>8</v>
      </c>
      <c r="K292" s="16">
        <f>VLOOKUP(C292,Ext.Mo!$C$2:$AK$326,35,FALSE)</f>
        <v>19.493670000000002</v>
      </c>
      <c r="L292" s="16">
        <f>RANK(Table5[[#This Row],[EXTERNAL CORROSION]],$K$62:$K$312)</f>
        <v>3</v>
      </c>
      <c r="M292" s="16">
        <f>VLOOKUP(Table5[[#This Row],[RC]],Table3[[RC]:[Total TPI Score10]],23,0)</f>
        <v>43.63636363636364</v>
      </c>
      <c r="N292" s="16">
        <f>RANK(Table5[[#This Row],[THIRD PARTY INTERFERENCE]],$M$62:$M$312)</f>
        <v>2</v>
      </c>
      <c r="O292" s="16">
        <f>VLOOKUP(Table5[[#This Row],[RC]],LGS_Mo.!$C$5:$P$322,14,0)</f>
        <v>20</v>
      </c>
      <c r="P292" s="16">
        <f>RANK(Table5[[#This Row],[Loss  of ground support]],$O$62:$O$312)</f>
        <v>15</v>
      </c>
      <c r="Q292" s="16">
        <f>(I292+K292+M292+Table5[[#This Row],[Loss  of ground support]])/4</f>
        <v>29.324175075757577</v>
      </c>
      <c r="R292" s="16">
        <f>VLOOKUP(C292,consequence!$B$2:$K$302,10,FALSE)</f>
        <v>3</v>
      </c>
      <c r="S292" s="16">
        <f>VLOOKUP(C292,consequence!B214:$K$302,9,FALSE)</f>
        <v>7</v>
      </c>
      <c r="T292" s="63">
        <f t="shared" si="23"/>
        <v>50</v>
      </c>
      <c r="U292" s="69">
        <f>RANK(Table5[[#This Row],[Consequence]],$T$62:$T$264)</f>
        <v>1</v>
      </c>
      <c r="V292" s="16"/>
      <c r="X292" s="14">
        <f>J525</f>
        <v>0</v>
      </c>
      <c r="Y292" s="14">
        <v>19.493670886075947</v>
      </c>
    </row>
    <row r="293" spans="1:25">
      <c r="A293" s="84" t="s">
        <v>990</v>
      </c>
      <c r="B293" s="80">
        <v>3</v>
      </c>
      <c r="C293" s="81">
        <v>330901003</v>
      </c>
      <c r="D293" s="82" t="s">
        <v>759</v>
      </c>
      <c r="E293" s="105">
        <f>F407</f>
        <v>0</v>
      </c>
      <c r="F293" s="16">
        <v>1490.514684388889</v>
      </c>
      <c r="G293" s="70">
        <f>Table5[[#This Row],[Probability]]*Table5[[#This Row],[Consequence]]</f>
        <v>1466.2087537878788</v>
      </c>
      <c r="H293" s="16">
        <f>RANK(Table5[[#This Row],[Risk Score]],$G$62:$G$312)</f>
        <v>23</v>
      </c>
      <c r="I293" s="16">
        <f>VLOOKUP(C293,Table1[[#All],[RC]:[Total Internal Corrosion Score]],27,FALSE)</f>
        <v>34.166666666666664</v>
      </c>
      <c r="J293" s="16">
        <f>RANK(Table5[[#This Row],[INTERNAL CORROSION]],$I$62:$I$312)</f>
        <v>8</v>
      </c>
      <c r="K293" s="16">
        <f>VLOOKUP(C293,Ext.Mo!$C$2:$AK$326,35,FALSE)</f>
        <v>19.493670000000002</v>
      </c>
      <c r="L293" s="16">
        <f>RANK(Table5[[#This Row],[EXTERNAL CORROSION]],$K$62:$K$312)</f>
        <v>3</v>
      </c>
      <c r="M293" s="16">
        <f>VLOOKUP(Table5[[#This Row],[RC]],Table3[[RC]:[Total TPI Score10]],23,0)</f>
        <v>43.63636363636364</v>
      </c>
      <c r="N293" s="16">
        <f>RANK(Table5[[#This Row],[THIRD PARTY INTERFERENCE]],$M$62:$M$312)</f>
        <v>2</v>
      </c>
      <c r="O293" s="16">
        <f>VLOOKUP(Table5[[#This Row],[RC]],LGS_Mo.!$C$5:$P$322,14,0)</f>
        <v>20</v>
      </c>
      <c r="P293" s="16">
        <f>RANK(Table5[[#This Row],[Loss  of ground support]],$O$62:$O$312)</f>
        <v>15</v>
      </c>
      <c r="Q293" s="16">
        <f>(I293+K293+M293+Table5[[#This Row],[Loss  of ground support]])/4</f>
        <v>29.324175075757577</v>
      </c>
      <c r="R293" s="16">
        <f>VLOOKUP(C293,consequence!$B$2:$K$302,10,FALSE)</f>
        <v>3</v>
      </c>
      <c r="S293" s="16">
        <f>VLOOKUP(C293,consequence!B215:$K$302,9,FALSE)</f>
        <v>7</v>
      </c>
      <c r="T293" s="16">
        <f t="shared" si="23"/>
        <v>50</v>
      </c>
      <c r="U293" s="69">
        <f>RANK(Table5[[#This Row],[Consequence]],$T$62:$T$264)</f>
        <v>1</v>
      </c>
      <c r="V293" s="16"/>
      <c r="X293" s="14">
        <f>J526</f>
        <v>0</v>
      </c>
      <c r="Y293" s="14">
        <v>19.493670886075947</v>
      </c>
    </row>
    <row r="294" spans="1:25">
      <c r="A294" s="84" t="s">
        <v>990</v>
      </c>
      <c r="B294" s="254">
        <v>3</v>
      </c>
      <c r="C294" s="257">
        <v>3301</v>
      </c>
      <c r="D294" s="257" t="s">
        <v>943</v>
      </c>
      <c r="E294" s="109">
        <f t="shared" ref="E294:E307" si="26">F393</f>
        <v>0</v>
      </c>
      <c r="F294" s="16">
        <v>1490.514684388889</v>
      </c>
      <c r="G294" s="70">
        <f>Table5[[#This Row],[Probability]]*Table5[[#This Row],[Consequence]]</f>
        <v>1466.2087537878788</v>
      </c>
      <c r="H294" s="16">
        <f>RANK(Table5[[#This Row],[Risk Score]],$G$62:$G$312)</f>
        <v>23</v>
      </c>
      <c r="I294" s="63">
        <f>VLOOKUP(C294,Table1[[#All],[RC]:[Total Internal Corrosion Score]],27,FALSE)</f>
        <v>34.166666666666664</v>
      </c>
      <c r="J294" s="63">
        <f>RANK(Table5[[#This Row],[INTERNAL CORROSION]],$I$62:$I$312)</f>
        <v>8</v>
      </c>
      <c r="K294" s="16">
        <f>VLOOKUP(C294,Ext.Mo!$C$2:$AK$326,35,FALSE)</f>
        <v>19.493670000000002</v>
      </c>
      <c r="L294" s="16">
        <f>RANK(Table5[[#This Row],[EXTERNAL CORROSION]],$K$62:$K$312)</f>
        <v>3</v>
      </c>
      <c r="M294" s="63">
        <f>VLOOKUP(Table5[[#This Row],[RC]],Table3[[RC]:[Total TPI Score10]],23,0)</f>
        <v>43.63636363636364</v>
      </c>
      <c r="N294" s="63">
        <f>RANK(Table5[[#This Row],[THIRD PARTY INTERFERENCE]],$M$62:$M$312)</f>
        <v>2</v>
      </c>
      <c r="O294" s="63">
        <f>VLOOKUP(Table5[[#This Row],[RC]],LGS_Mo.!$C$5:$P$322,14,0)</f>
        <v>20</v>
      </c>
      <c r="P294" s="63">
        <f>RANK(Table5[[#This Row],[Loss  of ground support]],$O$62:$O$312)</f>
        <v>15</v>
      </c>
      <c r="Q294" s="63">
        <f>(I294+K294+M294+Table5[[#This Row],[Loss  of ground support]])/4</f>
        <v>29.324175075757577</v>
      </c>
      <c r="R294" s="16">
        <v>3</v>
      </c>
      <c r="S294" s="16">
        <v>7</v>
      </c>
      <c r="T294" s="63">
        <f t="shared" si="23"/>
        <v>50</v>
      </c>
      <c r="U294" s="70">
        <f>RANK(Table5[[#This Row],[Consequence]],$T$62:$T$264)</f>
        <v>1</v>
      </c>
      <c r="V294" s="16"/>
      <c r="X294" s="14">
        <f t="shared" ref="X294:X310" si="27">J531</f>
        <v>0</v>
      </c>
      <c r="Y294" s="14">
        <v>19.493670886075947</v>
      </c>
    </row>
    <row r="295" spans="1:25">
      <c r="A295" s="84" t="s">
        <v>990</v>
      </c>
      <c r="B295" s="254">
        <v>3</v>
      </c>
      <c r="C295" s="257">
        <v>330100001</v>
      </c>
      <c r="D295" s="257" t="s">
        <v>930</v>
      </c>
      <c r="E295" s="109">
        <f t="shared" si="26"/>
        <v>0</v>
      </c>
      <c r="F295" s="16">
        <v>1490.514684388889</v>
      </c>
      <c r="G295" s="70">
        <f>Table5[[#This Row],[Probability]]*Table5[[#This Row],[Consequence]]</f>
        <v>1466.2087537878788</v>
      </c>
      <c r="H295" s="16">
        <f>RANK(Table5[[#This Row],[Risk Score]],$G$62:$G$312)</f>
        <v>23</v>
      </c>
      <c r="I295" s="63">
        <f>VLOOKUP(C295,Table1[[#All],[RC]:[Total Internal Corrosion Score]],27,FALSE)</f>
        <v>34.166666666666664</v>
      </c>
      <c r="J295" s="63">
        <f>RANK(Table5[[#This Row],[INTERNAL CORROSION]],$I$62:$I$312)</f>
        <v>8</v>
      </c>
      <c r="K295" s="16">
        <f>VLOOKUP(C295,Ext.Mo!$C$2:$AK$326,35,FALSE)</f>
        <v>19.493670000000002</v>
      </c>
      <c r="L295" s="16">
        <f>RANK(Table5[[#This Row],[EXTERNAL CORROSION]],$K$62:$K$312)</f>
        <v>3</v>
      </c>
      <c r="M295" s="63">
        <f>VLOOKUP(Table5[[#This Row],[RC]],Table3[[RC]:[Total TPI Score10]],23,0)</f>
        <v>43.63636363636364</v>
      </c>
      <c r="N295" s="63">
        <f>RANK(Table5[[#This Row],[THIRD PARTY INTERFERENCE]],$M$62:$M$312)</f>
        <v>2</v>
      </c>
      <c r="O295" s="63">
        <f>VLOOKUP(Table5[[#This Row],[RC]],LGS_Mo.!$C$5:$P$322,14,0)</f>
        <v>20</v>
      </c>
      <c r="P295" s="63">
        <f>RANK(Table5[[#This Row],[Loss  of ground support]],$O$62:$O$312)</f>
        <v>15</v>
      </c>
      <c r="Q295" s="63">
        <f>(I295+K295+M295+Table5[[#This Row],[Loss  of ground support]])/4</f>
        <v>29.324175075757577</v>
      </c>
      <c r="R295" s="16">
        <v>3</v>
      </c>
      <c r="S295" s="16">
        <v>7</v>
      </c>
      <c r="T295" s="63">
        <f t="shared" si="23"/>
        <v>50</v>
      </c>
      <c r="U295" s="70">
        <f>RANK(Table5[[#This Row],[Consequence]],$T$62:$T$264)</f>
        <v>1</v>
      </c>
      <c r="V295" s="16"/>
      <c r="X295" s="14">
        <f t="shared" si="27"/>
        <v>0</v>
      </c>
      <c r="Y295" s="14">
        <v>19.493670886075947</v>
      </c>
    </row>
    <row r="296" spans="1:25">
      <c r="A296" s="84" t="s">
        <v>990</v>
      </c>
      <c r="B296" s="254">
        <v>3</v>
      </c>
      <c r="C296" s="257">
        <v>330100004</v>
      </c>
      <c r="D296" s="257" t="s">
        <v>769</v>
      </c>
      <c r="E296" s="109">
        <f t="shared" si="26"/>
        <v>0</v>
      </c>
      <c r="F296" s="16">
        <v>1490.514684388889</v>
      </c>
      <c r="G296" s="70">
        <f>Table5[[#This Row],[Probability]]*Table5[[#This Row],[Consequence]]</f>
        <v>1466.2087537878788</v>
      </c>
      <c r="H296" s="16">
        <f>RANK(Table5[[#This Row],[Risk Score]],$G$62:$G$312)</f>
        <v>23</v>
      </c>
      <c r="I296" s="63">
        <f>VLOOKUP(C296,Table1[[#All],[RC]:[Total Internal Corrosion Score]],27,FALSE)</f>
        <v>34.166666666666664</v>
      </c>
      <c r="J296" s="63">
        <f>RANK(Table5[[#This Row],[INTERNAL CORROSION]],$I$62:$I$312)</f>
        <v>8</v>
      </c>
      <c r="K296" s="16">
        <f>VLOOKUP(C296,Ext.Mo!$C$2:$AK$326,35,FALSE)</f>
        <v>19.493670000000002</v>
      </c>
      <c r="L296" s="16">
        <f>RANK(Table5[[#This Row],[EXTERNAL CORROSION]],$K$62:$K$312)</f>
        <v>3</v>
      </c>
      <c r="M296" s="63">
        <f>VLOOKUP(Table5[[#This Row],[RC]],Table3[[RC]:[Total TPI Score10]],23,0)</f>
        <v>43.63636363636364</v>
      </c>
      <c r="N296" s="63">
        <f>RANK(Table5[[#This Row],[THIRD PARTY INTERFERENCE]],$M$62:$M$312)</f>
        <v>2</v>
      </c>
      <c r="O296" s="63">
        <f>VLOOKUP(Table5[[#This Row],[RC]],LGS_Mo.!$C$5:$P$322,14,0)</f>
        <v>20</v>
      </c>
      <c r="P296" s="63">
        <f>RANK(Table5[[#This Row],[Loss  of ground support]],$O$62:$O$312)</f>
        <v>15</v>
      </c>
      <c r="Q296" s="63">
        <f>(I296+K296+M296+Table5[[#This Row],[Loss  of ground support]])/4</f>
        <v>29.324175075757577</v>
      </c>
      <c r="R296" s="16">
        <v>3</v>
      </c>
      <c r="S296" s="16">
        <v>7</v>
      </c>
      <c r="T296" s="63">
        <f t="shared" si="23"/>
        <v>50</v>
      </c>
      <c r="U296" s="70">
        <f>RANK(Table5[[#This Row],[Consequence]],$T$62:$T$264)</f>
        <v>1</v>
      </c>
      <c r="V296" s="16"/>
      <c r="X296" s="14">
        <f t="shared" si="27"/>
        <v>0</v>
      </c>
      <c r="Y296" s="14">
        <v>19.493670886075947</v>
      </c>
    </row>
    <row r="297" spans="1:25" s="120" customFormat="1">
      <c r="A297" s="84" t="s">
        <v>990</v>
      </c>
      <c r="B297" s="254">
        <v>3</v>
      </c>
      <c r="C297" s="257">
        <v>3302</v>
      </c>
      <c r="D297" s="257" t="s">
        <v>917</v>
      </c>
      <c r="E297" s="109">
        <f t="shared" si="26"/>
        <v>0</v>
      </c>
      <c r="F297" s="16">
        <v>1490.514684388889</v>
      </c>
      <c r="G297" s="70">
        <f>Table5[[#This Row],[Probability]]*Table5[[#This Row],[Consequence]]</f>
        <v>1466.2087537878788</v>
      </c>
      <c r="H297" s="16">
        <f>RANK(Table5[[#This Row],[Risk Score]],$G$62:$G$312)</f>
        <v>23</v>
      </c>
      <c r="I297" s="63">
        <f>VLOOKUP(C297,Table1[[#All],[RC]:[Total Internal Corrosion Score]],27,FALSE)</f>
        <v>34.166666666666664</v>
      </c>
      <c r="J297" s="63">
        <f>RANK(Table5[[#This Row],[INTERNAL CORROSION]],$I$62:$I$312)</f>
        <v>8</v>
      </c>
      <c r="K297" s="16">
        <f>VLOOKUP(C297,Ext.Mo!$C$2:$AK$326,35,FALSE)</f>
        <v>19.493670000000002</v>
      </c>
      <c r="L297" s="16">
        <f>RANK(Table5[[#This Row],[EXTERNAL CORROSION]],$K$62:$K$312)</f>
        <v>3</v>
      </c>
      <c r="M297" s="63">
        <f>VLOOKUP(Table5[[#This Row],[RC]],Table3[[RC]:[Total TPI Score10]],23,0)</f>
        <v>43.63636363636364</v>
      </c>
      <c r="N297" s="63">
        <f>RANK(Table5[[#This Row],[THIRD PARTY INTERFERENCE]],$M$62:$M$312)</f>
        <v>2</v>
      </c>
      <c r="O297" s="63">
        <f>VLOOKUP(Table5[[#This Row],[RC]],LGS_Mo.!$C$5:$P$322,14,0)</f>
        <v>20</v>
      </c>
      <c r="P297" s="63">
        <f>RANK(Table5[[#This Row],[Loss  of ground support]],$O$62:$O$312)</f>
        <v>15</v>
      </c>
      <c r="Q297" s="63">
        <f>(I297+K297+M297+Table5[[#This Row],[Loss  of ground support]])/4</f>
        <v>29.324175075757577</v>
      </c>
      <c r="R297" s="16">
        <v>3</v>
      </c>
      <c r="S297" s="16">
        <v>7</v>
      </c>
      <c r="T297" s="63">
        <f t="shared" si="23"/>
        <v>50</v>
      </c>
      <c r="U297" s="70">
        <f>RANK(Table5[[#This Row],[Consequence]],$T$62:$T$264)</f>
        <v>1</v>
      </c>
      <c r="V297" s="16"/>
      <c r="X297" s="14">
        <f t="shared" si="27"/>
        <v>0</v>
      </c>
      <c r="Y297" s="14">
        <v>19.493670886075947</v>
      </c>
    </row>
    <row r="298" spans="1:25">
      <c r="A298" s="84" t="s">
        <v>990</v>
      </c>
      <c r="B298" s="254">
        <v>3</v>
      </c>
      <c r="C298" s="257">
        <v>3303</v>
      </c>
      <c r="D298" s="257" t="s">
        <v>923</v>
      </c>
      <c r="E298" s="109">
        <f t="shared" si="26"/>
        <v>0</v>
      </c>
      <c r="F298" s="16">
        <v>1490.514684388889</v>
      </c>
      <c r="G298" s="70">
        <f>Table5[[#This Row],[Probability]]*Table5[[#This Row],[Consequence]]</f>
        <v>1466.2087537878788</v>
      </c>
      <c r="H298" s="16">
        <f>RANK(Table5[[#This Row],[Risk Score]],$G$62:$G$312)</f>
        <v>23</v>
      </c>
      <c r="I298" s="63">
        <f>VLOOKUP(C298,Table1[[#All],[RC]:[Total Internal Corrosion Score]],27,FALSE)</f>
        <v>34.166666666666664</v>
      </c>
      <c r="J298" s="63">
        <f>RANK(Table5[[#This Row],[INTERNAL CORROSION]],$I$62:$I$312)</f>
        <v>8</v>
      </c>
      <c r="K298" s="16">
        <f>VLOOKUP(C298,Ext.Mo!$C$2:$AK$326,35,FALSE)</f>
        <v>19.493670000000002</v>
      </c>
      <c r="L298" s="16">
        <f>RANK(Table5[[#This Row],[EXTERNAL CORROSION]],$K$62:$K$312)</f>
        <v>3</v>
      </c>
      <c r="M298" s="63">
        <f>VLOOKUP(Table5[[#This Row],[RC]],Table3[[RC]:[Total TPI Score10]],23,0)</f>
        <v>43.63636363636364</v>
      </c>
      <c r="N298" s="63">
        <f>RANK(Table5[[#This Row],[THIRD PARTY INTERFERENCE]],$M$62:$M$312)</f>
        <v>2</v>
      </c>
      <c r="O298" s="63">
        <f>VLOOKUP(Table5[[#This Row],[RC]],LGS_Mo.!$C$5:$P$322,14,0)</f>
        <v>20</v>
      </c>
      <c r="P298" s="63">
        <f>RANK(Table5[[#This Row],[Loss  of ground support]],$O$62:$O$312)</f>
        <v>15</v>
      </c>
      <c r="Q298" s="63">
        <f>(I298+K298+M298+Table5[[#This Row],[Loss  of ground support]])/4</f>
        <v>29.324175075757577</v>
      </c>
      <c r="R298" s="16">
        <v>3</v>
      </c>
      <c r="S298" s="16">
        <v>7</v>
      </c>
      <c r="T298" s="63">
        <f t="shared" si="23"/>
        <v>50</v>
      </c>
      <c r="U298" s="70">
        <f>RANK(Table5[[#This Row],[Consequence]],$T$62:$T$264)</f>
        <v>1</v>
      </c>
      <c r="V298" s="16"/>
      <c r="X298" s="14">
        <f t="shared" si="27"/>
        <v>0</v>
      </c>
      <c r="Y298" s="14">
        <v>19.493670886075947</v>
      </c>
    </row>
    <row r="299" spans="1:25">
      <c r="A299" s="84" t="s">
        <v>990</v>
      </c>
      <c r="B299" s="254">
        <v>3</v>
      </c>
      <c r="C299" s="257">
        <v>330300002</v>
      </c>
      <c r="D299" s="257" t="s">
        <v>927</v>
      </c>
      <c r="E299" s="109">
        <f t="shared" si="26"/>
        <v>0</v>
      </c>
      <c r="F299" s="16">
        <v>1490.514684388889</v>
      </c>
      <c r="G299" s="70">
        <f>Table5[[#This Row],[Probability]]*Table5[[#This Row],[Consequence]]</f>
        <v>1466.2087537878788</v>
      </c>
      <c r="H299" s="16">
        <f>RANK(Table5[[#This Row],[Risk Score]],$G$62:$G$312)</f>
        <v>23</v>
      </c>
      <c r="I299" s="63">
        <f>VLOOKUP(C299,Table1[[#All],[RC]:[Total Internal Corrosion Score]],27,FALSE)</f>
        <v>34.166666666666664</v>
      </c>
      <c r="J299" s="63">
        <f>RANK(Table5[[#This Row],[INTERNAL CORROSION]],$I$62:$I$312)</f>
        <v>8</v>
      </c>
      <c r="K299" s="16">
        <f>VLOOKUP(C299,Ext.Mo!$C$2:$AK$326,35,FALSE)</f>
        <v>19.493670000000002</v>
      </c>
      <c r="L299" s="16">
        <f>RANK(Table5[[#This Row],[EXTERNAL CORROSION]],$K$62:$K$312)</f>
        <v>3</v>
      </c>
      <c r="M299" s="63">
        <f>VLOOKUP(Table5[[#This Row],[RC]],Table3[[RC]:[Total TPI Score10]],23,0)</f>
        <v>43.63636363636364</v>
      </c>
      <c r="N299" s="63">
        <f>RANK(Table5[[#This Row],[THIRD PARTY INTERFERENCE]],$M$62:$M$312)</f>
        <v>2</v>
      </c>
      <c r="O299" s="63">
        <f>VLOOKUP(Table5[[#This Row],[RC]],LGS_Mo.!$C$5:$P$322,14,0)</f>
        <v>20</v>
      </c>
      <c r="P299" s="63">
        <f>RANK(Table5[[#This Row],[Loss  of ground support]],$O$62:$O$312)</f>
        <v>15</v>
      </c>
      <c r="Q299" s="63">
        <f>(I299+K299+M299+Table5[[#This Row],[Loss  of ground support]])/4</f>
        <v>29.324175075757577</v>
      </c>
      <c r="R299" s="16">
        <v>3</v>
      </c>
      <c r="S299" s="16">
        <v>7</v>
      </c>
      <c r="T299" s="63">
        <f t="shared" si="23"/>
        <v>50</v>
      </c>
      <c r="U299" s="70">
        <f>RANK(Table5[[#This Row],[Consequence]],$T$62:$T$264)</f>
        <v>1</v>
      </c>
      <c r="V299" s="16"/>
      <c r="X299" s="14">
        <f t="shared" si="27"/>
        <v>0</v>
      </c>
      <c r="Y299" s="14">
        <v>19.493670886075947</v>
      </c>
    </row>
    <row r="300" spans="1:25">
      <c r="A300" s="84" t="s">
        <v>990</v>
      </c>
      <c r="B300" s="254">
        <v>3</v>
      </c>
      <c r="C300" s="257">
        <v>330300004</v>
      </c>
      <c r="D300" s="257" t="s">
        <v>925</v>
      </c>
      <c r="E300" s="109">
        <f t="shared" si="26"/>
        <v>0</v>
      </c>
      <c r="F300" s="16">
        <v>1490.514684388889</v>
      </c>
      <c r="G300" s="70">
        <f>Table5[[#This Row],[Probability]]*Table5[[#This Row],[Consequence]]</f>
        <v>1466.2087537878788</v>
      </c>
      <c r="H300" s="16">
        <f>RANK(Table5[[#This Row],[Risk Score]],$G$62:$G$312)</f>
        <v>23</v>
      </c>
      <c r="I300" s="63">
        <f>VLOOKUP(C300,Table1[[#All],[RC]:[Total Internal Corrosion Score]],27,FALSE)</f>
        <v>34.166666666666664</v>
      </c>
      <c r="J300" s="63">
        <f>RANK(Table5[[#This Row],[INTERNAL CORROSION]],$I$62:$I$312)</f>
        <v>8</v>
      </c>
      <c r="K300" s="16">
        <f>VLOOKUP(C300,Ext.Mo!$C$2:$AK$326,35,FALSE)</f>
        <v>19.493670000000002</v>
      </c>
      <c r="L300" s="16">
        <f>RANK(Table5[[#This Row],[EXTERNAL CORROSION]],$K$62:$K$312)</f>
        <v>3</v>
      </c>
      <c r="M300" s="63">
        <f>VLOOKUP(Table5[[#This Row],[RC]],Table3[[RC]:[Total TPI Score10]],23,0)</f>
        <v>43.63636363636364</v>
      </c>
      <c r="N300" s="63">
        <f>RANK(Table5[[#This Row],[THIRD PARTY INTERFERENCE]],$M$62:$M$312)</f>
        <v>2</v>
      </c>
      <c r="O300" s="63">
        <f>VLOOKUP(Table5[[#This Row],[RC]],LGS_Mo.!$C$5:$P$322,14,0)</f>
        <v>20</v>
      </c>
      <c r="P300" s="63">
        <f>RANK(Table5[[#This Row],[Loss  of ground support]],$O$62:$O$312)</f>
        <v>15</v>
      </c>
      <c r="Q300" s="63">
        <f>(I300+K300+M300+Table5[[#This Row],[Loss  of ground support]])/4</f>
        <v>29.324175075757577</v>
      </c>
      <c r="R300" s="16">
        <v>3</v>
      </c>
      <c r="S300" s="16">
        <v>7</v>
      </c>
      <c r="T300" s="63">
        <f t="shared" si="23"/>
        <v>50</v>
      </c>
      <c r="U300" s="70">
        <f>RANK(Table5[[#This Row],[Consequence]],$T$62:$T$264)</f>
        <v>1</v>
      </c>
      <c r="V300" s="16"/>
      <c r="X300" s="14">
        <f t="shared" si="27"/>
        <v>0</v>
      </c>
      <c r="Y300" s="14">
        <v>19.493670886075947</v>
      </c>
    </row>
    <row r="301" spans="1:25">
      <c r="A301" s="84" t="s">
        <v>990</v>
      </c>
      <c r="B301" s="254">
        <v>3</v>
      </c>
      <c r="C301" s="257">
        <v>330400005</v>
      </c>
      <c r="D301" s="257" t="s">
        <v>931</v>
      </c>
      <c r="E301" s="109">
        <f t="shared" si="26"/>
        <v>0</v>
      </c>
      <c r="F301" s="16">
        <v>1490.514684388889</v>
      </c>
      <c r="G301" s="70">
        <f>Table5[[#This Row],[Probability]]*Table5[[#This Row],[Consequence]]</f>
        <v>1466.2087537878788</v>
      </c>
      <c r="H301" s="16">
        <f>RANK(Table5[[#This Row],[Risk Score]],$G$62:$G$312)</f>
        <v>23</v>
      </c>
      <c r="I301" s="63">
        <f>VLOOKUP(C301,Table1[[#All],[RC]:[Total Internal Corrosion Score]],27,FALSE)</f>
        <v>34.166666666666664</v>
      </c>
      <c r="J301" s="63">
        <f>RANK(Table5[[#This Row],[INTERNAL CORROSION]],$I$62:$I$312)</f>
        <v>8</v>
      </c>
      <c r="K301" s="16">
        <f>VLOOKUP(C301,Ext.Mo!$C$2:$AK$326,35,FALSE)</f>
        <v>19.493670000000002</v>
      </c>
      <c r="L301" s="16">
        <f>RANK(Table5[[#This Row],[EXTERNAL CORROSION]],$K$62:$K$312)</f>
        <v>3</v>
      </c>
      <c r="M301" s="63">
        <f>VLOOKUP(Table5[[#This Row],[RC]],Table3[[RC]:[Total TPI Score10]],23,0)</f>
        <v>43.63636363636364</v>
      </c>
      <c r="N301" s="63">
        <f>RANK(Table5[[#This Row],[THIRD PARTY INTERFERENCE]],$M$62:$M$312)</f>
        <v>2</v>
      </c>
      <c r="O301" s="63">
        <f>VLOOKUP(Table5[[#This Row],[RC]],LGS_Mo.!$C$5:$P$322,14,0)</f>
        <v>20</v>
      </c>
      <c r="P301" s="63">
        <f>RANK(Table5[[#This Row],[Loss  of ground support]],$O$62:$O$312)</f>
        <v>15</v>
      </c>
      <c r="Q301" s="63">
        <f>(I301+K301+M301+Table5[[#This Row],[Loss  of ground support]])/4</f>
        <v>29.324175075757577</v>
      </c>
      <c r="R301" s="16">
        <v>3</v>
      </c>
      <c r="S301" s="16">
        <v>7</v>
      </c>
      <c r="T301" s="63">
        <f t="shared" si="23"/>
        <v>50</v>
      </c>
      <c r="U301" s="70">
        <f>RANK(Table5[[#This Row],[Consequence]],$T$62:$T$264)</f>
        <v>1</v>
      </c>
      <c r="V301" s="16"/>
      <c r="X301" s="14">
        <f t="shared" si="27"/>
        <v>0</v>
      </c>
      <c r="Y301" s="14">
        <v>19.493670886075947</v>
      </c>
    </row>
    <row r="302" spans="1:25">
      <c r="A302" s="84" t="s">
        <v>990</v>
      </c>
      <c r="B302" s="254">
        <v>3</v>
      </c>
      <c r="C302" s="257">
        <v>3304</v>
      </c>
      <c r="D302" s="258" t="s">
        <v>915</v>
      </c>
      <c r="E302" s="109">
        <f t="shared" si="26"/>
        <v>0</v>
      </c>
      <c r="F302" s="16">
        <v>1490.514684388889</v>
      </c>
      <c r="G302" s="70">
        <f>Table5[[#This Row],[Probability]]*Table5[[#This Row],[Consequence]]</f>
        <v>1466.2087537878788</v>
      </c>
      <c r="H302" s="16">
        <f>RANK(Table5[[#This Row],[Risk Score]],$G$62:$G$312)</f>
        <v>23</v>
      </c>
      <c r="I302" s="63">
        <f>VLOOKUP(C302,Table1[[#All],[RC]:[Total Internal Corrosion Score]],27,FALSE)</f>
        <v>34.166666666666664</v>
      </c>
      <c r="J302" s="63">
        <f>RANK(Table5[[#This Row],[INTERNAL CORROSION]],$I$62:$I$312)</f>
        <v>8</v>
      </c>
      <c r="K302" s="16">
        <f>VLOOKUP(C302,Ext.Mo!$C$2:$AK$326,35,FALSE)</f>
        <v>19.493670000000002</v>
      </c>
      <c r="L302" s="16">
        <f>RANK(Table5[[#This Row],[EXTERNAL CORROSION]],$K$62:$K$312)</f>
        <v>3</v>
      </c>
      <c r="M302" s="63">
        <f>VLOOKUP(Table5[[#This Row],[RC]],Table3[[RC]:[Total TPI Score10]],23,0)</f>
        <v>43.63636363636364</v>
      </c>
      <c r="N302" s="63">
        <f>RANK(Table5[[#This Row],[THIRD PARTY INTERFERENCE]],$M$62:$M$312)</f>
        <v>2</v>
      </c>
      <c r="O302" s="63">
        <f>VLOOKUP(Table5[[#This Row],[RC]],LGS_Mo.!$C$5:$P$322,14,0)</f>
        <v>20</v>
      </c>
      <c r="P302" s="63">
        <f>RANK(Table5[[#This Row],[Loss  of ground support]],$O$62:$O$312)</f>
        <v>15</v>
      </c>
      <c r="Q302" s="63">
        <f>(I302+K302+M302+Table5[[#This Row],[Loss  of ground support]])/4</f>
        <v>29.324175075757577</v>
      </c>
      <c r="R302" s="16">
        <v>3</v>
      </c>
      <c r="S302" s="16">
        <v>7</v>
      </c>
      <c r="T302" s="63">
        <f t="shared" si="23"/>
        <v>50</v>
      </c>
      <c r="U302" s="70">
        <f>RANK(Table5[[#This Row],[Consequence]],$T$62:$T$264)</f>
        <v>1</v>
      </c>
      <c r="V302" s="16"/>
      <c r="X302" s="14">
        <f t="shared" si="27"/>
        <v>0</v>
      </c>
      <c r="Y302" s="14">
        <v>19.493670886075947</v>
      </c>
    </row>
    <row r="303" spans="1:25" s="120" customFormat="1">
      <c r="A303" s="84" t="s">
        <v>990</v>
      </c>
      <c r="B303" s="254">
        <v>3</v>
      </c>
      <c r="C303" s="257">
        <v>330401</v>
      </c>
      <c r="D303" s="257" t="s">
        <v>919</v>
      </c>
      <c r="E303" s="109">
        <f t="shared" si="26"/>
        <v>0</v>
      </c>
      <c r="F303" s="16">
        <v>1490.514684388889</v>
      </c>
      <c r="G303" s="70">
        <f>Table5[[#This Row],[Probability]]*Table5[[#This Row],[Consequence]]</f>
        <v>1466.2087537878788</v>
      </c>
      <c r="H303" s="16">
        <f>RANK(Table5[[#This Row],[Risk Score]],$G$62:$G$312)</f>
        <v>23</v>
      </c>
      <c r="I303" s="63">
        <f>VLOOKUP(C303,Table1[[#All],[RC]:[Total Internal Corrosion Score]],27,FALSE)</f>
        <v>34.166666666666664</v>
      </c>
      <c r="J303" s="63">
        <f>RANK(Table5[[#This Row],[INTERNAL CORROSION]],$I$62:$I$312)</f>
        <v>8</v>
      </c>
      <c r="K303" s="16">
        <f>VLOOKUP(C303,Ext.Mo!$C$2:$AK$326,35,FALSE)</f>
        <v>19.493670000000002</v>
      </c>
      <c r="L303" s="16">
        <f>RANK(Table5[[#This Row],[EXTERNAL CORROSION]],$K$62:$K$312)</f>
        <v>3</v>
      </c>
      <c r="M303" s="63">
        <f>VLOOKUP(Table5[[#This Row],[RC]],Table3[[RC]:[Total TPI Score10]],23,0)</f>
        <v>43.63636363636364</v>
      </c>
      <c r="N303" s="63">
        <f>RANK(Table5[[#This Row],[THIRD PARTY INTERFERENCE]],$M$62:$M$312)</f>
        <v>2</v>
      </c>
      <c r="O303" s="63">
        <f>VLOOKUP(Table5[[#This Row],[RC]],LGS_Mo.!$C$5:$P$322,14,0)</f>
        <v>20</v>
      </c>
      <c r="P303" s="63">
        <f>RANK(Table5[[#This Row],[Loss  of ground support]],$O$62:$O$312)</f>
        <v>15</v>
      </c>
      <c r="Q303" s="63">
        <f>(I303+K303+M303+Table5[[#This Row],[Loss  of ground support]])/4</f>
        <v>29.324175075757577</v>
      </c>
      <c r="R303" s="16">
        <v>3</v>
      </c>
      <c r="S303" s="16">
        <v>7</v>
      </c>
      <c r="T303" s="63">
        <f t="shared" si="23"/>
        <v>50</v>
      </c>
      <c r="U303" s="70">
        <f>RANK(Table5[[#This Row],[Consequence]],$T$62:$T$264)</f>
        <v>1</v>
      </c>
      <c r="V303" s="16"/>
      <c r="X303" s="14">
        <f t="shared" si="27"/>
        <v>0</v>
      </c>
      <c r="Y303" s="14">
        <v>19.493670886075947</v>
      </c>
    </row>
    <row r="304" spans="1:25">
      <c r="A304" s="84" t="s">
        <v>990</v>
      </c>
      <c r="B304" s="254">
        <v>3</v>
      </c>
      <c r="C304" s="257">
        <v>3305</v>
      </c>
      <c r="D304" s="258" t="s">
        <v>910</v>
      </c>
      <c r="E304" s="109">
        <f t="shared" si="26"/>
        <v>0</v>
      </c>
      <c r="F304" s="16">
        <v>1490.514684388889</v>
      </c>
      <c r="G304" s="70">
        <f>Table5[[#This Row],[Probability]]*Table5[[#This Row],[Consequence]]</f>
        <v>1466.2087537878788</v>
      </c>
      <c r="H304" s="16">
        <f>RANK(Table5[[#This Row],[Risk Score]],$G$62:$G$312)</f>
        <v>23</v>
      </c>
      <c r="I304" s="63">
        <f>VLOOKUP(C304,Table1[[#All],[RC]:[Total Internal Corrosion Score]],27,FALSE)</f>
        <v>34.166666666666664</v>
      </c>
      <c r="J304" s="63">
        <f>RANK(Table5[[#This Row],[INTERNAL CORROSION]],$I$62:$I$312)</f>
        <v>8</v>
      </c>
      <c r="K304" s="16">
        <f>VLOOKUP(C304,Ext.Mo!$C$2:$AK$326,35,FALSE)</f>
        <v>19.493670000000002</v>
      </c>
      <c r="L304" s="16">
        <f>RANK(Table5[[#This Row],[EXTERNAL CORROSION]],$K$62:$K$312)</f>
        <v>3</v>
      </c>
      <c r="M304" s="63">
        <f>VLOOKUP(Table5[[#This Row],[RC]],Table3[[RC]:[Total TPI Score10]],23,0)</f>
        <v>43.63636363636364</v>
      </c>
      <c r="N304" s="63">
        <f>RANK(Table5[[#This Row],[THIRD PARTY INTERFERENCE]],$M$62:$M$312)</f>
        <v>2</v>
      </c>
      <c r="O304" s="63">
        <f>VLOOKUP(Table5[[#This Row],[RC]],LGS_Mo.!$C$5:$P$322,14,0)</f>
        <v>20</v>
      </c>
      <c r="P304" s="63">
        <f>RANK(Table5[[#This Row],[Loss  of ground support]],$O$62:$O$312)</f>
        <v>15</v>
      </c>
      <c r="Q304" s="63">
        <f>(I304+K304+M304+Table5[[#This Row],[Loss  of ground support]])/4</f>
        <v>29.324175075757577</v>
      </c>
      <c r="R304" s="16">
        <v>3</v>
      </c>
      <c r="S304" s="16">
        <v>7</v>
      </c>
      <c r="T304" s="63">
        <f t="shared" si="23"/>
        <v>50</v>
      </c>
      <c r="U304" s="70">
        <f>RANK(Table5[[#This Row],[Consequence]],$T$62:$T$264)</f>
        <v>1</v>
      </c>
      <c r="V304" s="16"/>
      <c r="X304" s="14">
        <f t="shared" si="27"/>
        <v>0</v>
      </c>
      <c r="Y304" s="14">
        <v>19.493670886075947</v>
      </c>
    </row>
    <row r="305" spans="1:25">
      <c r="A305" s="84" t="s">
        <v>990</v>
      </c>
      <c r="B305" s="254">
        <v>3</v>
      </c>
      <c r="C305" s="257">
        <v>330500006</v>
      </c>
      <c r="D305" s="257" t="s">
        <v>934</v>
      </c>
      <c r="E305" s="109">
        <f t="shared" si="26"/>
        <v>0</v>
      </c>
      <c r="F305" s="16">
        <v>1490.514684388889</v>
      </c>
      <c r="G305" s="70">
        <f>Table5[[#This Row],[Probability]]*Table5[[#This Row],[Consequence]]</f>
        <v>1466.2087537878788</v>
      </c>
      <c r="H305" s="16">
        <f>RANK(Table5[[#This Row],[Risk Score]],$G$62:$G$312)</f>
        <v>23</v>
      </c>
      <c r="I305" s="63">
        <f>VLOOKUP(C305,Table1[[#All],[RC]:[Total Internal Corrosion Score]],27,FALSE)</f>
        <v>34.166666666666664</v>
      </c>
      <c r="J305" s="63">
        <f>RANK(Table5[[#This Row],[INTERNAL CORROSION]],$I$62:$I$312)</f>
        <v>8</v>
      </c>
      <c r="K305" s="16">
        <f>VLOOKUP(C305,Ext.Mo!$C$2:$AK$326,35,FALSE)</f>
        <v>19.493670000000002</v>
      </c>
      <c r="L305" s="16">
        <f>RANK(Table5[[#This Row],[EXTERNAL CORROSION]],$K$62:$K$312)</f>
        <v>3</v>
      </c>
      <c r="M305" s="63">
        <f>VLOOKUP(Table5[[#This Row],[RC]],Table3[[RC]:[Total TPI Score10]],23,0)</f>
        <v>43.63636363636364</v>
      </c>
      <c r="N305" s="63">
        <f>RANK(Table5[[#This Row],[THIRD PARTY INTERFERENCE]],$M$62:$M$312)</f>
        <v>2</v>
      </c>
      <c r="O305" s="63">
        <f>VLOOKUP(Table5[[#This Row],[RC]],LGS_Mo.!$C$5:$P$322,14,0)</f>
        <v>20</v>
      </c>
      <c r="P305" s="63">
        <f>RANK(Table5[[#This Row],[Loss  of ground support]],$O$62:$O$312)</f>
        <v>15</v>
      </c>
      <c r="Q305" s="63">
        <f>(I305+K305+M305+Table5[[#This Row],[Loss  of ground support]])/4</f>
        <v>29.324175075757577</v>
      </c>
      <c r="R305" s="16">
        <v>3</v>
      </c>
      <c r="S305" s="16">
        <v>7</v>
      </c>
      <c r="T305" s="63">
        <f t="shared" si="23"/>
        <v>50</v>
      </c>
      <c r="U305" s="70">
        <f>RANK(Table5[[#This Row],[Consequence]],$T$62:$T$264)</f>
        <v>1</v>
      </c>
      <c r="V305" s="16"/>
      <c r="X305" s="14">
        <f t="shared" si="27"/>
        <v>0</v>
      </c>
      <c r="Y305" s="14">
        <v>19.493670886075947</v>
      </c>
    </row>
    <row r="306" spans="1:25">
      <c r="A306" s="84" t="s">
        <v>990</v>
      </c>
      <c r="B306" s="254">
        <v>3</v>
      </c>
      <c r="C306" s="257">
        <v>330500010</v>
      </c>
      <c r="D306" s="257" t="s">
        <v>936</v>
      </c>
      <c r="E306" s="109">
        <f t="shared" si="26"/>
        <v>0</v>
      </c>
      <c r="F306" s="16">
        <v>1490.514684388889</v>
      </c>
      <c r="G306" s="70">
        <f>Table5[[#This Row],[Probability]]*Table5[[#This Row],[Consequence]]</f>
        <v>1466.2087537878788</v>
      </c>
      <c r="H306" s="16">
        <f>RANK(Table5[[#This Row],[Risk Score]],$G$62:$G$312)</f>
        <v>23</v>
      </c>
      <c r="I306" s="63">
        <f>VLOOKUP(C306,Table1[[#All],[RC]:[Total Internal Corrosion Score]],27,FALSE)</f>
        <v>34.166666666666664</v>
      </c>
      <c r="J306" s="63">
        <f>RANK(Table5[[#This Row],[INTERNAL CORROSION]],$I$62:$I$312)</f>
        <v>8</v>
      </c>
      <c r="K306" s="16">
        <f>VLOOKUP(C306,Ext.Mo!$C$2:$AK$326,35,FALSE)</f>
        <v>19.493670000000002</v>
      </c>
      <c r="L306" s="16">
        <f>RANK(Table5[[#This Row],[EXTERNAL CORROSION]],$K$62:$K$312)</f>
        <v>3</v>
      </c>
      <c r="M306" s="63">
        <f>VLOOKUP(Table5[[#This Row],[RC]],Table3[[RC]:[Total TPI Score10]],23,0)</f>
        <v>43.63636363636364</v>
      </c>
      <c r="N306" s="63">
        <f>RANK(Table5[[#This Row],[THIRD PARTY INTERFERENCE]],$M$62:$M$312)</f>
        <v>2</v>
      </c>
      <c r="O306" s="63">
        <f>VLOOKUP(Table5[[#This Row],[RC]],LGS_Mo.!$C$5:$P$322,14,0)</f>
        <v>20</v>
      </c>
      <c r="P306" s="63">
        <f>RANK(Table5[[#This Row],[Loss  of ground support]],$O$62:$O$312)</f>
        <v>15</v>
      </c>
      <c r="Q306" s="63">
        <f>(I306+K306+M306+Table5[[#This Row],[Loss  of ground support]])/4</f>
        <v>29.324175075757577</v>
      </c>
      <c r="R306" s="16">
        <v>3</v>
      </c>
      <c r="S306" s="16">
        <v>7</v>
      </c>
      <c r="T306" s="63">
        <f t="shared" si="23"/>
        <v>50</v>
      </c>
      <c r="U306" s="70">
        <f>RANK(Table5[[#This Row],[Consequence]],$T$62:$T$264)</f>
        <v>1</v>
      </c>
      <c r="V306" s="16"/>
      <c r="X306" s="14">
        <f t="shared" si="27"/>
        <v>0</v>
      </c>
      <c r="Y306" s="14">
        <v>19.493670886075947</v>
      </c>
    </row>
    <row r="307" spans="1:25">
      <c r="A307" s="84" t="s">
        <v>990</v>
      </c>
      <c r="B307" s="254">
        <v>3</v>
      </c>
      <c r="C307" s="257">
        <v>330500011</v>
      </c>
      <c r="D307" s="257" t="s">
        <v>940</v>
      </c>
      <c r="E307" s="109">
        <f t="shared" si="26"/>
        <v>0</v>
      </c>
      <c r="F307" s="16">
        <v>1490.514684388889</v>
      </c>
      <c r="G307" s="70">
        <f>Table5[[#This Row],[Probability]]*Table5[[#This Row],[Consequence]]</f>
        <v>1466.2087537878788</v>
      </c>
      <c r="H307" s="16">
        <f>RANK(Table5[[#This Row],[Risk Score]],$G$62:$G$312)</f>
        <v>23</v>
      </c>
      <c r="I307" s="63">
        <f>VLOOKUP(C307,Table1[[#All],[RC]:[Total Internal Corrosion Score]],27,FALSE)</f>
        <v>34.166666666666664</v>
      </c>
      <c r="J307" s="63">
        <f>RANK(Table5[[#This Row],[INTERNAL CORROSION]],$I$62:$I$312)</f>
        <v>8</v>
      </c>
      <c r="K307" s="16">
        <f>VLOOKUP(C307,Ext.Mo!$C$2:$AK$326,35,FALSE)</f>
        <v>19.493670000000002</v>
      </c>
      <c r="L307" s="16">
        <f>RANK(Table5[[#This Row],[EXTERNAL CORROSION]],$K$62:$K$312)</f>
        <v>3</v>
      </c>
      <c r="M307" s="63">
        <f>VLOOKUP(Table5[[#This Row],[RC]],Table3[[RC]:[Total TPI Score10]],23,0)</f>
        <v>43.63636363636364</v>
      </c>
      <c r="N307" s="63">
        <f>RANK(Table5[[#This Row],[THIRD PARTY INTERFERENCE]],$M$62:$M$312)</f>
        <v>2</v>
      </c>
      <c r="O307" s="63">
        <f>VLOOKUP(Table5[[#This Row],[RC]],LGS_Mo.!$C$5:$P$322,14,0)</f>
        <v>20</v>
      </c>
      <c r="P307" s="63">
        <f>RANK(Table5[[#This Row],[Loss  of ground support]],$O$62:$O$312)</f>
        <v>15</v>
      </c>
      <c r="Q307" s="63">
        <f>(I307+K307+M307+Table5[[#This Row],[Loss  of ground support]])/4</f>
        <v>29.324175075757577</v>
      </c>
      <c r="R307" s="16">
        <v>3</v>
      </c>
      <c r="S307" s="16">
        <v>7</v>
      </c>
      <c r="T307" s="63">
        <f t="shared" si="23"/>
        <v>50</v>
      </c>
      <c r="U307" s="70">
        <f>RANK(Table5[[#This Row],[Consequence]],$T$62:$T$264)</f>
        <v>1</v>
      </c>
      <c r="V307" s="16"/>
      <c r="X307" s="14">
        <f t="shared" si="27"/>
        <v>0</v>
      </c>
      <c r="Y307" s="14">
        <v>19.493670886075947</v>
      </c>
    </row>
    <row r="308" spans="1:25" s="9" customFormat="1">
      <c r="A308" s="84" t="s">
        <v>990</v>
      </c>
      <c r="B308" s="254">
        <v>3</v>
      </c>
      <c r="C308" s="257">
        <v>330500013</v>
      </c>
      <c r="D308" s="257" t="s">
        <v>921</v>
      </c>
      <c r="E308" s="109">
        <f>F405</f>
        <v>0</v>
      </c>
      <c r="F308" s="16">
        <v>1490.514684388889</v>
      </c>
      <c r="G308" s="70">
        <f>Table5[[#This Row],[Probability]]*Table5[[#This Row],[Consequence]]</f>
        <v>1466.2087537878788</v>
      </c>
      <c r="H308" s="16">
        <f>RANK(Table5[[#This Row],[Risk Score]],$G$62:$G$312)</f>
        <v>23</v>
      </c>
      <c r="I308" s="63">
        <f>VLOOKUP(C308,Table1[[#All],[RC]:[Total Internal Corrosion Score]],27,FALSE)</f>
        <v>34.166666666666664</v>
      </c>
      <c r="J308" s="63">
        <f>RANK(Table5[[#This Row],[INTERNAL CORROSION]],$I$62:$I$312)</f>
        <v>8</v>
      </c>
      <c r="K308" s="16">
        <f>VLOOKUP(C308,Ext.Mo!$C$2:$AK$326,35,FALSE)</f>
        <v>19.493670000000002</v>
      </c>
      <c r="L308" s="16">
        <f>RANK(Table5[[#This Row],[EXTERNAL CORROSION]],$K$62:$K$312)</f>
        <v>3</v>
      </c>
      <c r="M308" s="63">
        <f>VLOOKUP(Table5[[#This Row],[RC]],Table3[[RC]:[Total TPI Score10]],23,0)</f>
        <v>43.63636363636364</v>
      </c>
      <c r="N308" s="63">
        <f>RANK(Table5[[#This Row],[THIRD PARTY INTERFERENCE]],$M$62:$M$312)</f>
        <v>2</v>
      </c>
      <c r="O308" s="63">
        <f>VLOOKUP(Table5[[#This Row],[RC]],LGS_Mo.!$C$5:$P$322,14,0)</f>
        <v>20</v>
      </c>
      <c r="P308" s="63">
        <f>RANK(Table5[[#This Row],[Loss  of ground support]],$O$62:$O$312)</f>
        <v>15</v>
      </c>
      <c r="Q308" s="63">
        <f>(I308+K308+M308+Table5[[#This Row],[Loss  of ground support]])/4</f>
        <v>29.324175075757577</v>
      </c>
      <c r="R308" s="16">
        <v>3</v>
      </c>
      <c r="S308" s="16">
        <v>7</v>
      </c>
      <c r="T308" s="63">
        <f t="shared" si="23"/>
        <v>50</v>
      </c>
      <c r="U308" s="70">
        <f>RANK(Table5[[#This Row],[Consequence]],$T$62:$T$264)</f>
        <v>1</v>
      </c>
      <c r="V308" s="16"/>
      <c r="X308" s="14">
        <f t="shared" si="27"/>
        <v>0</v>
      </c>
      <c r="Y308" s="14">
        <v>19.493670886075947</v>
      </c>
    </row>
    <row r="309" spans="1:25">
      <c r="A309" s="84" t="s">
        <v>990</v>
      </c>
      <c r="B309" s="254">
        <v>3</v>
      </c>
      <c r="C309" s="257">
        <v>3307</v>
      </c>
      <c r="D309" s="258" t="s">
        <v>913</v>
      </c>
      <c r="E309" s="109">
        <f>F406</f>
        <v>0</v>
      </c>
      <c r="F309" s="16">
        <v>1490.514684388889</v>
      </c>
      <c r="G309" s="70">
        <f>Table5[[#This Row],[Probability]]*Table5[[#This Row],[Consequence]]</f>
        <v>1466.2087537878788</v>
      </c>
      <c r="H309" s="16">
        <f>RANK(Table5[[#This Row],[Risk Score]],$G$62:$G$312)</f>
        <v>23</v>
      </c>
      <c r="I309" s="63">
        <f>VLOOKUP(C309,Table1[[#All],[RC]:[Total Internal Corrosion Score]],27,FALSE)</f>
        <v>34.166666666666664</v>
      </c>
      <c r="J309" s="63">
        <f>RANK(Table5[[#This Row],[INTERNAL CORROSION]],$I$62:$I$312)</f>
        <v>8</v>
      </c>
      <c r="K309" s="16">
        <f>VLOOKUP(C309,Ext.Mo!$C$2:$AK$326,35,FALSE)</f>
        <v>19.493670000000002</v>
      </c>
      <c r="L309" s="16">
        <f>RANK(Table5[[#This Row],[EXTERNAL CORROSION]],$K$62:$K$312)</f>
        <v>3</v>
      </c>
      <c r="M309" s="63">
        <f>VLOOKUP(Table5[[#This Row],[RC]],Table3[[RC]:[Total TPI Score10]],23,0)</f>
        <v>43.63636363636364</v>
      </c>
      <c r="N309" s="63">
        <f>RANK(Table5[[#This Row],[THIRD PARTY INTERFERENCE]],$M$62:$M$312)</f>
        <v>2</v>
      </c>
      <c r="O309" s="63">
        <f>VLOOKUP(Table5[[#This Row],[RC]],LGS_Mo.!$C$5:$P$322,14,0)</f>
        <v>20</v>
      </c>
      <c r="P309" s="63">
        <f>RANK(Table5[[#This Row],[Loss  of ground support]],$O$62:$O$312)</f>
        <v>15</v>
      </c>
      <c r="Q309" s="63">
        <f>(I309+K309+M309+Table5[[#This Row],[Loss  of ground support]])/4</f>
        <v>29.324175075757577</v>
      </c>
      <c r="R309" s="16">
        <v>3</v>
      </c>
      <c r="S309" s="16">
        <v>7</v>
      </c>
      <c r="T309" s="63">
        <f t="shared" si="23"/>
        <v>50</v>
      </c>
      <c r="U309" s="70">
        <f>RANK(Table5[[#This Row],[Consequence]],$T$62:$T$264)</f>
        <v>1</v>
      </c>
      <c r="V309" s="16"/>
      <c r="X309" s="14">
        <f t="shared" si="27"/>
        <v>0</v>
      </c>
      <c r="Y309" s="14">
        <v>19.493670886075947</v>
      </c>
    </row>
    <row r="310" spans="1:25" s="9" customFormat="1">
      <c r="A310" s="84" t="s">
        <v>990</v>
      </c>
      <c r="B310" s="254">
        <v>3</v>
      </c>
      <c r="C310" s="257">
        <v>330500005</v>
      </c>
      <c r="D310" s="257" t="s">
        <v>938</v>
      </c>
      <c r="E310" s="109">
        <f>F407</f>
        <v>0</v>
      </c>
      <c r="F310" s="16">
        <v>1490.514684388889</v>
      </c>
      <c r="G310" s="70">
        <f>Table5[[#This Row],[Probability]]*Table5[[#This Row],[Consequence]]</f>
        <v>1466.2087537878788</v>
      </c>
      <c r="H310" s="16">
        <f>RANK(Table5[[#This Row],[Risk Score]],$G$62:$G$312)</f>
        <v>23</v>
      </c>
      <c r="I310" s="63">
        <f>VLOOKUP(C310,Table1[[#All],[RC]:[Total Internal Corrosion Score]],27,FALSE)</f>
        <v>34.166666666666664</v>
      </c>
      <c r="J310" s="63">
        <f>RANK(Table5[[#This Row],[INTERNAL CORROSION]],$I$62:$I$312)</f>
        <v>8</v>
      </c>
      <c r="K310" s="16">
        <f>VLOOKUP(C310,Ext.Mo!$C$2:$AK$326,35,FALSE)</f>
        <v>19.493670000000002</v>
      </c>
      <c r="L310" s="16">
        <f>RANK(Table5[[#This Row],[EXTERNAL CORROSION]],$K$62:$K$312)</f>
        <v>3</v>
      </c>
      <c r="M310" s="63">
        <f>VLOOKUP(Table5[[#This Row],[RC]],Table3[[RC]:[Total TPI Score10]],23,0)</f>
        <v>43.63636363636364</v>
      </c>
      <c r="N310" s="63">
        <f>RANK(Table5[[#This Row],[THIRD PARTY INTERFERENCE]],$M$62:$M$312)</f>
        <v>2</v>
      </c>
      <c r="O310" s="63">
        <f>VLOOKUP(Table5[[#This Row],[RC]],LGS_Mo.!$C$5:$P$322,14,0)</f>
        <v>20</v>
      </c>
      <c r="P310" s="63">
        <f>RANK(Table5[[#This Row],[Loss  of ground support]],$O$62:$O$312)</f>
        <v>15</v>
      </c>
      <c r="Q310" s="63">
        <f>(I310+K310+M310+Table5[[#This Row],[Loss  of ground support]])/4</f>
        <v>29.324175075757577</v>
      </c>
      <c r="R310" s="16">
        <v>3</v>
      </c>
      <c r="S310" s="16">
        <v>7</v>
      </c>
      <c r="T310" s="63">
        <f t="shared" si="23"/>
        <v>50</v>
      </c>
      <c r="U310" s="70">
        <f>RANK(Table5[[#This Row],[Consequence]],$T$62:$T$264)</f>
        <v>1</v>
      </c>
      <c r="V310" s="16"/>
      <c r="X310" s="14">
        <f t="shared" si="27"/>
        <v>0</v>
      </c>
      <c r="Y310" s="14">
        <v>19.493670886075947</v>
      </c>
    </row>
    <row r="311" spans="1:25" s="14" customFormat="1">
      <c r="A311" s="84" t="s">
        <v>990</v>
      </c>
      <c r="B311" s="254">
        <v>3</v>
      </c>
      <c r="C311" s="257">
        <v>33050001</v>
      </c>
      <c r="D311" s="257" t="s">
        <v>760</v>
      </c>
      <c r="E311" s="109">
        <f>F407</f>
        <v>0</v>
      </c>
      <c r="F311" s="16">
        <v>1490.514684388889</v>
      </c>
      <c r="G311" s="70">
        <f>Table5[[#This Row],[Probability]]*Table5[[#This Row],[Consequence]]</f>
        <v>1466.2087537878788</v>
      </c>
      <c r="H311" s="16">
        <f>RANK(Table5[[#This Row],[Risk Score]],$G$62:$G$312)</f>
        <v>23</v>
      </c>
      <c r="I311" s="63">
        <f>VLOOKUP(C311,Table1[[#All],[RC]:[Total Internal Corrosion Score]],27,FALSE)</f>
        <v>34.166666666666664</v>
      </c>
      <c r="J311" s="63">
        <f>RANK(Table5[[#This Row],[INTERNAL CORROSION]],$I$62:$I$312)</f>
        <v>8</v>
      </c>
      <c r="K311" s="16">
        <f>VLOOKUP(C311,Ext.Mo!$C$2:$AK$326,35,FALSE)</f>
        <v>19.493670000000002</v>
      </c>
      <c r="L311" s="16">
        <f>RANK(Table5[[#This Row],[EXTERNAL CORROSION]],$K$62:$K$312)</f>
        <v>3</v>
      </c>
      <c r="M311" s="63">
        <f>VLOOKUP(Table5[[#This Row],[RC]],Table3[[RC]:[Total TPI Score10]],23,0)</f>
        <v>43.63636363636364</v>
      </c>
      <c r="N311" s="63">
        <f>RANK(Table5[[#This Row],[THIRD PARTY INTERFERENCE]],$M$62:$M$312)</f>
        <v>2</v>
      </c>
      <c r="O311" s="63">
        <f>VLOOKUP(Table5[[#This Row],[RC]],LGS_Mo.!$C$5:$P$322,14,0)</f>
        <v>20</v>
      </c>
      <c r="P311" s="63">
        <f>RANK(Table5[[#This Row],[Loss  of ground support]],$O$62:$O$312)</f>
        <v>15</v>
      </c>
      <c r="Q311" s="63">
        <f>(I311+K311+M311+Table5[[#This Row],[Loss  of ground support]])/4</f>
        <v>29.324175075757577</v>
      </c>
      <c r="R311" s="16">
        <v>3</v>
      </c>
      <c r="S311" s="16">
        <v>7</v>
      </c>
      <c r="T311" s="63">
        <f t="shared" si="23"/>
        <v>50</v>
      </c>
      <c r="U311" s="70">
        <f>RANK(Table5[[#This Row],[Consequence]],$T$62:$T$264)</f>
        <v>1</v>
      </c>
      <c r="V311" s="16"/>
      <c r="X311" s="14">
        <f>J547</f>
        <v>0</v>
      </c>
      <c r="Y311" s="14">
        <v>19.493670886075947</v>
      </c>
    </row>
    <row r="312" spans="1:25" s="16" customFormat="1" ht="25.5">
      <c r="A312" s="84">
        <v>49</v>
      </c>
      <c r="B312" s="84">
        <v>9</v>
      </c>
      <c r="C312" s="81">
        <v>4470</v>
      </c>
      <c r="D312" s="82" t="s">
        <v>341</v>
      </c>
      <c r="E312" s="105">
        <f>F777</f>
        <v>0</v>
      </c>
      <c r="F312" s="16">
        <v>1490.514684388889</v>
      </c>
      <c r="G312" s="70">
        <v>1466.2087537878788</v>
      </c>
      <c r="H312" s="16" t="e">
        <v>#N/A</v>
      </c>
      <c r="I312" s="16">
        <v>34.166666666666664</v>
      </c>
      <c r="J312" s="16" t="e">
        <v>#N/A</v>
      </c>
      <c r="K312" s="16">
        <v>19.493670000000002</v>
      </c>
      <c r="L312" s="16" t="e">
        <v>#N/A</v>
      </c>
      <c r="M312" s="16">
        <v>43.63636363636364</v>
      </c>
      <c r="N312" s="16" t="e">
        <v>#N/A</v>
      </c>
      <c r="O312" s="16">
        <v>20</v>
      </c>
      <c r="P312" s="16" t="e">
        <v>#N/A</v>
      </c>
      <c r="Q312" s="16">
        <v>29.324175075757577</v>
      </c>
      <c r="R312" s="16">
        <v>3</v>
      </c>
      <c r="S312" s="16">
        <v>7</v>
      </c>
      <c r="T312" s="63">
        <v>50</v>
      </c>
      <c r="U312" s="69" t="e">
        <v>#N/A</v>
      </c>
      <c r="X312" s="16">
        <f>J896</f>
        <v>0</v>
      </c>
      <c r="Y312" s="16">
        <v>19.493670886075947</v>
      </c>
    </row>
    <row r="313" spans="1:25" s="14" customFormat="1">
      <c r="A313" s="84">
        <v>49</v>
      </c>
      <c r="B313" s="254">
        <v>3</v>
      </c>
      <c r="C313" s="257">
        <v>330100004</v>
      </c>
      <c r="D313" s="257" t="s">
        <v>769</v>
      </c>
      <c r="E313" s="109">
        <f>F412</f>
        <v>0</v>
      </c>
      <c r="F313" s="16">
        <v>1490.514684388889</v>
      </c>
      <c r="G313" s="70">
        <f>Table5[[#This Row],[Probability]]*Table5[[#This Row],[Consequence]]</f>
        <v>1466.2087537878788</v>
      </c>
      <c r="H313" s="16">
        <f>RANK(Table5[[#This Row],[Risk Score]],$G$62:$G$312)</f>
        <v>23</v>
      </c>
      <c r="I313" s="63">
        <f>VLOOKUP(C313,Table1[[#All],[RC]:[Total Internal Corrosion Score]],27,FALSE)</f>
        <v>34.166666666666664</v>
      </c>
      <c r="J313" s="63">
        <f>RANK(Table5[[#This Row],[INTERNAL CORROSION]],$I$62:$I$312)</f>
        <v>8</v>
      </c>
      <c r="K313" s="16">
        <f>VLOOKUP(C313,Ext.Mo!$C$2:$AK$326,35,FALSE)</f>
        <v>19.493670000000002</v>
      </c>
      <c r="L313" s="16">
        <f>RANK(Table5[[#This Row],[EXTERNAL CORROSION]],$K$62:$K$312)</f>
        <v>3</v>
      </c>
      <c r="M313" s="63">
        <f>VLOOKUP(Table5[[#This Row],[RC]],Table3[[RC]:[Total TPI Score10]],23,0)</f>
        <v>43.63636363636364</v>
      </c>
      <c r="N313" s="63">
        <f>RANK(Table5[[#This Row],[THIRD PARTY INTERFERENCE]],$M$62:$M$312)</f>
        <v>2</v>
      </c>
      <c r="O313" s="63">
        <f>VLOOKUP(Table5[[#This Row],[RC]],LGS_Mo.!$C$5:$P$322,14,0)</f>
        <v>20</v>
      </c>
      <c r="P313" s="63">
        <f>RANK(Table5[[#This Row],[Loss  of ground support]],$O$62:$O$312)</f>
        <v>15</v>
      </c>
      <c r="Q313" s="63">
        <f>(I313+K313+M313+Table5[[#This Row],[Loss  of ground support]])/4</f>
        <v>29.324175075757577</v>
      </c>
      <c r="R313" s="16">
        <v>3</v>
      </c>
      <c r="S313" s="16">
        <v>7</v>
      </c>
      <c r="T313" s="63">
        <f>((R313*5)+(S313*5))</f>
        <v>50</v>
      </c>
      <c r="U313" s="70">
        <f>RANK(Table5[[#This Row],[Consequence]],$T$62:$T$264)</f>
        <v>1</v>
      </c>
      <c r="V313" s="16"/>
      <c r="X313" s="14">
        <f>J550</f>
        <v>0</v>
      </c>
      <c r="Y313" s="14">
        <v>19.493670886075947</v>
      </c>
    </row>
    <row r="314" spans="1:25" ht="25.5">
      <c r="A314" s="84">
        <v>49</v>
      </c>
      <c r="B314" s="84">
        <v>1</v>
      </c>
      <c r="C314" s="81">
        <v>40222012</v>
      </c>
      <c r="D314" s="82" t="s">
        <v>241</v>
      </c>
      <c r="E314" s="57">
        <f>E177</f>
        <v>0</v>
      </c>
      <c r="F314" s="16">
        <v>1490.514684388889</v>
      </c>
      <c r="G314" s="16">
        <f>Table5[[#This Row],[Probability]]*Table5[[#This Row],[Consequence]]</f>
        <v>1412.8068661296511</v>
      </c>
      <c r="H314" s="16">
        <f>RANK(Table5[[#This Row],[Risk Score]],$G$62:$G$312)</f>
        <v>207</v>
      </c>
      <c r="I314" s="16">
        <f>VLOOKUP(C314,Table1[[#All],[RC]:[Total Internal Corrosion Score]],27,FALSE)</f>
        <v>34.166666666666664</v>
      </c>
      <c r="J314" s="16">
        <f>RANK(Table5[[#This Row],[INTERNAL CORROSION]],$I$62:$I$312)</f>
        <v>8</v>
      </c>
      <c r="K314" s="16">
        <f>VLOOKUP(C314,Ext.Mo!$C$2:$AK$326,35,FALSE)</f>
        <v>15.221518987341771</v>
      </c>
      <c r="L314" s="16">
        <f>RANK(Table5[[#This Row],[EXTERNAL CORROSION]],$K$62:$K$312)</f>
        <v>211</v>
      </c>
      <c r="M314" s="16">
        <f>VLOOKUP(Table5[[#This Row],[RC]],Table3[[RC]:[Total TPI Score10]],23,0)</f>
        <v>43.63636363636364</v>
      </c>
      <c r="N314" s="16">
        <f>RANK(Table5[[#This Row],[THIRD PARTY INTERFERENCE]],$M$62:$M$312)</f>
        <v>2</v>
      </c>
      <c r="O314" s="16">
        <f>VLOOKUP(Table5[[#This Row],[RC]],LGS_Mo.!$C$5:$P$322,14,0)</f>
        <v>20</v>
      </c>
      <c r="P314" s="16">
        <f>RANK(Table5[[#This Row],[Loss  of ground support]],$O$62:$O$312)</f>
        <v>15</v>
      </c>
      <c r="Q314" s="16">
        <f>(I314+K314+M314+Table5[[#This Row],[Loss  of ground support]])/4</f>
        <v>28.25613732259302</v>
      </c>
      <c r="R314" s="16">
        <v>7</v>
      </c>
      <c r="S314" s="16">
        <v>3</v>
      </c>
      <c r="T314" s="16">
        <f>((R314*5)+(S314*5))</f>
        <v>50</v>
      </c>
      <c r="U314" s="16">
        <f>RANK(Table5[[#This Row],[Consequence]],$T$62:$T$264)</f>
        <v>1</v>
      </c>
      <c r="V314" s="16"/>
      <c r="X314" s="14">
        <f>J353</f>
        <v>0</v>
      </c>
      <c r="Y314" s="14">
        <v>19.493670886075947</v>
      </c>
    </row>
    <row r="315" spans="1:25" s="14" customFormat="1">
      <c r="A315" s="79"/>
      <c r="B315" s="79"/>
      <c r="C315" s="108"/>
      <c r="D315" s="108"/>
      <c r="E315" s="109">
        <f>F493</f>
        <v>0</v>
      </c>
      <c r="F315" s="109" t="e">
        <f>(N315*S315)</f>
        <v>#N/A</v>
      </c>
      <c r="G315" s="70" t="e">
        <f>Table5[[#This Row],[Probability]]*Table5[[#This Row],[Consequence]]</f>
        <v>#N/A</v>
      </c>
      <c r="H315" s="63" t="e">
        <f>RANK(Table5[[#This Row],[Risk Score]],$G$62:$G$312)</f>
        <v>#N/A</v>
      </c>
      <c r="I315" s="63" t="e">
        <f>VLOOKUP(C315,Table1[[#All],[RC]:[Total Internal Corrosion Score]],27,FALSE)</f>
        <v>#N/A</v>
      </c>
      <c r="J315" s="63" t="e">
        <f>RANK(Table5[[#This Row],[INTERNAL CORROSION]],$I$62:$I$312)</f>
        <v>#N/A</v>
      </c>
      <c r="K315" s="16" t="e">
        <f>VLOOKUP(C315,Ext.Mo!$C$2:$AK$326,35,FALSE)</f>
        <v>#N/A</v>
      </c>
      <c r="L315" s="63" t="e">
        <f>RANK(Table5[[#This Row],[EXTERNAL CORROSION]],$K$62:$K$312)</f>
        <v>#N/A</v>
      </c>
      <c r="M315" s="63" t="e">
        <f>VLOOKUP(Table5[[#This Row],[RC]],Table3[[RC]:[Total TPI Score10]],23,0)</f>
        <v>#N/A</v>
      </c>
      <c r="N315" s="63" t="e">
        <f>RANK(Table5[[#This Row],[THIRD PARTY INTERFERENCE]],$M$62:$M$312)</f>
        <v>#N/A</v>
      </c>
      <c r="O315" s="63" t="e">
        <f>VLOOKUP(Table5[[#This Row],[RC]],LGS_Mo.!$C$5:$P$322,14,0)</f>
        <v>#N/A</v>
      </c>
      <c r="P315" s="63" t="e">
        <f>RANK(Table5[[#This Row],[Loss  of ground support]],$O$62:$O$312)</f>
        <v>#N/A</v>
      </c>
      <c r="Q315" s="63" t="e">
        <f>(I315+K315+M315+Table5[[#This Row],[Loss  of ground support]])/4</f>
        <v>#N/A</v>
      </c>
      <c r="R315" s="16">
        <v>3</v>
      </c>
      <c r="S315" s="16">
        <v>7</v>
      </c>
      <c r="T315" s="63">
        <f>((R315*5)+(S315*5))</f>
        <v>50</v>
      </c>
      <c r="U315" s="70">
        <f>RANK(Table5[[#This Row],[Consequence]],$T$62:$T$264)</f>
        <v>1</v>
      </c>
      <c r="V315" s="16"/>
    </row>
    <row r="316" spans="1:25">
      <c r="A316" s="69"/>
      <c r="B316" s="241"/>
      <c r="C316" s="240"/>
      <c r="D316" s="240"/>
      <c r="E316" s="240"/>
      <c r="F316" s="242"/>
      <c r="G316" s="70">
        <f>COUNTIF(G62:G264,"&gt;1676.74")</f>
        <v>14</v>
      </c>
      <c r="H316" s="70"/>
      <c r="I316" s="70">
        <f>COUNTIF(I62:I264,"&gt;36.11")</f>
        <v>0</v>
      </c>
      <c r="J316" s="69"/>
      <c r="K316" s="70">
        <f>COUNTIF(K62:K270,"&gt;27.08")</f>
        <v>1</v>
      </c>
      <c r="L316" s="69"/>
      <c r="M316" s="70">
        <f>COUNTIF(M62:M270,"&gt;45")</f>
        <v>0</v>
      </c>
      <c r="N316" s="69"/>
      <c r="O316" s="69"/>
      <c r="P316" s="69"/>
      <c r="Q316" s="69"/>
      <c r="R316" s="69"/>
      <c r="S316" s="69"/>
      <c r="T316" s="70"/>
      <c r="U316" s="69"/>
      <c r="V316" s="69"/>
    </row>
    <row r="317" spans="1:25">
      <c r="F317">
        <f>COUNTA(G3:G315)</f>
        <v>312</v>
      </c>
      <c r="H317" s="72">
        <f>Table5[[#Totals],[INTERNAL CORROSION]]/F317</f>
        <v>0</v>
      </c>
      <c r="J317" s="71">
        <f>Table5[[#Totals],[EXTERNAL CORROSION]]/(COUNT($K$62:$K$270))</f>
        <v>4.807692307692308E-3</v>
      </c>
      <c r="L317" s="71">
        <f>Table5[[#Totals],[THIRD PARTY INTERFERENCE]]/F317</f>
        <v>0</v>
      </c>
    </row>
    <row r="318" spans="1:25">
      <c r="F318" s="71">
        <f>Table5[[#Totals],[Risk Score]]/F317</f>
        <v>4.4871794871794872E-2</v>
      </c>
    </row>
    <row r="319" spans="1:25">
      <c r="F319" s="71"/>
    </row>
    <row r="320" spans="1:25">
      <c r="F320">
        <f>COUNTIF(G62:G270,"&gt;2179.94")</f>
        <v>0</v>
      </c>
    </row>
  </sheetData>
  <conditionalFormatting sqref="I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{014FCBA3-E1BA-4D2D-9AF7-12A540DFA764}</x14:id>
        </ext>
      </extLst>
    </cfRule>
  </conditionalFormatting>
  <conditionalFormatting sqref="K2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{B08C3B27-AA0E-4C26-B0EB-C92E9682BEF4}</x14:id>
        </ext>
      </extLst>
    </cfRule>
  </conditionalFormatting>
  <conditionalFormatting sqref="Q2">
    <cfRule type="dataBar" priority="1">
      <dataBar>
        <cfvo type="min"/>
        <cfvo type="max"/>
        <color rgb="FF00FF00"/>
      </dataBar>
      <extLst>
        <ext xmlns:x14="http://schemas.microsoft.com/office/spreadsheetml/2009/9/main" uri="{B025F937-C7B1-47D3-B67F-A62EFF666E3E}">
          <x14:id>{430A098B-07E4-4A0E-8323-CC7C81CCC1E8}</x14:id>
        </ext>
      </extLst>
    </cfRule>
  </conditionalFormatting>
  <pageMargins left="0.7" right="0.7" top="0.75" bottom="0.75" header="0.3" footer="0.3"/>
  <pageSetup paperSize="9" scale="38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4FCBA3-E1BA-4D2D-9AF7-12A540DFA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B08C3B27-AA0E-4C26-B0EB-C92E9682BE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430A098B-07E4-4A0E-8323-CC7C81CCC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4"/>
  <sheetViews>
    <sheetView topLeftCell="A42" workbookViewId="0">
      <selection activeCell="D56" sqref="D56"/>
    </sheetView>
  </sheetViews>
  <sheetFormatPr defaultColWidth="9" defaultRowHeight="14.25"/>
  <cols>
    <col min="1" max="1" width="9" style="14"/>
    <col min="2" max="2" width="45.375" style="14" bestFit="1" customWidth="1"/>
    <col min="3" max="5" width="9" style="14"/>
    <col min="6" max="6" width="11.375" style="14" bestFit="1" customWidth="1"/>
    <col min="7" max="16384" width="9" style="14"/>
  </cols>
  <sheetData>
    <row r="1" spans="1:10">
      <c r="B1" s="14" t="s">
        <v>199</v>
      </c>
    </row>
    <row r="2" spans="1:10">
      <c r="J2" s="14" t="s">
        <v>198</v>
      </c>
    </row>
    <row r="3" spans="1:10">
      <c r="A3" s="16">
        <v>1</v>
      </c>
      <c r="B3" s="14" t="s">
        <v>176</v>
      </c>
      <c r="C3" s="14" t="s">
        <v>161</v>
      </c>
      <c r="D3" s="14">
        <v>5</v>
      </c>
      <c r="E3" s="14">
        <f>D3*10/$D$54</f>
        <v>2.2727272727272729</v>
      </c>
      <c r="F3" s="14" t="s">
        <v>3</v>
      </c>
      <c r="G3" s="14" t="s">
        <v>4</v>
      </c>
      <c r="H3" s="14" t="s">
        <v>5</v>
      </c>
      <c r="I3" s="14" t="s">
        <v>6</v>
      </c>
      <c r="J3" s="14" t="s">
        <v>200</v>
      </c>
    </row>
    <row r="4" spans="1:10">
      <c r="A4" s="16"/>
      <c r="B4" s="14" t="s">
        <v>177</v>
      </c>
      <c r="C4" s="14">
        <v>10</v>
      </c>
    </row>
    <row r="5" spans="1:10">
      <c r="A5" s="16"/>
      <c r="B5" s="14" t="s">
        <v>178</v>
      </c>
      <c r="C5" s="14">
        <v>7</v>
      </c>
    </row>
    <row r="6" spans="1:10">
      <c r="A6" s="16"/>
      <c r="B6" s="14" t="s">
        <v>187</v>
      </c>
      <c r="C6" s="14">
        <v>5</v>
      </c>
    </row>
    <row r="7" spans="1:10">
      <c r="A7" s="16"/>
      <c r="B7" s="14" t="s">
        <v>179</v>
      </c>
      <c r="C7" s="14">
        <v>2</v>
      </c>
    </row>
    <row r="8" spans="1:10">
      <c r="A8" s="16"/>
      <c r="B8" s="14" t="s">
        <v>180</v>
      </c>
      <c r="C8" s="14">
        <v>0</v>
      </c>
    </row>
    <row r="9" spans="1:10">
      <c r="A9" s="16">
        <v>2</v>
      </c>
      <c r="B9" s="14" t="s">
        <v>181</v>
      </c>
      <c r="C9" s="14" t="s">
        <v>160</v>
      </c>
      <c r="D9" s="14">
        <v>5</v>
      </c>
      <c r="E9" s="14">
        <f>D9*10/$D$54</f>
        <v>2.2727272727272729</v>
      </c>
      <c r="F9" s="14" t="s">
        <v>3</v>
      </c>
      <c r="G9" s="14" t="s">
        <v>4</v>
      </c>
      <c r="H9" s="14" t="s">
        <v>5</v>
      </c>
      <c r="I9" s="14" t="s">
        <v>6</v>
      </c>
    </row>
    <row r="10" spans="1:10">
      <c r="A10" s="16"/>
      <c r="B10" s="14" t="s">
        <v>184</v>
      </c>
      <c r="C10" s="14">
        <v>1</v>
      </c>
      <c r="J10" s="14" t="s">
        <v>201</v>
      </c>
    </row>
    <row r="11" spans="1:10">
      <c r="A11" s="16"/>
      <c r="B11" s="14" t="s">
        <v>186</v>
      </c>
      <c r="C11" s="14">
        <v>2</v>
      </c>
    </row>
    <row r="12" spans="1:10">
      <c r="A12" s="16"/>
      <c r="B12" s="14" t="s">
        <v>185</v>
      </c>
      <c r="C12" s="14">
        <v>5</v>
      </c>
    </row>
    <row r="13" spans="1:10">
      <c r="A13" s="16"/>
      <c r="B13" s="14" t="s">
        <v>182</v>
      </c>
      <c r="C13" s="14">
        <v>8</v>
      </c>
    </row>
    <row r="14" spans="1:10">
      <c r="A14" s="16"/>
      <c r="B14" s="14" t="s">
        <v>183</v>
      </c>
      <c r="C14" s="14">
        <v>10</v>
      </c>
    </row>
    <row r="15" spans="1:10">
      <c r="A15" s="16">
        <v>3</v>
      </c>
      <c r="B15" s="14" t="s">
        <v>167</v>
      </c>
      <c r="C15" s="14" t="s">
        <v>161</v>
      </c>
      <c r="D15" s="14">
        <v>1</v>
      </c>
      <c r="E15" s="14">
        <f>D15*10/$D$54</f>
        <v>0.45454545454545453</v>
      </c>
      <c r="F15" s="14" t="s">
        <v>3</v>
      </c>
      <c r="G15" s="14" t="s">
        <v>4</v>
      </c>
      <c r="H15" s="14" t="s">
        <v>5</v>
      </c>
      <c r="I15" s="14" t="s">
        <v>6</v>
      </c>
    </row>
    <row r="16" spans="1:10">
      <c r="A16" s="16"/>
      <c r="B16" s="14" t="s">
        <v>171</v>
      </c>
      <c r="C16" s="14">
        <v>1</v>
      </c>
      <c r="J16" s="14" t="s">
        <v>169</v>
      </c>
    </row>
    <row r="17" spans="1:11">
      <c r="A17" s="16"/>
      <c r="B17" s="14" t="s">
        <v>168</v>
      </c>
      <c r="C17" s="14">
        <v>4</v>
      </c>
      <c r="J17" s="14" t="s">
        <v>170</v>
      </c>
    </row>
    <row r="18" spans="1:11">
      <c r="A18" s="16"/>
      <c r="B18" s="14" t="s">
        <v>174</v>
      </c>
      <c r="C18" s="14">
        <v>5</v>
      </c>
      <c r="J18" s="14" t="s">
        <v>200</v>
      </c>
    </row>
    <row r="19" spans="1:11">
      <c r="A19" s="16"/>
      <c r="B19" s="14" t="s">
        <v>175</v>
      </c>
      <c r="C19" s="14">
        <v>8</v>
      </c>
    </row>
    <row r="20" spans="1:11">
      <c r="A20" s="16"/>
      <c r="B20" s="14" t="s">
        <v>172</v>
      </c>
      <c r="C20" s="14">
        <v>8</v>
      </c>
      <c r="J20" s="14" t="s">
        <v>92</v>
      </c>
    </row>
    <row r="21" spans="1:11">
      <c r="A21" s="16"/>
      <c r="B21" s="14" t="s">
        <v>173</v>
      </c>
      <c r="C21" s="14">
        <v>10</v>
      </c>
      <c r="J21" s="14" t="s">
        <v>92</v>
      </c>
    </row>
    <row r="22" spans="1:11">
      <c r="A22" s="16">
        <v>4</v>
      </c>
      <c r="B22" s="14" t="s">
        <v>188</v>
      </c>
      <c r="C22" s="14" t="s">
        <v>202</v>
      </c>
      <c r="D22" s="14">
        <v>1</v>
      </c>
      <c r="E22" s="14">
        <f>D22*10/$D$54</f>
        <v>0.45454545454545453</v>
      </c>
      <c r="F22" s="14" t="s">
        <v>3</v>
      </c>
      <c r="G22" s="14" t="s">
        <v>4</v>
      </c>
      <c r="H22" s="14" t="s">
        <v>5</v>
      </c>
      <c r="I22" s="14" t="s">
        <v>6</v>
      </c>
    </row>
    <row r="23" spans="1:11">
      <c r="A23" s="16"/>
      <c r="B23" s="14" t="s">
        <v>189</v>
      </c>
      <c r="C23" s="14">
        <v>10</v>
      </c>
      <c r="J23" s="14" t="s">
        <v>192</v>
      </c>
    </row>
    <row r="24" spans="1:11">
      <c r="A24" s="16"/>
      <c r="B24" s="14" t="s">
        <v>190</v>
      </c>
      <c r="C24" s="14">
        <v>6</v>
      </c>
      <c r="J24" s="14" t="s">
        <v>194</v>
      </c>
    </row>
    <row r="25" spans="1:11">
      <c r="A25" s="16"/>
      <c r="B25" s="14" t="s">
        <v>191</v>
      </c>
      <c r="C25" s="14">
        <v>3</v>
      </c>
      <c r="J25" s="14" t="s">
        <v>193</v>
      </c>
      <c r="K25" s="14" t="s">
        <v>203</v>
      </c>
    </row>
    <row r="26" spans="1:11">
      <c r="A26" s="16"/>
      <c r="B26" s="14" t="s">
        <v>183</v>
      </c>
      <c r="C26" s="14">
        <v>0</v>
      </c>
      <c r="J26" s="14" t="s">
        <v>204</v>
      </c>
    </row>
    <row r="27" spans="1:11">
      <c r="A27" s="14">
        <v>5</v>
      </c>
      <c r="B27" s="14" t="s">
        <v>205</v>
      </c>
      <c r="C27" s="14" t="s">
        <v>206</v>
      </c>
      <c r="D27" s="14">
        <v>3</v>
      </c>
      <c r="E27" s="14">
        <f>D27*10/$D$54</f>
        <v>1.3636363636363635</v>
      </c>
    </row>
    <row r="28" spans="1:11">
      <c r="B28" s="14" t="s">
        <v>29</v>
      </c>
      <c r="C28" s="14">
        <v>8</v>
      </c>
    </row>
    <row r="29" spans="1:11">
      <c r="B29" s="14" t="s">
        <v>28</v>
      </c>
      <c r="C29" s="14">
        <v>5</v>
      </c>
    </row>
    <row r="30" spans="1:11">
      <c r="B30" s="14" t="s">
        <v>27</v>
      </c>
      <c r="C30" s="14">
        <v>4</v>
      </c>
    </row>
    <row r="31" spans="1:11">
      <c r="B31" s="14" t="s">
        <v>207</v>
      </c>
      <c r="C31" s="14">
        <v>2</v>
      </c>
    </row>
    <row r="32" spans="1:11">
      <c r="B32" s="14" t="s">
        <v>26</v>
      </c>
      <c r="C32" s="14">
        <v>1</v>
      </c>
    </row>
    <row r="33" spans="1:10">
      <c r="B33" s="14" t="s">
        <v>25</v>
      </c>
      <c r="C33" s="14">
        <v>0.5</v>
      </c>
    </row>
    <row r="34" spans="1:10">
      <c r="A34" s="9">
        <v>7</v>
      </c>
      <c r="B34" s="14" t="s">
        <v>208</v>
      </c>
      <c r="J34" s="14" t="s">
        <v>209</v>
      </c>
    </row>
    <row r="35" spans="1:10">
      <c r="A35" s="9"/>
      <c r="B35" s="14" t="s">
        <v>210</v>
      </c>
    </row>
    <row r="36" spans="1:10">
      <c r="A36" s="9"/>
      <c r="B36" s="14" t="s">
        <v>211</v>
      </c>
    </row>
    <row r="37" spans="1:10">
      <c r="A37" s="9"/>
      <c r="B37" s="14" t="s">
        <v>212</v>
      </c>
    </row>
    <row r="38" spans="1:10">
      <c r="A38" s="9"/>
      <c r="B38" s="14" t="s">
        <v>213</v>
      </c>
    </row>
    <row r="39" spans="1:10">
      <c r="A39" s="9"/>
      <c r="B39" s="14" t="s">
        <v>214</v>
      </c>
    </row>
    <row r="40" spans="1:10">
      <c r="A40" s="14">
        <v>8</v>
      </c>
      <c r="B40" s="14" t="s">
        <v>215</v>
      </c>
      <c r="C40" s="14" t="s">
        <v>161</v>
      </c>
      <c r="D40" s="14">
        <v>1</v>
      </c>
      <c r="E40" s="14">
        <f>D40*10/$D$54</f>
        <v>0.45454545454545453</v>
      </c>
    </row>
    <row r="41" spans="1:10">
      <c r="B41" s="14" t="s">
        <v>216</v>
      </c>
      <c r="C41" s="14">
        <v>0</v>
      </c>
    </row>
    <row r="42" spans="1:10">
      <c r="B42" s="14" t="s">
        <v>217</v>
      </c>
      <c r="C42" s="14">
        <v>5</v>
      </c>
    </row>
    <row r="43" spans="1:10">
      <c r="B43" s="14" t="s">
        <v>218</v>
      </c>
      <c r="C43" s="14">
        <v>10</v>
      </c>
    </row>
    <row r="44" spans="1:10">
      <c r="A44" s="14">
        <v>9</v>
      </c>
      <c r="B44" s="14" t="s">
        <v>219</v>
      </c>
      <c r="C44" s="14" t="s">
        <v>161</v>
      </c>
      <c r="D44" s="14">
        <v>3</v>
      </c>
      <c r="E44" s="14">
        <f>D44*10/$D$54</f>
        <v>1.3636363636363635</v>
      </c>
    </row>
    <row r="45" spans="1:10">
      <c r="B45" s="14" t="s">
        <v>220</v>
      </c>
      <c r="C45" s="14">
        <v>2</v>
      </c>
    </row>
    <row r="46" spans="1:10">
      <c r="B46" s="14" t="s">
        <v>221</v>
      </c>
      <c r="C46" s="14">
        <v>5</v>
      </c>
    </row>
    <row r="47" spans="1:10">
      <c r="B47" s="14" t="s">
        <v>222</v>
      </c>
      <c r="C47" s="14">
        <v>10</v>
      </c>
    </row>
    <row r="48" spans="1:10">
      <c r="A48" s="14">
        <v>10</v>
      </c>
      <c r="B48" s="14" t="s">
        <v>223</v>
      </c>
      <c r="C48" s="14" t="s">
        <v>224</v>
      </c>
      <c r="D48" s="14">
        <v>3</v>
      </c>
      <c r="E48" s="14">
        <f>D48*10/$D$54</f>
        <v>1.3636363636363635</v>
      </c>
      <c r="J48" s="14" t="s">
        <v>225</v>
      </c>
    </row>
    <row r="49" spans="2:4">
      <c r="B49" s="14" t="s">
        <v>226</v>
      </c>
      <c r="C49" s="14">
        <v>1</v>
      </c>
    </row>
    <row r="50" spans="2:4">
      <c r="B50" s="14" t="s">
        <v>227</v>
      </c>
      <c r="C50" s="14">
        <v>2</v>
      </c>
    </row>
    <row r="51" spans="2:4">
      <c r="B51" s="14" t="s">
        <v>228</v>
      </c>
      <c r="C51" s="14">
        <v>3</v>
      </c>
    </row>
    <row r="52" spans="2:4">
      <c r="B52" s="14" t="s">
        <v>229</v>
      </c>
      <c r="C52" s="14">
        <v>5</v>
      </c>
    </row>
    <row r="54" spans="2:4">
      <c r="D54" s="14">
        <f>SUM(D3,D9,D15,D22,D27,D40,D44,D48)</f>
        <v>22</v>
      </c>
    </row>
  </sheetData>
  <pageMargins left="0.7" right="0.7" top="0.75" bottom="0.75" header="0.3" footer="0.3"/>
  <pageSetup paperSize="9" orientation="landscape" horizontalDpi="300" verticalDpi="3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2"/>
  <sheetViews>
    <sheetView topLeftCell="A271" zoomScale="80" zoomScaleNormal="80" workbookViewId="0">
      <selection activeCell="J262" sqref="J262"/>
    </sheetView>
  </sheetViews>
  <sheetFormatPr defaultColWidth="9" defaultRowHeight="14.25"/>
  <cols>
    <col min="1" max="1" width="9.125" style="14" customWidth="1"/>
    <col min="2" max="2" width="33.625" style="14" bestFit="1" customWidth="1"/>
    <col min="3" max="3" width="27.625" style="14" customWidth="1"/>
    <col min="4" max="4" width="15.625" style="14" customWidth="1"/>
    <col min="5" max="5" width="9.125" style="14" customWidth="1"/>
    <col min="6" max="6" width="14.625" style="14" customWidth="1"/>
    <col min="7" max="7" width="16.375" style="14" customWidth="1"/>
    <col min="8" max="8" width="22.375" style="14" customWidth="1"/>
    <col min="9" max="9" width="49.125" style="14" customWidth="1"/>
    <col min="10" max="10" width="17.875" style="14" bestFit="1" customWidth="1"/>
    <col min="11" max="11" width="18.375" style="14" customWidth="1"/>
    <col min="12" max="12" width="19" style="14" customWidth="1"/>
    <col min="13" max="13" width="15.375" style="14" customWidth="1"/>
    <col min="14" max="14" width="16.625" style="14" customWidth="1"/>
    <col min="15" max="15" width="17.125" style="14" customWidth="1"/>
    <col min="16" max="23" width="9" style="14" customWidth="1"/>
    <col min="24" max="16384" width="9" style="14"/>
  </cols>
  <sheetData>
    <row r="1" spans="1:24">
      <c r="G1" s="14">
        <f>'[2]TPI. Pa.'!E3</f>
        <v>2.2727272727272729</v>
      </c>
      <c r="H1" s="14">
        <f>'[2]TPI. Pa.'!E9</f>
        <v>2.2727272727272729</v>
      </c>
      <c r="I1" s="14">
        <f>'[2]TPI. Pa.'!E15</f>
        <v>0.45454545454545453</v>
      </c>
      <c r="J1" s="14">
        <f>'[2]TPI. Pa.'!E22</f>
        <v>0.45454545454545453</v>
      </c>
      <c r="K1" s="14">
        <f>'[2]TPI. Pa.'!E27</f>
        <v>1.3636363636363635</v>
      </c>
      <c r="L1" s="14">
        <f>'[2]TPI. Pa.'!E40</f>
        <v>0.45454545454545453</v>
      </c>
      <c r="M1" s="14">
        <f>'[2]TPI. Pa.'!E44</f>
        <v>1.3636363636363635</v>
      </c>
      <c r="N1" s="14">
        <f>'[2]TPI. Pa.'!E48</f>
        <v>1.3636363636363635</v>
      </c>
    </row>
    <row r="2" spans="1:24" ht="135">
      <c r="A2" s="39" t="s">
        <v>195</v>
      </c>
      <c r="B2" s="21" t="s">
        <v>196</v>
      </c>
      <c r="C2" s="21" t="s">
        <v>87</v>
      </c>
      <c r="D2" s="22" t="s">
        <v>197</v>
      </c>
      <c r="E2" s="22" t="s">
        <v>351</v>
      </c>
      <c r="F2" s="22" t="s">
        <v>77</v>
      </c>
      <c r="G2" s="22" t="s">
        <v>352</v>
      </c>
      <c r="H2" s="22" t="s">
        <v>181</v>
      </c>
      <c r="I2" s="22" t="s">
        <v>167</v>
      </c>
      <c r="J2" s="40" t="s">
        <v>188</v>
      </c>
      <c r="K2" s="22" t="s">
        <v>205</v>
      </c>
      <c r="L2" s="22" t="s">
        <v>215</v>
      </c>
      <c r="M2" s="22" t="s">
        <v>219</v>
      </c>
      <c r="N2" s="22" t="s">
        <v>223</v>
      </c>
      <c r="O2" s="41" t="s">
        <v>353</v>
      </c>
      <c r="P2" s="22" t="s">
        <v>503</v>
      </c>
      <c r="Q2" s="22" t="s">
        <v>504</v>
      </c>
      <c r="R2" s="22" t="s">
        <v>505</v>
      </c>
      <c r="S2" s="22" t="s">
        <v>506</v>
      </c>
      <c r="T2" s="22" t="s">
        <v>507</v>
      </c>
      <c r="U2" s="22" t="s">
        <v>508</v>
      </c>
      <c r="V2" s="22" t="s">
        <v>509</v>
      </c>
      <c r="W2" s="22" t="s">
        <v>510</v>
      </c>
      <c r="X2" s="22" t="s">
        <v>511</v>
      </c>
    </row>
    <row r="3" spans="1:24" hidden="1">
      <c r="A3" s="84">
        <v>1</v>
      </c>
      <c r="B3" s="81">
        <v>4021</v>
      </c>
      <c r="C3" s="82" t="s">
        <v>230</v>
      </c>
      <c r="D3" s="19"/>
      <c r="E3" s="19"/>
      <c r="F3" s="19"/>
      <c r="G3" s="19" t="s">
        <v>179</v>
      </c>
      <c r="H3" s="19" t="s">
        <v>185</v>
      </c>
      <c r="I3" s="19" t="s">
        <v>168</v>
      </c>
      <c r="J3" s="19" t="s">
        <v>191</v>
      </c>
      <c r="K3" s="19" t="s">
        <v>26</v>
      </c>
      <c r="L3" s="19" t="s">
        <v>217</v>
      </c>
      <c r="M3" s="19" t="s">
        <v>222</v>
      </c>
      <c r="N3" s="19" t="s">
        <v>228</v>
      </c>
      <c r="O3" s="38"/>
      <c r="P3" s="43">
        <f>VLOOKUP(Table3[[#This Row],[Depth of cover]],'TPI. Pa.'!$B$3:$C$52,2,0)</f>
        <v>2</v>
      </c>
      <c r="Q3" s="43">
        <f>VLOOKUP(Table3[[#This Row],[Additional protection]],'TPI. Pa.'!$B$3:$C$52,2,0)</f>
        <v>5</v>
      </c>
      <c r="R3" s="43">
        <f>VLOOKUP(Table3[[#This Row],[Failure due to TPI]],'TPI. Pa.'!$B$3:$C$52,2,0)</f>
        <v>4</v>
      </c>
      <c r="S3" s="43">
        <f>VLOOKUP(Table3[[#This Row],[Activity Level]],'TPI. Pa.'!$B$3:$C$52,2,0)</f>
        <v>3</v>
      </c>
      <c r="T3" s="43">
        <f>VLOOKUP(Table3[[#This Row],[Patrol frequency]],'TPI. Pa.'!$B$3:$C$52,2,0)</f>
        <v>1</v>
      </c>
      <c r="U3" s="43">
        <f>VLOOKUP(Table3[[#This Row],[Proxutil]],'TPI. Pa.'!$B$3:$C$52,2,0)</f>
        <v>5</v>
      </c>
      <c r="V3" s="43">
        <f>VLOOKUP(Table3[[#This Row],[ROW]],'TPI. Pa.'!$B$3:$C$52,2,0)</f>
        <v>10</v>
      </c>
      <c r="W3" s="43">
        <f>VLOOKUP(Table3[[#This Row],[ROW condition]],'TPI. Pa.'!$B$3:$C$52,2,0)</f>
        <v>3</v>
      </c>
      <c r="X3" s="43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4" spans="1:24" hidden="1">
      <c r="A4" s="84">
        <v>1</v>
      </c>
      <c r="B4" s="81">
        <v>4023</v>
      </c>
      <c r="C4" s="82" t="s">
        <v>231</v>
      </c>
      <c r="D4" s="19"/>
      <c r="E4" s="19"/>
      <c r="F4" s="19"/>
      <c r="G4" s="19" t="s">
        <v>179</v>
      </c>
      <c r="H4" s="19" t="s">
        <v>185</v>
      </c>
      <c r="I4" s="19" t="s">
        <v>168</v>
      </c>
      <c r="J4" s="19" t="s">
        <v>183</v>
      </c>
      <c r="K4" s="19" t="s">
        <v>26</v>
      </c>
      <c r="L4" s="19" t="s">
        <v>217</v>
      </c>
      <c r="M4" s="19" t="s">
        <v>222</v>
      </c>
      <c r="N4" s="19" t="s">
        <v>228</v>
      </c>
      <c r="O4" s="38"/>
      <c r="P4" s="43">
        <f>VLOOKUP(Table3[[#This Row],[Depth of cover]],'TPI. Pa.'!$B$3:$C$52,2,0)</f>
        <v>2</v>
      </c>
      <c r="Q4" s="43">
        <f>VLOOKUP(Table3[[#This Row],[Additional protection]],'TPI. Pa.'!$B$3:$C$52,2,0)</f>
        <v>5</v>
      </c>
      <c r="R4" s="43">
        <f>VLOOKUP(Table3[[#This Row],[Failure due to TPI]],'TPI. Pa.'!$B$3:$C$52,2,0)</f>
        <v>4</v>
      </c>
      <c r="S4" s="43">
        <f>VLOOKUP(Table3[[#This Row],[Activity Level]],'TPI. Pa.'!$B$3:$C$52,2,0)</f>
        <v>10</v>
      </c>
      <c r="T4" s="43">
        <f>VLOOKUP(Table3[[#This Row],[Patrol frequency]],'TPI. Pa.'!$B$3:$C$52,2,0)</f>
        <v>1</v>
      </c>
      <c r="U4" s="43">
        <f>VLOOKUP(Table3[[#This Row],[Proxutil]],'TPI. Pa.'!$B$3:$C$52,2,0)</f>
        <v>5</v>
      </c>
      <c r="V4" s="43">
        <f>VLOOKUP(Table3[[#This Row],[ROW]],'TPI. Pa.'!$B$3:$C$52,2,0)</f>
        <v>10</v>
      </c>
      <c r="W4" s="43">
        <f>VLOOKUP(Table3[[#This Row],[ROW condition]],'TPI. Pa.'!$B$3:$C$52,2,0)</f>
        <v>3</v>
      </c>
      <c r="X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" spans="1:24" ht="25.5" hidden="1">
      <c r="A5" s="84">
        <v>1</v>
      </c>
      <c r="B5" s="81">
        <v>4032</v>
      </c>
      <c r="C5" s="82" t="s">
        <v>232</v>
      </c>
      <c r="D5" s="19"/>
      <c r="E5" s="19"/>
      <c r="F5" s="19"/>
      <c r="G5" s="19" t="s">
        <v>179</v>
      </c>
      <c r="H5" s="19" t="s">
        <v>185</v>
      </c>
      <c r="I5" s="19" t="s">
        <v>168</v>
      </c>
      <c r="J5" s="19" t="s">
        <v>183</v>
      </c>
      <c r="K5" s="19" t="s">
        <v>26</v>
      </c>
      <c r="L5" s="19" t="s">
        <v>217</v>
      </c>
      <c r="M5" s="19" t="s">
        <v>222</v>
      </c>
      <c r="N5" s="19" t="s">
        <v>228</v>
      </c>
      <c r="O5" s="38"/>
      <c r="P5" s="43">
        <f>VLOOKUP(Table3[[#This Row],[Depth of cover]],'TPI. Pa.'!$B$3:$C$52,2,0)</f>
        <v>2</v>
      </c>
      <c r="Q5" s="43">
        <f>VLOOKUP(Table3[[#This Row],[Additional protection]],'TPI. Pa.'!$B$3:$C$52,2,0)</f>
        <v>5</v>
      </c>
      <c r="R5" s="43">
        <f>VLOOKUP(Table3[[#This Row],[Failure due to TPI]],'TPI. Pa.'!$B$3:$C$52,2,0)</f>
        <v>4</v>
      </c>
      <c r="S5" s="43">
        <f>VLOOKUP(Table3[[#This Row],[Activity Level]],'TPI. Pa.'!$B$3:$C$52,2,0)</f>
        <v>10</v>
      </c>
      <c r="T5" s="43">
        <f>VLOOKUP(Table3[[#This Row],[Patrol frequency]],'TPI. Pa.'!$B$3:$C$52,2,0)</f>
        <v>1</v>
      </c>
      <c r="U5" s="43">
        <f>VLOOKUP(Table3[[#This Row],[Proxutil]],'TPI. Pa.'!$B$3:$C$52,2,0)</f>
        <v>5</v>
      </c>
      <c r="V5" s="43">
        <f>VLOOKUP(Table3[[#This Row],[ROW]],'TPI. Pa.'!$B$3:$C$52,2,0)</f>
        <v>10</v>
      </c>
      <c r="W5" s="43">
        <f>VLOOKUP(Table3[[#This Row],[ROW condition]],'TPI. Pa.'!$B$3:$C$52,2,0)</f>
        <v>3</v>
      </c>
      <c r="X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" spans="1:24" hidden="1">
      <c r="A6" s="84">
        <v>1</v>
      </c>
      <c r="B6" s="81">
        <v>4311</v>
      </c>
      <c r="C6" s="82" t="s">
        <v>233</v>
      </c>
      <c r="D6" s="19"/>
      <c r="E6" s="19"/>
      <c r="F6" s="19"/>
      <c r="G6" s="19" t="s">
        <v>179</v>
      </c>
      <c r="H6" s="19" t="s">
        <v>185</v>
      </c>
      <c r="I6" s="19" t="s">
        <v>168</v>
      </c>
      <c r="J6" s="19" t="s">
        <v>191</v>
      </c>
      <c r="K6" s="19" t="s">
        <v>26</v>
      </c>
      <c r="L6" s="19" t="s">
        <v>217</v>
      </c>
      <c r="M6" s="19" t="s">
        <v>222</v>
      </c>
      <c r="N6" s="19" t="s">
        <v>228</v>
      </c>
      <c r="O6" s="38"/>
      <c r="P6" s="43">
        <f>VLOOKUP(Table3[[#This Row],[Depth of cover]],'TPI. Pa.'!$B$3:$C$52,2,0)</f>
        <v>2</v>
      </c>
      <c r="Q6" s="43">
        <f>VLOOKUP(Table3[[#This Row],[Additional protection]],'TPI. Pa.'!$B$3:$C$52,2,0)</f>
        <v>5</v>
      </c>
      <c r="R6" s="43">
        <f>VLOOKUP(Table3[[#This Row],[Failure due to TPI]],'TPI. Pa.'!$B$3:$C$52,2,0)</f>
        <v>4</v>
      </c>
      <c r="S6" s="43">
        <f>VLOOKUP(Table3[[#This Row],[Activity Level]],'TPI. Pa.'!$B$3:$C$52,2,0)</f>
        <v>3</v>
      </c>
      <c r="T6" s="43">
        <f>VLOOKUP(Table3[[#This Row],[Patrol frequency]],'TPI. Pa.'!$B$3:$C$52,2,0)</f>
        <v>1</v>
      </c>
      <c r="U6" s="43">
        <f>VLOOKUP(Table3[[#This Row],[Proxutil]],'TPI. Pa.'!$B$3:$C$52,2,0)</f>
        <v>5</v>
      </c>
      <c r="V6" s="43">
        <f>VLOOKUP(Table3[[#This Row],[ROW]],'TPI. Pa.'!$B$3:$C$52,2,0)</f>
        <v>10</v>
      </c>
      <c r="W6" s="43">
        <f>VLOOKUP(Table3[[#This Row],[ROW condition]],'TPI. Pa.'!$B$3:$C$52,2,0)</f>
        <v>3</v>
      </c>
      <c r="X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7" spans="1:24" hidden="1">
      <c r="A7" s="80">
        <v>1</v>
      </c>
      <c r="B7" s="81">
        <v>431110003</v>
      </c>
      <c r="C7" s="82" t="s">
        <v>609</v>
      </c>
      <c r="D7" s="19"/>
      <c r="E7" s="19"/>
      <c r="F7" s="19"/>
      <c r="G7" s="19" t="s">
        <v>179</v>
      </c>
      <c r="H7" s="19" t="s">
        <v>185</v>
      </c>
      <c r="I7" s="19" t="s">
        <v>168</v>
      </c>
      <c r="J7" s="19" t="s">
        <v>183</v>
      </c>
      <c r="K7" s="19" t="s">
        <v>26</v>
      </c>
      <c r="L7" s="19" t="s">
        <v>217</v>
      </c>
      <c r="M7" s="19" t="s">
        <v>222</v>
      </c>
      <c r="N7" s="19" t="s">
        <v>228</v>
      </c>
      <c r="O7" s="38"/>
      <c r="P7" s="43">
        <f>VLOOKUP(Table3[[#This Row],[Depth of cover]],'TPI. Pa.'!$B$3:$C$52,2,0)</f>
        <v>2</v>
      </c>
      <c r="Q7" s="43">
        <f>VLOOKUP(Table3[[#This Row],[Additional protection]],'TPI. Pa.'!$B$3:$C$52,2,0)</f>
        <v>5</v>
      </c>
      <c r="R7" s="43">
        <f>VLOOKUP(Table3[[#This Row],[Failure due to TPI]],'TPI. Pa.'!$B$3:$C$52,2,0)</f>
        <v>4</v>
      </c>
      <c r="S7" s="43">
        <f>VLOOKUP(Table3[[#This Row],[Activity Level]],'TPI. Pa.'!$B$3:$C$52,2,0)</f>
        <v>10</v>
      </c>
      <c r="T7" s="43">
        <f>VLOOKUP(Table3[[#This Row],[Patrol frequency]],'TPI. Pa.'!$B$3:$C$52,2,0)</f>
        <v>1</v>
      </c>
      <c r="U7" s="43">
        <f>VLOOKUP(Table3[[#This Row],[Proxutil]],'TPI. Pa.'!$B$3:$C$52,2,0)</f>
        <v>5</v>
      </c>
      <c r="V7" s="43">
        <f>VLOOKUP(Table3[[#This Row],[ROW]],'TPI. Pa.'!$B$3:$C$52,2,0)</f>
        <v>10</v>
      </c>
      <c r="W7" s="43">
        <f>VLOOKUP(Table3[[#This Row],[ROW condition]],'TPI. Pa.'!$B$3:$C$52,2,0)</f>
        <v>3</v>
      </c>
      <c r="X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" spans="1:24" hidden="1">
      <c r="A8" s="80">
        <v>1</v>
      </c>
      <c r="B8" s="81">
        <v>4311103</v>
      </c>
      <c r="C8" s="82" t="s">
        <v>598</v>
      </c>
      <c r="D8" s="19"/>
      <c r="E8" s="19"/>
      <c r="F8" s="19"/>
      <c r="G8" s="19" t="s">
        <v>179</v>
      </c>
      <c r="H8" s="19" t="s">
        <v>185</v>
      </c>
      <c r="I8" s="19" t="s">
        <v>168</v>
      </c>
      <c r="J8" s="19" t="s">
        <v>183</v>
      </c>
      <c r="K8" s="19" t="s">
        <v>26</v>
      </c>
      <c r="L8" s="19" t="s">
        <v>217</v>
      </c>
      <c r="M8" s="19" t="s">
        <v>222</v>
      </c>
      <c r="N8" s="19" t="s">
        <v>228</v>
      </c>
      <c r="O8" s="38"/>
      <c r="P8" s="43">
        <f>VLOOKUP(Table3[[#This Row],[Depth of cover]],'TPI. Pa.'!$B$3:$C$52,2,0)</f>
        <v>2</v>
      </c>
      <c r="Q8" s="43">
        <f>VLOOKUP(Table3[[#This Row],[Additional protection]],'TPI. Pa.'!$B$3:$C$52,2,0)</f>
        <v>5</v>
      </c>
      <c r="R8" s="43">
        <f>VLOOKUP(Table3[[#This Row],[Failure due to TPI]],'TPI. Pa.'!$B$3:$C$52,2,0)</f>
        <v>4</v>
      </c>
      <c r="S8" s="43">
        <f>VLOOKUP(Table3[[#This Row],[Activity Level]],'TPI. Pa.'!$B$3:$C$52,2,0)</f>
        <v>10</v>
      </c>
      <c r="T8" s="43">
        <f>VLOOKUP(Table3[[#This Row],[Patrol frequency]],'TPI. Pa.'!$B$3:$C$52,2,0)</f>
        <v>1</v>
      </c>
      <c r="U8" s="43">
        <f>VLOOKUP(Table3[[#This Row],[Proxutil]],'TPI. Pa.'!$B$3:$C$52,2,0)</f>
        <v>5</v>
      </c>
      <c r="V8" s="43">
        <f>VLOOKUP(Table3[[#This Row],[ROW]],'TPI. Pa.'!$B$3:$C$52,2,0)</f>
        <v>10</v>
      </c>
      <c r="W8" s="43">
        <f>VLOOKUP(Table3[[#This Row],[ROW condition]],'TPI. Pa.'!$B$3:$C$52,2,0)</f>
        <v>3</v>
      </c>
      <c r="X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" spans="1:24" hidden="1">
      <c r="A9" s="80">
        <v>1</v>
      </c>
      <c r="B9" s="81">
        <v>431120101</v>
      </c>
      <c r="C9" s="82" t="s">
        <v>594</v>
      </c>
      <c r="D9" s="19"/>
      <c r="E9" s="19"/>
      <c r="F9" s="19"/>
      <c r="G9" s="19" t="s">
        <v>179</v>
      </c>
      <c r="H9" s="19" t="s">
        <v>185</v>
      </c>
      <c r="I9" s="19" t="s">
        <v>168</v>
      </c>
      <c r="J9" s="19" t="s">
        <v>183</v>
      </c>
      <c r="K9" s="19" t="s">
        <v>26</v>
      </c>
      <c r="L9" s="19" t="s">
        <v>217</v>
      </c>
      <c r="M9" s="19" t="s">
        <v>222</v>
      </c>
      <c r="N9" s="19" t="s">
        <v>228</v>
      </c>
      <c r="O9" s="38"/>
      <c r="P9" s="43">
        <f>VLOOKUP(Table3[[#This Row],[Depth of cover]],'TPI. Pa.'!$B$3:$C$52,2,0)</f>
        <v>2</v>
      </c>
      <c r="Q9" s="43">
        <f>VLOOKUP(Table3[[#This Row],[Additional protection]],'TPI. Pa.'!$B$3:$C$52,2,0)</f>
        <v>5</v>
      </c>
      <c r="R9" s="43">
        <f>VLOOKUP(Table3[[#This Row],[Failure due to TPI]],'TPI. Pa.'!$B$3:$C$52,2,0)</f>
        <v>4</v>
      </c>
      <c r="S9" s="43">
        <f>VLOOKUP(Table3[[#This Row],[Activity Level]],'TPI. Pa.'!$B$3:$C$52,2,0)</f>
        <v>10</v>
      </c>
      <c r="T9" s="43">
        <f>VLOOKUP(Table3[[#This Row],[Patrol frequency]],'TPI. Pa.'!$B$3:$C$52,2,0)</f>
        <v>1</v>
      </c>
      <c r="U9" s="43">
        <f>VLOOKUP(Table3[[#This Row],[Proxutil]],'TPI. Pa.'!$B$3:$C$52,2,0)</f>
        <v>5</v>
      </c>
      <c r="V9" s="43">
        <f>VLOOKUP(Table3[[#This Row],[ROW]],'TPI. Pa.'!$B$3:$C$52,2,0)</f>
        <v>10</v>
      </c>
      <c r="W9" s="43">
        <f>VLOOKUP(Table3[[#This Row],[ROW condition]],'TPI. Pa.'!$B$3:$C$52,2,0)</f>
        <v>3</v>
      </c>
      <c r="X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" spans="1:24" hidden="1">
      <c r="A10" s="80">
        <v>1</v>
      </c>
      <c r="B10" s="81">
        <v>431120102</v>
      </c>
      <c r="C10" s="82" t="s">
        <v>596</v>
      </c>
      <c r="D10" s="19"/>
      <c r="E10" s="19"/>
      <c r="F10" s="19"/>
      <c r="G10" s="19" t="s">
        <v>179</v>
      </c>
      <c r="H10" s="19" t="s">
        <v>185</v>
      </c>
      <c r="I10" s="19" t="s">
        <v>168</v>
      </c>
      <c r="J10" s="19" t="s">
        <v>183</v>
      </c>
      <c r="K10" s="19" t="s">
        <v>26</v>
      </c>
      <c r="L10" s="19" t="s">
        <v>217</v>
      </c>
      <c r="M10" s="19" t="s">
        <v>222</v>
      </c>
      <c r="N10" s="19" t="s">
        <v>228</v>
      </c>
      <c r="O10" s="38"/>
      <c r="P10" s="43">
        <f>VLOOKUP(Table3[[#This Row],[Depth of cover]],'TPI. Pa.'!$B$3:$C$52,2,0)</f>
        <v>2</v>
      </c>
      <c r="Q10" s="43">
        <f>VLOOKUP(Table3[[#This Row],[Additional protection]],'TPI. Pa.'!$B$3:$C$52,2,0)</f>
        <v>5</v>
      </c>
      <c r="R10" s="43">
        <f>VLOOKUP(Table3[[#This Row],[Failure due to TPI]],'TPI. Pa.'!$B$3:$C$52,2,0)</f>
        <v>4</v>
      </c>
      <c r="S10" s="43">
        <f>VLOOKUP(Table3[[#This Row],[Activity Level]],'TPI. Pa.'!$B$3:$C$52,2,0)</f>
        <v>10</v>
      </c>
      <c r="T10" s="43">
        <f>VLOOKUP(Table3[[#This Row],[Patrol frequency]],'TPI. Pa.'!$B$3:$C$52,2,0)</f>
        <v>1</v>
      </c>
      <c r="U10" s="43">
        <f>VLOOKUP(Table3[[#This Row],[Proxutil]],'TPI. Pa.'!$B$3:$C$52,2,0)</f>
        <v>5</v>
      </c>
      <c r="V10" s="43">
        <f>VLOOKUP(Table3[[#This Row],[ROW]],'TPI. Pa.'!$B$3:$C$52,2,0)</f>
        <v>10</v>
      </c>
      <c r="W10" s="43">
        <f>VLOOKUP(Table3[[#This Row],[ROW condition]],'TPI. Pa.'!$B$3:$C$52,2,0)</f>
        <v>3</v>
      </c>
      <c r="X1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" spans="1:24" hidden="1">
      <c r="A11" s="80">
        <v>1</v>
      </c>
      <c r="B11" s="81">
        <v>431120103</v>
      </c>
      <c r="C11" s="82" t="s">
        <v>601</v>
      </c>
      <c r="D11" s="19"/>
      <c r="E11" s="19"/>
      <c r="F11" s="19"/>
      <c r="G11" s="19" t="s">
        <v>179</v>
      </c>
      <c r="H11" s="19" t="s">
        <v>185</v>
      </c>
      <c r="I11" s="19" t="s">
        <v>168</v>
      </c>
      <c r="J11" s="19" t="s">
        <v>183</v>
      </c>
      <c r="K11" s="19" t="s">
        <v>26</v>
      </c>
      <c r="L11" s="19" t="s">
        <v>217</v>
      </c>
      <c r="M11" s="19" t="s">
        <v>222</v>
      </c>
      <c r="N11" s="19" t="s">
        <v>228</v>
      </c>
      <c r="O11" s="38"/>
      <c r="P11" s="43">
        <f>VLOOKUP(Table3[[#This Row],[Depth of cover]],'TPI. Pa.'!$B$3:$C$52,2,0)</f>
        <v>2</v>
      </c>
      <c r="Q11" s="43">
        <f>VLOOKUP(Table3[[#This Row],[Additional protection]],'TPI. Pa.'!$B$3:$C$52,2,0)</f>
        <v>5</v>
      </c>
      <c r="R11" s="43">
        <f>VLOOKUP(Table3[[#This Row],[Failure due to TPI]],'TPI. Pa.'!$B$3:$C$52,2,0)</f>
        <v>4</v>
      </c>
      <c r="S11" s="43">
        <f>VLOOKUP(Table3[[#This Row],[Activity Level]],'TPI. Pa.'!$B$3:$C$52,2,0)</f>
        <v>10</v>
      </c>
      <c r="T11" s="43">
        <f>VLOOKUP(Table3[[#This Row],[Patrol frequency]],'TPI. Pa.'!$B$3:$C$52,2,0)</f>
        <v>1</v>
      </c>
      <c r="U11" s="43">
        <f>VLOOKUP(Table3[[#This Row],[Proxutil]],'TPI. Pa.'!$B$3:$C$52,2,0)</f>
        <v>5</v>
      </c>
      <c r="V11" s="43">
        <f>VLOOKUP(Table3[[#This Row],[ROW]],'TPI. Pa.'!$B$3:$C$52,2,0)</f>
        <v>10</v>
      </c>
      <c r="W11" s="43">
        <f>VLOOKUP(Table3[[#This Row],[ROW condition]],'TPI. Pa.'!$B$3:$C$52,2,0)</f>
        <v>3</v>
      </c>
      <c r="X1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" spans="1:24" hidden="1">
      <c r="A12" s="80">
        <v>1</v>
      </c>
      <c r="B12" s="81">
        <v>431120106</v>
      </c>
      <c r="C12" s="82" t="s">
        <v>584</v>
      </c>
      <c r="D12" s="19"/>
      <c r="E12" s="19"/>
      <c r="F12" s="19"/>
      <c r="G12" s="19" t="s">
        <v>179</v>
      </c>
      <c r="H12" s="19" t="s">
        <v>185</v>
      </c>
      <c r="I12" s="19" t="s">
        <v>168</v>
      </c>
      <c r="J12" s="19" t="s">
        <v>183</v>
      </c>
      <c r="K12" s="19" t="s">
        <v>26</v>
      </c>
      <c r="L12" s="19" t="s">
        <v>217</v>
      </c>
      <c r="M12" s="19" t="s">
        <v>222</v>
      </c>
      <c r="N12" s="19" t="s">
        <v>228</v>
      </c>
      <c r="O12" s="38"/>
      <c r="P12" s="43">
        <f>VLOOKUP(Table3[[#This Row],[Depth of cover]],'TPI. Pa.'!$B$3:$C$52,2,0)</f>
        <v>2</v>
      </c>
      <c r="Q12" s="43">
        <f>VLOOKUP(Table3[[#This Row],[Additional protection]],'TPI. Pa.'!$B$3:$C$52,2,0)</f>
        <v>5</v>
      </c>
      <c r="R12" s="43">
        <f>VLOOKUP(Table3[[#This Row],[Failure due to TPI]],'TPI. Pa.'!$B$3:$C$52,2,0)</f>
        <v>4</v>
      </c>
      <c r="S12" s="43">
        <f>VLOOKUP(Table3[[#This Row],[Activity Level]],'TPI. Pa.'!$B$3:$C$52,2,0)</f>
        <v>10</v>
      </c>
      <c r="T12" s="43">
        <f>VLOOKUP(Table3[[#This Row],[Patrol frequency]],'TPI. Pa.'!$B$3:$C$52,2,0)</f>
        <v>1</v>
      </c>
      <c r="U12" s="43">
        <f>VLOOKUP(Table3[[#This Row],[Proxutil]],'TPI. Pa.'!$B$3:$C$52,2,0)</f>
        <v>5</v>
      </c>
      <c r="V12" s="43">
        <f>VLOOKUP(Table3[[#This Row],[ROW]],'TPI. Pa.'!$B$3:$C$52,2,0)</f>
        <v>10</v>
      </c>
      <c r="W12" s="43">
        <f>VLOOKUP(Table3[[#This Row],[ROW condition]],'TPI. Pa.'!$B$3:$C$52,2,0)</f>
        <v>3</v>
      </c>
      <c r="X1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" spans="1:24" hidden="1">
      <c r="A13" s="80">
        <v>1</v>
      </c>
      <c r="B13" s="81">
        <v>431120108</v>
      </c>
      <c r="C13" s="82" t="s">
        <v>589</v>
      </c>
      <c r="D13" s="19"/>
      <c r="E13" s="19"/>
      <c r="F13" s="19"/>
      <c r="G13" s="19" t="s">
        <v>179</v>
      </c>
      <c r="H13" s="19" t="s">
        <v>185</v>
      </c>
      <c r="I13" s="19" t="s">
        <v>168</v>
      </c>
      <c r="J13" s="19" t="s">
        <v>183</v>
      </c>
      <c r="K13" s="19" t="s">
        <v>26</v>
      </c>
      <c r="L13" s="19" t="s">
        <v>217</v>
      </c>
      <c r="M13" s="19" t="s">
        <v>222</v>
      </c>
      <c r="N13" s="19" t="s">
        <v>228</v>
      </c>
      <c r="O13" s="38"/>
      <c r="P13" s="43">
        <f>VLOOKUP(Table3[[#This Row],[Depth of cover]],'TPI. Pa.'!$B$3:$C$52,2,0)</f>
        <v>2</v>
      </c>
      <c r="Q13" s="43">
        <f>VLOOKUP(Table3[[#This Row],[Additional protection]],'TPI. Pa.'!$B$3:$C$52,2,0)</f>
        <v>5</v>
      </c>
      <c r="R13" s="43">
        <f>VLOOKUP(Table3[[#This Row],[Failure due to TPI]],'TPI. Pa.'!$B$3:$C$52,2,0)</f>
        <v>4</v>
      </c>
      <c r="S13" s="43">
        <f>VLOOKUP(Table3[[#This Row],[Activity Level]],'TPI. Pa.'!$B$3:$C$52,2,0)</f>
        <v>10</v>
      </c>
      <c r="T13" s="43">
        <f>VLOOKUP(Table3[[#This Row],[Patrol frequency]],'TPI. Pa.'!$B$3:$C$52,2,0)</f>
        <v>1</v>
      </c>
      <c r="U13" s="43">
        <f>VLOOKUP(Table3[[#This Row],[Proxutil]],'TPI. Pa.'!$B$3:$C$52,2,0)</f>
        <v>5</v>
      </c>
      <c r="V13" s="43">
        <f>VLOOKUP(Table3[[#This Row],[ROW]],'TPI. Pa.'!$B$3:$C$52,2,0)</f>
        <v>10</v>
      </c>
      <c r="W13" s="43">
        <f>VLOOKUP(Table3[[#This Row],[ROW condition]],'TPI. Pa.'!$B$3:$C$52,2,0)</f>
        <v>3</v>
      </c>
      <c r="X1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" spans="1:24" hidden="1">
      <c r="A14" s="80">
        <v>1</v>
      </c>
      <c r="B14" s="81">
        <v>431120001</v>
      </c>
      <c r="C14" s="82" t="s">
        <v>586</v>
      </c>
      <c r="D14" s="19"/>
      <c r="E14" s="19"/>
      <c r="F14" s="19"/>
      <c r="G14" s="19" t="s">
        <v>179</v>
      </c>
      <c r="H14" s="19" t="s">
        <v>185</v>
      </c>
      <c r="I14" s="19" t="s">
        <v>168</v>
      </c>
      <c r="J14" s="19" t="s">
        <v>183</v>
      </c>
      <c r="K14" s="19" t="s">
        <v>26</v>
      </c>
      <c r="L14" s="19" t="s">
        <v>217</v>
      </c>
      <c r="M14" s="19" t="s">
        <v>222</v>
      </c>
      <c r="N14" s="19" t="s">
        <v>228</v>
      </c>
      <c r="O14" s="38"/>
      <c r="P14" s="43">
        <f>VLOOKUP(Table3[[#This Row],[Depth of cover]],'TPI. Pa.'!$B$3:$C$52,2,0)</f>
        <v>2</v>
      </c>
      <c r="Q14" s="43">
        <f>VLOOKUP(Table3[[#This Row],[Additional protection]],'TPI. Pa.'!$B$3:$C$52,2,0)</f>
        <v>5</v>
      </c>
      <c r="R14" s="43">
        <f>VLOOKUP(Table3[[#This Row],[Failure due to TPI]],'TPI. Pa.'!$B$3:$C$52,2,0)</f>
        <v>4</v>
      </c>
      <c r="S14" s="43">
        <f>VLOOKUP(Table3[[#This Row],[Activity Level]],'TPI. Pa.'!$B$3:$C$52,2,0)</f>
        <v>10</v>
      </c>
      <c r="T14" s="43">
        <f>VLOOKUP(Table3[[#This Row],[Patrol frequency]],'TPI. Pa.'!$B$3:$C$52,2,0)</f>
        <v>1</v>
      </c>
      <c r="U14" s="43">
        <f>VLOOKUP(Table3[[#This Row],[Proxutil]],'TPI. Pa.'!$B$3:$C$52,2,0)</f>
        <v>5</v>
      </c>
      <c r="V14" s="43">
        <f>VLOOKUP(Table3[[#This Row],[ROW]],'TPI. Pa.'!$B$3:$C$52,2,0)</f>
        <v>10</v>
      </c>
      <c r="W14" s="43">
        <f>VLOOKUP(Table3[[#This Row],[ROW condition]],'TPI. Pa.'!$B$3:$C$52,2,0)</f>
        <v>3</v>
      </c>
      <c r="X1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" spans="1:24" hidden="1">
      <c r="A15" s="84">
        <v>1</v>
      </c>
      <c r="B15" s="81">
        <v>4401</v>
      </c>
      <c r="C15" s="82" t="s">
        <v>234</v>
      </c>
      <c r="D15" s="19"/>
      <c r="E15" s="19"/>
      <c r="F15" s="19"/>
      <c r="G15" s="19" t="s">
        <v>179</v>
      </c>
      <c r="H15" s="19" t="s">
        <v>185</v>
      </c>
      <c r="I15" s="19" t="s">
        <v>168</v>
      </c>
      <c r="J15" s="19" t="s">
        <v>191</v>
      </c>
      <c r="K15" s="19" t="s">
        <v>26</v>
      </c>
      <c r="L15" s="19" t="s">
        <v>217</v>
      </c>
      <c r="M15" s="19" t="s">
        <v>222</v>
      </c>
      <c r="N15" s="19" t="s">
        <v>228</v>
      </c>
      <c r="O15" s="38"/>
      <c r="P15" s="43">
        <f>VLOOKUP(Table3[[#This Row],[Depth of cover]],'TPI. Pa.'!$B$3:$C$52,2,0)</f>
        <v>2</v>
      </c>
      <c r="Q15" s="43">
        <f>VLOOKUP(Table3[[#This Row],[Additional protection]],'TPI. Pa.'!$B$3:$C$52,2,0)</f>
        <v>5</v>
      </c>
      <c r="R15" s="43">
        <f>VLOOKUP(Table3[[#This Row],[Failure due to TPI]],'TPI. Pa.'!$B$3:$C$52,2,0)</f>
        <v>4</v>
      </c>
      <c r="S15" s="43">
        <f>VLOOKUP(Table3[[#This Row],[Activity Level]],'TPI. Pa.'!$B$3:$C$52,2,0)</f>
        <v>3</v>
      </c>
      <c r="T15" s="43">
        <f>VLOOKUP(Table3[[#This Row],[Patrol frequency]],'TPI. Pa.'!$B$3:$C$52,2,0)</f>
        <v>1</v>
      </c>
      <c r="U15" s="43">
        <f>VLOOKUP(Table3[[#This Row],[Proxutil]],'TPI. Pa.'!$B$3:$C$52,2,0)</f>
        <v>5</v>
      </c>
      <c r="V15" s="43">
        <f>VLOOKUP(Table3[[#This Row],[ROW]],'TPI. Pa.'!$B$3:$C$52,2,0)</f>
        <v>10</v>
      </c>
      <c r="W15" s="43">
        <f>VLOOKUP(Table3[[#This Row],[ROW condition]],'TPI. Pa.'!$B$3:$C$52,2,0)</f>
        <v>3</v>
      </c>
      <c r="X1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6" spans="1:24" hidden="1">
      <c r="A16" s="84">
        <v>1</v>
      </c>
      <c r="B16" s="81">
        <v>5033</v>
      </c>
      <c r="C16" s="82" t="s">
        <v>235</v>
      </c>
      <c r="D16" s="19"/>
      <c r="E16" s="19"/>
      <c r="F16" s="19"/>
      <c r="G16" s="19" t="s">
        <v>179</v>
      </c>
      <c r="H16" s="19" t="s">
        <v>185</v>
      </c>
      <c r="I16" s="19" t="s">
        <v>168</v>
      </c>
      <c r="J16" s="167" t="s">
        <v>183</v>
      </c>
      <c r="K16" s="19" t="s">
        <v>26</v>
      </c>
      <c r="L16" s="19" t="s">
        <v>217</v>
      </c>
      <c r="M16" s="19" t="s">
        <v>222</v>
      </c>
      <c r="N16" s="19" t="s">
        <v>228</v>
      </c>
      <c r="O16" s="38"/>
      <c r="P16" s="43">
        <f>VLOOKUP(Table3[[#This Row],[Depth of cover]],'TPI. Pa.'!$B$3:$C$52,2,0)</f>
        <v>2</v>
      </c>
      <c r="Q16" s="43">
        <f>VLOOKUP(Table3[[#This Row],[Additional protection]],'TPI. Pa.'!$B$3:$C$52,2,0)</f>
        <v>5</v>
      </c>
      <c r="R16" s="43">
        <f>VLOOKUP(Table3[[#This Row],[Failure due to TPI]],'TPI. Pa.'!$B$3:$C$52,2,0)</f>
        <v>4</v>
      </c>
      <c r="S16" s="43">
        <f>VLOOKUP(Table3[[#This Row],[Activity Level]],'TPI. Pa.'!$B$3:$C$52,2,0)</f>
        <v>10</v>
      </c>
      <c r="T16" s="43">
        <f>VLOOKUP(Table3[[#This Row],[Patrol frequency]],'TPI. Pa.'!$B$3:$C$52,2,0)</f>
        <v>1</v>
      </c>
      <c r="U16" s="43">
        <f>VLOOKUP(Table3[[#This Row],[Proxutil]],'TPI. Pa.'!$B$3:$C$52,2,0)</f>
        <v>5</v>
      </c>
      <c r="V16" s="43">
        <f>VLOOKUP(Table3[[#This Row],[ROW]],'TPI. Pa.'!$B$3:$C$52,2,0)</f>
        <v>10</v>
      </c>
      <c r="W16" s="43">
        <f>VLOOKUP(Table3[[#This Row],[ROW condition]],'TPI. Pa.'!$B$3:$C$52,2,0)</f>
        <v>3</v>
      </c>
      <c r="X1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" spans="1:24" hidden="1">
      <c r="A17" s="29">
        <v>1</v>
      </c>
      <c r="B17" s="26">
        <v>40231</v>
      </c>
      <c r="C17" s="27" t="s">
        <v>236</v>
      </c>
      <c r="D17" s="19"/>
      <c r="E17" s="19"/>
      <c r="F17" s="19"/>
      <c r="G17" s="19" t="s">
        <v>179</v>
      </c>
      <c r="H17" s="19" t="s">
        <v>185</v>
      </c>
      <c r="I17" s="19" t="s">
        <v>168</v>
      </c>
      <c r="J17" s="19" t="s">
        <v>183</v>
      </c>
      <c r="K17" s="19" t="s">
        <v>26</v>
      </c>
      <c r="L17" s="19" t="s">
        <v>217</v>
      </c>
      <c r="M17" s="19" t="s">
        <v>222</v>
      </c>
      <c r="N17" s="19" t="s">
        <v>228</v>
      </c>
      <c r="O17" s="38"/>
      <c r="P17" s="43">
        <f>VLOOKUP(Table3[[#This Row],[Depth of cover]],'TPI. Pa.'!$B$3:$C$52,2,0)</f>
        <v>2</v>
      </c>
      <c r="Q17" s="43">
        <f>VLOOKUP(Table3[[#This Row],[Additional protection]],'TPI. Pa.'!$B$3:$C$52,2,0)</f>
        <v>5</v>
      </c>
      <c r="R17" s="43">
        <f>VLOOKUP(Table3[[#This Row],[Failure due to TPI]],'TPI. Pa.'!$B$3:$C$52,2,0)</f>
        <v>4</v>
      </c>
      <c r="S17" s="43">
        <f>VLOOKUP(Table3[[#This Row],[Activity Level]],'TPI. Pa.'!$B$3:$C$52,2,0)</f>
        <v>10</v>
      </c>
      <c r="T17" s="43">
        <f>VLOOKUP(Table3[[#This Row],[Patrol frequency]],'TPI. Pa.'!$B$3:$C$52,2,0)</f>
        <v>1</v>
      </c>
      <c r="U17" s="43">
        <f>VLOOKUP(Table3[[#This Row],[Proxutil]],'TPI. Pa.'!$B$3:$C$52,2,0)</f>
        <v>5</v>
      </c>
      <c r="V17" s="43">
        <f>VLOOKUP(Table3[[#This Row],[ROW]],'TPI. Pa.'!$B$3:$C$52,2,0)</f>
        <v>10</v>
      </c>
      <c r="W17" s="43">
        <f>VLOOKUP(Table3[[#This Row],[ROW condition]],'TPI. Pa.'!$B$3:$C$52,2,0)</f>
        <v>3</v>
      </c>
      <c r="X1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" spans="1:24" hidden="1">
      <c r="A18" s="84">
        <v>1</v>
      </c>
      <c r="B18" s="81">
        <v>44041</v>
      </c>
      <c r="C18" s="82" t="s">
        <v>237</v>
      </c>
      <c r="D18" s="19"/>
      <c r="E18" s="19"/>
      <c r="F18" s="19"/>
      <c r="G18" s="19" t="s">
        <v>179</v>
      </c>
      <c r="H18" s="19" t="s">
        <v>185</v>
      </c>
      <c r="I18" s="19" t="s">
        <v>168</v>
      </c>
      <c r="J18" s="19" t="s">
        <v>183</v>
      </c>
      <c r="K18" s="19" t="s">
        <v>26</v>
      </c>
      <c r="L18" s="19" t="s">
        <v>217</v>
      </c>
      <c r="M18" s="19" t="s">
        <v>222</v>
      </c>
      <c r="N18" s="19" t="s">
        <v>228</v>
      </c>
      <c r="O18" s="38"/>
      <c r="P18" s="43">
        <f>VLOOKUP(Table3[[#This Row],[Depth of cover]],'TPI. Pa.'!$B$3:$C$52,2,0)</f>
        <v>2</v>
      </c>
      <c r="Q18" s="43">
        <f>VLOOKUP(Table3[[#This Row],[Additional protection]],'TPI. Pa.'!$B$3:$C$52,2,0)</f>
        <v>5</v>
      </c>
      <c r="R18" s="43">
        <f>VLOOKUP(Table3[[#This Row],[Failure due to TPI]],'TPI. Pa.'!$B$3:$C$52,2,0)</f>
        <v>4</v>
      </c>
      <c r="S18" s="43">
        <f>VLOOKUP(Table3[[#This Row],[Activity Level]],'TPI. Pa.'!$B$3:$C$52,2,0)</f>
        <v>10</v>
      </c>
      <c r="T18" s="43">
        <f>VLOOKUP(Table3[[#This Row],[Patrol frequency]],'TPI. Pa.'!$B$3:$C$52,2,0)</f>
        <v>1</v>
      </c>
      <c r="U18" s="43">
        <f>VLOOKUP(Table3[[#This Row],[Proxutil]],'TPI. Pa.'!$B$3:$C$52,2,0)</f>
        <v>5</v>
      </c>
      <c r="V18" s="43">
        <f>VLOOKUP(Table3[[#This Row],[ROW]],'TPI. Pa.'!$B$3:$C$52,2,0)</f>
        <v>10</v>
      </c>
      <c r="W18" s="43">
        <f>VLOOKUP(Table3[[#This Row],[ROW condition]],'TPI. Pa.'!$B$3:$C$52,2,0)</f>
        <v>3</v>
      </c>
      <c r="X1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" spans="1:24" hidden="1">
      <c r="A19" s="80">
        <v>1</v>
      </c>
      <c r="B19" s="81">
        <v>402330206</v>
      </c>
      <c r="C19" s="82" t="s">
        <v>613</v>
      </c>
      <c r="D19" s="19"/>
      <c r="E19" s="19"/>
      <c r="F19" s="19"/>
      <c r="G19" s="19" t="s">
        <v>179</v>
      </c>
      <c r="H19" s="19" t="s">
        <v>185</v>
      </c>
      <c r="I19" s="19" t="s">
        <v>168</v>
      </c>
      <c r="J19" s="19" t="s">
        <v>191</v>
      </c>
      <c r="K19" s="19" t="s">
        <v>26</v>
      </c>
      <c r="L19" s="19" t="s">
        <v>217</v>
      </c>
      <c r="M19" s="19" t="s">
        <v>222</v>
      </c>
      <c r="N19" s="19" t="s">
        <v>228</v>
      </c>
      <c r="O19" s="38"/>
      <c r="P19" s="43">
        <f>VLOOKUP(Table3[[#This Row],[Depth of cover]],'TPI. Pa.'!$B$3:$C$52,2,0)</f>
        <v>2</v>
      </c>
      <c r="Q19" s="43">
        <f>VLOOKUP(Table3[[#This Row],[Additional protection]],'TPI. Pa.'!$B$3:$C$52,2,0)</f>
        <v>5</v>
      </c>
      <c r="R19" s="43">
        <f>VLOOKUP(Table3[[#This Row],[Failure due to TPI]],'TPI. Pa.'!$B$3:$C$52,2,0)</f>
        <v>4</v>
      </c>
      <c r="S19" s="43">
        <f>VLOOKUP(Table3[[#This Row],[Activity Level]],'TPI. Pa.'!$B$3:$C$52,2,0)</f>
        <v>3</v>
      </c>
      <c r="T19" s="43">
        <f>VLOOKUP(Table3[[#This Row],[Patrol frequency]],'TPI. Pa.'!$B$3:$C$52,2,0)</f>
        <v>1</v>
      </c>
      <c r="U19" s="43">
        <f>VLOOKUP(Table3[[#This Row],[Proxutil]],'TPI. Pa.'!$B$3:$C$52,2,0)</f>
        <v>5</v>
      </c>
      <c r="V19" s="43">
        <f>VLOOKUP(Table3[[#This Row],[ROW]],'TPI. Pa.'!$B$3:$C$52,2,0)</f>
        <v>10</v>
      </c>
      <c r="W19" s="43">
        <f>VLOOKUP(Table3[[#This Row],[ROW condition]],'TPI. Pa.'!$B$3:$C$52,2,0)</f>
        <v>3</v>
      </c>
      <c r="X1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0" spans="1:24" hidden="1">
      <c r="A20" s="84">
        <v>1</v>
      </c>
      <c r="B20" s="81">
        <v>632102</v>
      </c>
      <c r="C20" s="82" t="s">
        <v>238</v>
      </c>
      <c r="D20" s="19"/>
      <c r="E20" s="19"/>
      <c r="F20" s="19"/>
      <c r="G20" s="19" t="s">
        <v>179</v>
      </c>
      <c r="H20" s="19" t="s">
        <v>185</v>
      </c>
      <c r="I20" s="19" t="s">
        <v>168</v>
      </c>
      <c r="J20" s="19" t="s">
        <v>183</v>
      </c>
      <c r="K20" s="19" t="s">
        <v>26</v>
      </c>
      <c r="L20" s="19" t="s">
        <v>217</v>
      </c>
      <c r="M20" s="19" t="s">
        <v>222</v>
      </c>
      <c r="N20" s="19" t="s">
        <v>228</v>
      </c>
      <c r="O20" s="38"/>
      <c r="P20" s="43">
        <f>VLOOKUP(Table3[[#This Row],[Depth of cover]],'TPI. Pa.'!$B$3:$C$52,2,0)</f>
        <v>2</v>
      </c>
      <c r="Q20" s="43">
        <f>VLOOKUP(Table3[[#This Row],[Additional protection]],'TPI. Pa.'!$B$3:$C$52,2,0)</f>
        <v>5</v>
      </c>
      <c r="R20" s="43">
        <f>VLOOKUP(Table3[[#This Row],[Failure due to TPI]],'TPI. Pa.'!$B$3:$C$52,2,0)</f>
        <v>4</v>
      </c>
      <c r="S20" s="43">
        <f>VLOOKUP(Table3[[#This Row],[Activity Level]],'TPI. Pa.'!$B$3:$C$52,2,0)</f>
        <v>10</v>
      </c>
      <c r="T20" s="43">
        <f>VLOOKUP(Table3[[#This Row],[Patrol frequency]],'TPI. Pa.'!$B$3:$C$52,2,0)</f>
        <v>1</v>
      </c>
      <c r="U20" s="43">
        <f>VLOOKUP(Table3[[#This Row],[Proxutil]],'TPI. Pa.'!$B$3:$C$52,2,0)</f>
        <v>5</v>
      </c>
      <c r="V20" s="43">
        <f>VLOOKUP(Table3[[#This Row],[ROW]],'TPI. Pa.'!$B$3:$C$52,2,0)</f>
        <v>10</v>
      </c>
      <c r="W20" s="43">
        <f>VLOOKUP(Table3[[#This Row],[ROW condition]],'TPI. Pa.'!$B$3:$C$52,2,0)</f>
        <v>3</v>
      </c>
      <c r="X2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" spans="1:24" hidden="1">
      <c r="A21" s="80">
        <v>1</v>
      </c>
      <c r="B21" s="81" t="s">
        <v>888</v>
      </c>
      <c r="C21" s="82" t="s">
        <v>568</v>
      </c>
      <c r="D21" s="19"/>
      <c r="E21" s="19"/>
      <c r="F21" s="19"/>
      <c r="G21" s="19" t="s">
        <v>179</v>
      </c>
      <c r="H21" s="19" t="s">
        <v>185</v>
      </c>
      <c r="I21" s="19" t="s">
        <v>168</v>
      </c>
      <c r="J21" s="19" t="s">
        <v>191</v>
      </c>
      <c r="K21" s="19" t="s">
        <v>26</v>
      </c>
      <c r="L21" s="19" t="s">
        <v>217</v>
      </c>
      <c r="M21" s="19" t="s">
        <v>222</v>
      </c>
      <c r="N21" s="19" t="s">
        <v>228</v>
      </c>
      <c r="O21" s="38"/>
      <c r="P21" s="43">
        <f>VLOOKUP(Table3[[#This Row],[Depth of cover]],'TPI. Pa.'!$B$3:$C$52,2,0)</f>
        <v>2</v>
      </c>
      <c r="Q21" s="43">
        <f>VLOOKUP(Table3[[#This Row],[Additional protection]],'TPI. Pa.'!$B$3:$C$52,2,0)</f>
        <v>5</v>
      </c>
      <c r="R21" s="43">
        <f>VLOOKUP(Table3[[#This Row],[Failure due to TPI]],'TPI. Pa.'!$B$3:$C$52,2,0)</f>
        <v>4</v>
      </c>
      <c r="S21" s="43">
        <f>VLOOKUP(Table3[[#This Row],[Activity Level]],'TPI. Pa.'!$B$3:$C$52,2,0)</f>
        <v>3</v>
      </c>
      <c r="T21" s="43">
        <f>VLOOKUP(Table3[[#This Row],[Patrol frequency]],'TPI. Pa.'!$B$3:$C$52,2,0)</f>
        <v>1</v>
      </c>
      <c r="U21" s="43">
        <f>VLOOKUP(Table3[[#This Row],[Proxutil]],'TPI. Pa.'!$B$3:$C$52,2,0)</f>
        <v>5</v>
      </c>
      <c r="V21" s="43">
        <f>VLOOKUP(Table3[[#This Row],[ROW]],'TPI. Pa.'!$B$3:$C$52,2,0)</f>
        <v>10</v>
      </c>
      <c r="W21" s="43">
        <f>VLOOKUP(Table3[[#This Row],[ROW condition]],'TPI. Pa.'!$B$3:$C$52,2,0)</f>
        <v>3</v>
      </c>
      <c r="X2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2" spans="1:24" hidden="1">
      <c r="A22" s="80">
        <v>1</v>
      </c>
      <c r="B22" s="81" t="s">
        <v>889</v>
      </c>
      <c r="C22" s="82" t="s">
        <v>569</v>
      </c>
      <c r="D22" s="19"/>
      <c r="E22" s="19"/>
      <c r="F22" s="19"/>
      <c r="G22" s="19" t="s">
        <v>179</v>
      </c>
      <c r="H22" s="19" t="s">
        <v>185</v>
      </c>
      <c r="I22" s="19" t="s">
        <v>168</v>
      </c>
      <c r="J22" s="19" t="s">
        <v>183</v>
      </c>
      <c r="K22" s="19" t="s">
        <v>26</v>
      </c>
      <c r="L22" s="19" t="s">
        <v>217</v>
      </c>
      <c r="M22" s="19" t="s">
        <v>222</v>
      </c>
      <c r="N22" s="19" t="s">
        <v>228</v>
      </c>
      <c r="O22" s="38"/>
      <c r="P22" s="43">
        <f>VLOOKUP(Table3[[#This Row],[Depth of cover]],'TPI. Pa.'!$B$3:$C$52,2,0)</f>
        <v>2</v>
      </c>
      <c r="Q22" s="43">
        <f>VLOOKUP(Table3[[#This Row],[Additional protection]],'TPI. Pa.'!$B$3:$C$52,2,0)</f>
        <v>5</v>
      </c>
      <c r="R22" s="43">
        <f>VLOOKUP(Table3[[#This Row],[Failure due to TPI]],'TPI. Pa.'!$B$3:$C$52,2,0)</f>
        <v>4</v>
      </c>
      <c r="S22" s="43">
        <f>VLOOKUP(Table3[[#This Row],[Activity Level]],'TPI. Pa.'!$B$3:$C$52,2,0)</f>
        <v>10</v>
      </c>
      <c r="T22" s="43">
        <f>VLOOKUP(Table3[[#This Row],[Patrol frequency]],'TPI. Pa.'!$B$3:$C$52,2,0)</f>
        <v>1</v>
      </c>
      <c r="U22" s="43">
        <f>VLOOKUP(Table3[[#This Row],[Proxutil]],'TPI. Pa.'!$B$3:$C$52,2,0)</f>
        <v>5</v>
      </c>
      <c r="V22" s="43">
        <f>VLOOKUP(Table3[[#This Row],[ROW]],'TPI. Pa.'!$B$3:$C$52,2,0)</f>
        <v>10</v>
      </c>
      <c r="W22" s="43">
        <f>VLOOKUP(Table3[[#This Row],[ROW condition]],'TPI. Pa.'!$B$3:$C$52,2,0)</f>
        <v>3</v>
      </c>
      <c r="X2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" spans="1:24" hidden="1">
      <c r="A23" s="80">
        <v>1</v>
      </c>
      <c r="B23" s="81" t="s">
        <v>890</v>
      </c>
      <c r="C23" s="82" t="s">
        <v>572</v>
      </c>
      <c r="D23" s="19"/>
      <c r="E23" s="19"/>
      <c r="F23" s="19"/>
      <c r="G23" s="19" t="s">
        <v>179</v>
      </c>
      <c r="H23" s="19" t="s">
        <v>185</v>
      </c>
      <c r="I23" s="19" t="s">
        <v>168</v>
      </c>
      <c r="J23" s="19" t="s">
        <v>183</v>
      </c>
      <c r="K23" s="19" t="s">
        <v>26</v>
      </c>
      <c r="L23" s="19" t="s">
        <v>217</v>
      </c>
      <c r="M23" s="19" t="s">
        <v>222</v>
      </c>
      <c r="N23" s="19" t="s">
        <v>228</v>
      </c>
      <c r="O23" s="38"/>
      <c r="P23" s="43">
        <f>VLOOKUP(Table3[[#This Row],[Depth of cover]],'TPI. Pa.'!$B$3:$C$52,2,0)</f>
        <v>2</v>
      </c>
      <c r="Q23" s="43">
        <f>VLOOKUP(Table3[[#This Row],[Additional protection]],'TPI. Pa.'!$B$3:$C$52,2,0)</f>
        <v>5</v>
      </c>
      <c r="R23" s="43">
        <f>VLOOKUP(Table3[[#This Row],[Failure due to TPI]],'TPI. Pa.'!$B$3:$C$52,2,0)</f>
        <v>4</v>
      </c>
      <c r="S23" s="43">
        <f>VLOOKUP(Table3[[#This Row],[Activity Level]],'TPI. Pa.'!$B$3:$C$52,2,0)</f>
        <v>10</v>
      </c>
      <c r="T23" s="43">
        <f>VLOOKUP(Table3[[#This Row],[Patrol frequency]],'TPI. Pa.'!$B$3:$C$52,2,0)</f>
        <v>1</v>
      </c>
      <c r="U23" s="43">
        <f>VLOOKUP(Table3[[#This Row],[Proxutil]],'TPI. Pa.'!$B$3:$C$52,2,0)</f>
        <v>5</v>
      </c>
      <c r="V23" s="43">
        <f>VLOOKUP(Table3[[#This Row],[ROW]],'TPI. Pa.'!$B$3:$C$52,2,0)</f>
        <v>10</v>
      </c>
      <c r="W23" s="43">
        <f>VLOOKUP(Table3[[#This Row],[ROW condition]],'TPI. Pa.'!$B$3:$C$52,2,0)</f>
        <v>3</v>
      </c>
      <c r="X2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" spans="1:24" hidden="1">
      <c r="A24" s="80">
        <v>1</v>
      </c>
      <c r="B24" s="81" t="s">
        <v>891</v>
      </c>
      <c r="C24" s="82" t="s">
        <v>579</v>
      </c>
      <c r="D24" s="19"/>
      <c r="E24" s="19"/>
      <c r="F24" s="19"/>
      <c r="G24" s="19" t="s">
        <v>179</v>
      </c>
      <c r="H24" s="19" t="s">
        <v>185</v>
      </c>
      <c r="I24" s="19" t="s">
        <v>168</v>
      </c>
      <c r="J24" s="19" t="s">
        <v>183</v>
      </c>
      <c r="K24" s="19" t="s">
        <v>26</v>
      </c>
      <c r="L24" s="19" t="s">
        <v>217</v>
      </c>
      <c r="M24" s="19" t="s">
        <v>222</v>
      </c>
      <c r="N24" s="19" t="s">
        <v>228</v>
      </c>
      <c r="O24" s="38"/>
      <c r="P24" s="43">
        <f>VLOOKUP(Table3[[#This Row],[Depth of cover]],'TPI. Pa.'!$B$3:$C$52,2,0)</f>
        <v>2</v>
      </c>
      <c r="Q24" s="43">
        <f>VLOOKUP(Table3[[#This Row],[Additional protection]],'TPI. Pa.'!$B$3:$C$52,2,0)</f>
        <v>5</v>
      </c>
      <c r="R24" s="43">
        <f>VLOOKUP(Table3[[#This Row],[Failure due to TPI]],'TPI. Pa.'!$B$3:$C$52,2,0)</f>
        <v>4</v>
      </c>
      <c r="S24" s="43">
        <f>VLOOKUP(Table3[[#This Row],[Activity Level]],'TPI. Pa.'!$B$3:$C$52,2,0)</f>
        <v>10</v>
      </c>
      <c r="T24" s="43">
        <f>VLOOKUP(Table3[[#This Row],[Patrol frequency]],'TPI. Pa.'!$B$3:$C$52,2,0)</f>
        <v>1</v>
      </c>
      <c r="U24" s="43">
        <f>VLOOKUP(Table3[[#This Row],[Proxutil]],'TPI. Pa.'!$B$3:$C$52,2,0)</f>
        <v>5</v>
      </c>
      <c r="V24" s="43">
        <f>VLOOKUP(Table3[[#This Row],[ROW]],'TPI. Pa.'!$B$3:$C$52,2,0)</f>
        <v>10</v>
      </c>
      <c r="W24" s="43">
        <f>VLOOKUP(Table3[[#This Row],[ROW condition]],'TPI. Pa.'!$B$3:$C$52,2,0)</f>
        <v>3</v>
      </c>
      <c r="X2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" spans="1:24" hidden="1">
      <c r="A25" s="80">
        <v>1</v>
      </c>
      <c r="B25" s="81" t="s">
        <v>892</v>
      </c>
      <c r="C25" s="82" t="s">
        <v>580</v>
      </c>
      <c r="D25" s="19"/>
      <c r="E25" s="19"/>
      <c r="F25" s="19"/>
      <c r="G25" s="19" t="s">
        <v>179</v>
      </c>
      <c r="H25" s="19" t="s">
        <v>185</v>
      </c>
      <c r="I25" s="19" t="s">
        <v>168</v>
      </c>
      <c r="J25" s="19" t="s">
        <v>183</v>
      </c>
      <c r="K25" s="19" t="s">
        <v>26</v>
      </c>
      <c r="L25" s="19" t="s">
        <v>217</v>
      </c>
      <c r="M25" s="19" t="s">
        <v>222</v>
      </c>
      <c r="N25" s="19" t="s">
        <v>228</v>
      </c>
      <c r="O25" s="38"/>
      <c r="P25" s="43">
        <f>VLOOKUP(Table3[[#This Row],[Depth of cover]],'TPI. Pa.'!$B$3:$C$52,2,0)</f>
        <v>2</v>
      </c>
      <c r="Q25" s="43">
        <f>VLOOKUP(Table3[[#This Row],[Additional protection]],'TPI. Pa.'!$B$3:$C$52,2,0)</f>
        <v>5</v>
      </c>
      <c r="R25" s="43">
        <f>VLOOKUP(Table3[[#This Row],[Failure due to TPI]],'TPI. Pa.'!$B$3:$C$52,2,0)</f>
        <v>4</v>
      </c>
      <c r="S25" s="43">
        <f>VLOOKUP(Table3[[#This Row],[Activity Level]],'TPI. Pa.'!$B$3:$C$52,2,0)</f>
        <v>10</v>
      </c>
      <c r="T25" s="43">
        <f>VLOOKUP(Table3[[#This Row],[Patrol frequency]],'TPI. Pa.'!$B$3:$C$52,2,0)</f>
        <v>1</v>
      </c>
      <c r="U25" s="43">
        <f>VLOOKUP(Table3[[#This Row],[Proxutil]],'TPI. Pa.'!$B$3:$C$52,2,0)</f>
        <v>5</v>
      </c>
      <c r="V25" s="43">
        <f>VLOOKUP(Table3[[#This Row],[ROW]],'TPI. Pa.'!$B$3:$C$52,2,0)</f>
        <v>10</v>
      </c>
      <c r="W25" s="43">
        <f>VLOOKUP(Table3[[#This Row],[ROW condition]],'TPI. Pa.'!$B$3:$C$52,2,0)</f>
        <v>3</v>
      </c>
      <c r="X2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" spans="1:24" hidden="1">
      <c r="A26" s="80">
        <v>1</v>
      </c>
      <c r="B26" s="81" t="s">
        <v>893</v>
      </c>
      <c r="C26" s="82" t="s">
        <v>581</v>
      </c>
      <c r="D26" s="19"/>
      <c r="E26" s="19"/>
      <c r="F26" s="19"/>
      <c r="G26" s="19" t="s">
        <v>179</v>
      </c>
      <c r="H26" s="19" t="s">
        <v>185</v>
      </c>
      <c r="I26" s="19" t="s">
        <v>168</v>
      </c>
      <c r="J26" s="19" t="s">
        <v>183</v>
      </c>
      <c r="K26" s="19" t="s">
        <v>26</v>
      </c>
      <c r="L26" s="19" t="s">
        <v>217</v>
      </c>
      <c r="M26" s="19" t="s">
        <v>222</v>
      </c>
      <c r="N26" s="19" t="s">
        <v>228</v>
      </c>
      <c r="O26" s="38"/>
      <c r="P26" s="43">
        <f>VLOOKUP(Table3[[#This Row],[Depth of cover]],'TPI. Pa.'!$B$3:$C$52,2,0)</f>
        <v>2</v>
      </c>
      <c r="Q26" s="43">
        <f>VLOOKUP(Table3[[#This Row],[Additional protection]],'TPI. Pa.'!$B$3:$C$52,2,0)</f>
        <v>5</v>
      </c>
      <c r="R26" s="43">
        <f>VLOOKUP(Table3[[#This Row],[Failure due to TPI]],'TPI. Pa.'!$B$3:$C$52,2,0)</f>
        <v>4</v>
      </c>
      <c r="S26" s="43">
        <f>VLOOKUP(Table3[[#This Row],[Activity Level]],'TPI. Pa.'!$B$3:$C$52,2,0)</f>
        <v>10</v>
      </c>
      <c r="T26" s="43">
        <f>VLOOKUP(Table3[[#This Row],[Patrol frequency]],'TPI. Pa.'!$B$3:$C$52,2,0)</f>
        <v>1</v>
      </c>
      <c r="U26" s="43">
        <f>VLOOKUP(Table3[[#This Row],[Proxutil]],'TPI. Pa.'!$B$3:$C$52,2,0)</f>
        <v>5</v>
      </c>
      <c r="V26" s="43">
        <f>VLOOKUP(Table3[[#This Row],[ROW]],'TPI. Pa.'!$B$3:$C$52,2,0)</f>
        <v>10</v>
      </c>
      <c r="W26" s="43">
        <f>VLOOKUP(Table3[[#This Row],[ROW condition]],'TPI. Pa.'!$B$3:$C$52,2,0)</f>
        <v>3</v>
      </c>
      <c r="X2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" spans="1:24" hidden="1">
      <c r="A27" s="80">
        <v>1</v>
      </c>
      <c r="B27" s="81" t="s">
        <v>894</v>
      </c>
      <c r="C27" s="82" t="s">
        <v>582</v>
      </c>
      <c r="D27" s="19"/>
      <c r="E27" s="19"/>
      <c r="F27" s="19"/>
      <c r="G27" s="19" t="s">
        <v>179</v>
      </c>
      <c r="H27" s="19" t="s">
        <v>185</v>
      </c>
      <c r="I27" s="19" t="s">
        <v>168</v>
      </c>
      <c r="J27" s="19" t="s">
        <v>183</v>
      </c>
      <c r="K27" s="19" t="s">
        <v>26</v>
      </c>
      <c r="L27" s="19" t="s">
        <v>217</v>
      </c>
      <c r="M27" s="19" t="s">
        <v>222</v>
      </c>
      <c r="N27" s="19" t="s">
        <v>228</v>
      </c>
      <c r="O27" s="38"/>
      <c r="P27" s="43">
        <f>VLOOKUP(Table3[[#This Row],[Depth of cover]],'TPI. Pa.'!$B$3:$C$52,2,0)</f>
        <v>2</v>
      </c>
      <c r="Q27" s="43">
        <f>VLOOKUP(Table3[[#This Row],[Additional protection]],'TPI. Pa.'!$B$3:$C$52,2,0)</f>
        <v>5</v>
      </c>
      <c r="R27" s="43">
        <f>VLOOKUP(Table3[[#This Row],[Failure due to TPI]],'TPI. Pa.'!$B$3:$C$52,2,0)</f>
        <v>4</v>
      </c>
      <c r="S27" s="43">
        <f>VLOOKUP(Table3[[#This Row],[Activity Level]],'TPI. Pa.'!$B$3:$C$52,2,0)</f>
        <v>10</v>
      </c>
      <c r="T27" s="43">
        <f>VLOOKUP(Table3[[#This Row],[Patrol frequency]],'TPI. Pa.'!$B$3:$C$52,2,0)</f>
        <v>1</v>
      </c>
      <c r="U27" s="43">
        <f>VLOOKUP(Table3[[#This Row],[Proxutil]],'TPI. Pa.'!$B$3:$C$52,2,0)</f>
        <v>5</v>
      </c>
      <c r="V27" s="43">
        <f>VLOOKUP(Table3[[#This Row],[ROW]],'TPI. Pa.'!$B$3:$C$52,2,0)</f>
        <v>10</v>
      </c>
      <c r="W27" s="43">
        <f>VLOOKUP(Table3[[#This Row],[ROW condition]],'TPI. Pa.'!$B$3:$C$52,2,0)</f>
        <v>3</v>
      </c>
      <c r="X2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" spans="1:24" hidden="1">
      <c r="A28" s="80">
        <v>1</v>
      </c>
      <c r="B28" s="81" t="s">
        <v>895</v>
      </c>
      <c r="C28" s="82" t="s">
        <v>587</v>
      </c>
      <c r="D28" s="19"/>
      <c r="E28" s="19"/>
      <c r="F28" s="19"/>
      <c r="G28" s="19" t="s">
        <v>179</v>
      </c>
      <c r="H28" s="19" t="s">
        <v>185</v>
      </c>
      <c r="I28" s="19" t="s">
        <v>168</v>
      </c>
      <c r="J28" s="19" t="s">
        <v>183</v>
      </c>
      <c r="K28" s="19" t="s">
        <v>26</v>
      </c>
      <c r="L28" s="19" t="s">
        <v>217</v>
      </c>
      <c r="M28" s="19" t="s">
        <v>222</v>
      </c>
      <c r="N28" s="19" t="s">
        <v>228</v>
      </c>
      <c r="O28" s="38"/>
      <c r="P28" s="43">
        <f>VLOOKUP(Table3[[#This Row],[Depth of cover]],'TPI. Pa.'!$B$3:$C$52,2,0)</f>
        <v>2</v>
      </c>
      <c r="Q28" s="43">
        <f>VLOOKUP(Table3[[#This Row],[Additional protection]],'TPI. Pa.'!$B$3:$C$52,2,0)</f>
        <v>5</v>
      </c>
      <c r="R28" s="43">
        <f>VLOOKUP(Table3[[#This Row],[Failure due to TPI]],'TPI. Pa.'!$B$3:$C$52,2,0)</f>
        <v>4</v>
      </c>
      <c r="S28" s="43">
        <f>VLOOKUP(Table3[[#This Row],[Activity Level]],'TPI. Pa.'!$B$3:$C$52,2,0)</f>
        <v>10</v>
      </c>
      <c r="T28" s="43">
        <f>VLOOKUP(Table3[[#This Row],[Patrol frequency]],'TPI. Pa.'!$B$3:$C$52,2,0)</f>
        <v>1</v>
      </c>
      <c r="U28" s="43">
        <f>VLOOKUP(Table3[[#This Row],[Proxutil]],'TPI. Pa.'!$B$3:$C$52,2,0)</f>
        <v>5</v>
      </c>
      <c r="V28" s="43">
        <f>VLOOKUP(Table3[[#This Row],[ROW]],'TPI. Pa.'!$B$3:$C$52,2,0)</f>
        <v>10</v>
      </c>
      <c r="W28" s="43">
        <f>VLOOKUP(Table3[[#This Row],[ROW condition]],'TPI. Pa.'!$B$3:$C$52,2,0)</f>
        <v>3</v>
      </c>
      <c r="X2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" spans="1:24" hidden="1">
      <c r="A29" s="80">
        <v>1</v>
      </c>
      <c r="B29" s="81">
        <v>40231</v>
      </c>
      <c r="C29" s="82" t="s">
        <v>591</v>
      </c>
      <c r="D29" s="19"/>
      <c r="E29" s="19"/>
      <c r="F29" s="19"/>
      <c r="G29" s="19" t="s">
        <v>179</v>
      </c>
      <c r="H29" s="19" t="s">
        <v>185</v>
      </c>
      <c r="I29" s="19" t="s">
        <v>168</v>
      </c>
      <c r="J29" s="19" t="s">
        <v>183</v>
      </c>
      <c r="K29" s="19" t="s">
        <v>26</v>
      </c>
      <c r="L29" s="19" t="s">
        <v>217</v>
      </c>
      <c r="M29" s="19" t="s">
        <v>222</v>
      </c>
      <c r="N29" s="19" t="s">
        <v>228</v>
      </c>
      <c r="O29" s="38"/>
      <c r="P29" s="43">
        <f>VLOOKUP(Table3[[#This Row],[Depth of cover]],'TPI. Pa.'!$B$3:$C$52,2,0)</f>
        <v>2</v>
      </c>
      <c r="Q29" s="43">
        <f>VLOOKUP(Table3[[#This Row],[Additional protection]],'TPI. Pa.'!$B$3:$C$52,2,0)</f>
        <v>5</v>
      </c>
      <c r="R29" s="43">
        <f>VLOOKUP(Table3[[#This Row],[Failure due to TPI]],'TPI. Pa.'!$B$3:$C$52,2,0)</f>
        <v>4</v>
      </c>
      <c r="S29" s="43">
        <f>VLOOKUP(Table3[[#This Row],[Activity Level]],'TPI. Pa.'!$B$3:$C$52,2,0)</f>
        <v>10</v>
      </c>
      <c r="T29" s="43">
        <f>VLOOKUP(Table3[[#This Row],[Patrol frequency]],'TPI. Pa.'!$B$3:$C$52,2,0)</f>
        <v>1</v>
      </c>
      <c r="U29" s="43">
        <f>VLOOKUP(Table3[[#This Row],[Proxutil]],'TPI. Pa.'!$B$3:$C$52,2,0)</f>
        <v>5</v>
      </c>
      <c r="V29" s="43">
        <f>VLOOKUP(Table3[[#This Row],[ROW]],'TPI. Pa.'!$B$3:$C$52,2,0)</f>
        <v>10</v>
      </c>
      <c r="W29" s="43">
        <f>VLOOKUP(Table3[[#This Row],[ROW condition]],'TPI. Pa.'!$B$3:$C$52,2,0)</f>
        <v>3</v>
      </c>
      <c r="X2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" spans="1:24" hidden="1">
      <c r="A30" s="80">
        <v>1</v>
      </c>
      <c r="B30" s="81" t="s">
        <v>896</v>
      </c>
      <c r="C30" s="82" t="s">
        <v>592</v>
      </c>
      <c r="D30" s="19"/>
      <c r="E30" s="19"/>
      <c r="F30" s="19"/>
      <c r="G30" s="19" t="s">
        <v>179</v>
      </c>
      <c r="H30" s="19" t="s">
        <v>185</v>
      </c>
      <c r="I30" s="19" t="s">
        <v>168</v>
      </c>
      <c r="J30" s="19" t="s">
        <v>183</v>
      </c>
      <c r="K30" s="19" t="s">
        <v>26</v>
      </c>
      <c r="L30" s="19" t="s">
        <v>217</v>
      </c>
      <c r="M30" s="19" t="s">
        <v>222</v>
      </c>
      <c r="N30" s="19" t="s">
        <v>228</v>
      </c>
      <c r="O30" s="38"/>
      <c r="P30" s="43">
        <f>VLOOKUP(Table3[[#This Row],[Depth of cover]],'TPI. Pa.'!$B$3:$C$52,2,0)</f>
        <v>2</v>
      </c>
      <c r="Q30" s="43">
        <f>VLOOKUP(Table3[[#This Row],[Additional protection]],'TPI. Pa.'!$B$3:$C$52,2,0)</f>
        <v>5</v>
      </c>
      <c r="R30" s="43">
        <f>VLOOKUP(Table3[[#This Row],[Failure due to TPI]],'TPI. Pa.'!$B$3:$C$52,2,0)</f>
        <v>4</v>
      </c>
      <c r="S30" s="43">
        <f>VLOOKUP(Table3[[#This Row],[Activity Level]],'TPI. Pa.'!$B$3:$C$52,2,0)</f>
        <v>10</v>
      </c>
      <c r="T30" s="43">
        <f>VLOOKUP(Table3[[#This Row],[Patrol frequency]],'TPI. Pa.'!$B$3:$C$52,2,0)</f>
        <v>1</v>
      </c>
      <c r="U30" s="43">
        <f>VLOOKUP(Table3[[#This Row],[Proxutil]],'TPI. Pa.'!$B$3:$C$52,2,0)</f>
        <v>5</v>
      </c>
      <c r="V30" s="43">
        <f>VLOOKUP(Table3[[#This Row],[ROW]],'TPI. Pa.'!$B$3:$C$52,2,0)</f>
        <v>10</v>
      </c>
      <c r="W30" s="43">
        <f>VLOOKUP(Table3[[#This Row],[ROW condition]],'TPI. Pa.'!$B$3:$C$52,2,0)</f>
        <v>3</v>
      </c>
      <c r="X3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" spans="1:24" hidden="1">
      <c r="A31" s="80">
        <v>1</v>
      </c>
      <c r="B31" s="81" t="s">
        <v>897</v>
      </c>
      <c r="C31" s="82" t="s">
        <v>590</v>
      </c>
      <c r="D31" s="19"/>
      <c r="E31" s="19"/>
      <c r="F31" s="19"/>
      <c r="G31" s="19" t="s">
        <v>179</v>
      </c>
      <c r="H31" s="19" t="s">
        <v>185</v>
      </c>
      <c r="I31" s="19" t="s">
        <v>168</v>
      </c>
      <c r="J31" s="19" t="s">
        <v>183</v>
      </c>
      <c r="K31" s="19" t="s">
        <v>26</v>
      </c>
      <c r="L31" s="19" t="s">
        <v>217</v>
      </c>
      <c r="M31" s="19" t="s">
        <v>222</v>
      </c>
      <c r="N31" s="19" t="s">
        <v>228</v>
      </c>
      <c r="O31" s="38"/>
      <c r="P31" s="43">
        <f>VLOOKUP(Table3[[#This Row],[Depth of cover]],'TPI. Pa.'!$B$3:$C$52,2,0)</f>
        <v>2</v>
      </c>
      <c r="Q31" s="43">
        <f>VLOOKUP(Table3[[#This Row],[Additional protection]],'TPI. Pa.'!$B$3:$C$52,2,0)</f>
        <v>5</v>
      </c>
      <c r="R31" s="43">
        <f>VLOOKUP(Table3[[#This Row],[Failure due to TPI]],'TPI. Pa.'!$B$3:$C$52,2,0)</f>
        <v>4</v>
      </c>
      <c r="S31" s="43">
        <f>VLOOKUP(Table3[[#This Row],[Activity Level]],'TPI. Pa.'!$B$3:$C$52,2,0)</f>
        <v>10</v>
      </c>
      <c r="T31" s="43">
        <f>VLOOKUP(Table3[[#This Row],[Patrol frequency]],'TPI. Pa.'!$B$3:$C$52,2,0)</f>
        <v>1</v>
      </c>
      <c r="U31" s="43">
        <f>VLOOKUP(Table3[[#This Row],[Proxutil]],'TPI. Pa.'!$B$3:$C$52,2,0)</f>
        <v>5</v>
      </c>
      <c r="V31" s="43">
        <f>VLOOKUP(Table3[[#This Row],[ROW]],'TPI. Pa.'!$B$3:$C$52,2,0)</f>
        <v>10</v>
      </c>
      <c r="W31" s="43">
        <f>VLOOKUP(Table3[[#This Row],[ROW condition]],'TPI. Pa.'!$B$3:$C$52,2,0)</f>
        <v>3</v>
      </c>
      <c r="X3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2" spans="1:24" hidden="1">
      <c r="A32" s="80">
        <v>1</v>
      </c>
      <c r="B32" s="81" t="s">
        <v>898</v>
      </c>
      <c r="C32" s="82" t="s">
        <v>599</v>
      </c>
      <c r="D32" s="19"/>
      <c r="E32" s="19"/>
      <c r="F32" s="19"/>
      <c r="G32" s="19" t="s">
        <v>179</v>
      </c>
      <c r="H32" s="19" t="s">
        <v>185</v>
      </c>
      <c r="I32" s="19" t="s">
        <v>168</v>
      </c>
      <c r="J32" s="19" t="s">
        <v>183</v>
      </c>
      <c r="K32" s="19" t="s">
        <v>26</v>
      </c>
      <c r="L32" s="19" t="s">
        <v>217</v>
      </c>
      <c r="M32" s="19" t="s">
        <v>222</v>
      </c>
      <c r="N32" s="19" t="s">
        <v>228</v>
      </c>
      <c r="O32" s="38"/>
      <c r="P32" s="43">
        <f>VLOOKUP(Table3[[#This Row],[Depth of cover]],'TPI. Pa.'!$B$3:$C$52,2,0)</f>
        <v>2</v>
      </c>
      <c r="Q32" s="43">
        <f>VLOOKUP(Table3[[#This Row],[Additional protection]],'TPI. Pa.'!$B$3:$C$52,2,0)</f>
        <v>5</v>
      </c>
      <c r="R32" s="43">
        <f>VLOOKUP(Table3[[#This Row],[Failure due to TPI]],'TPI. Pa.'!$B$3:$C$52,2,0)</f>
        <v>4</v>
      </c>
      <c r="S32" s="43">
        <f>VLOOKUP(Table3[[#This Row],[Activity Level]],'TPI. Pa.'!$B$3:$C$52,2,0)</f>
        <v>10</v>
      </c>
      <c r="T32" s="43">
        <f>VLOOKUP(Table3[[#This Row],[Patrol frequency]],'TPI. Pa.'!$B$3:$C$52,2,0)</f>
        <v>1</v>
      </c>
      <c r="U32" s="43">
        <f>VLOOKUP(Table3[[#This Row],[Proxutil]],'TPI. Pa.'!$B$3:$C$52,2,0)</f>
        <v>5</v>
      </c>
      <c r="V32" s="43">
        <f>VLOOKUP(Table3[[#This Row],[ROW]],'TPI. Pa.'!$B$3:$C$52,2,0)</f>
        <v>10</v>
      </c>
      <c r="W32" s="43">
        <f>VLOOKUP(Table3[[#This Row],[ROW condition]],'TPI. Pa.'!$B$3:$C$52,2,0)</f>
        <v>3</v>
      </c>
      <c r="X3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3" spans="1:24" hidden="1">
      <c r="A33" s="80">
        <v>1</v>
      </c>
      <c r="B33" s="81" t="s">
        <v>899</v>
      </c>
      <c r="C33" s="82" t="s">
        <v>602</v>
      </c>
      <c r="D33" s="19"/>
      <c r="E33" s="19"/>
      <c r="F33" s="19"/>
      <c r="G33" s="19" t="s">
        <v>179</v>
      </c>
      <c r="H33" s="19" t="s">
        <v>185</v>
      </c>
      <c r="I33" s="19" t="s">
        <v>168</v>
      </c>
      <c r="J33" s="19" t="s">
        <v>183</v>
      </c>
      <c r="K33" s="19" t="s">
        <v>26</v>
      </c>
      <c r="L33" s="19" t="s">
        <v>217</v>
      </c>
      <c r="M33" s="19" t="s">
        <v>222</v>
      </c>
      <c r="N33" s="19" t="s">
        <v>228</v>
      </c>
      <c r="O33" s="38"/>
      <c r="P33" s="43">
        <f>VLOOKUP(Table3[[#This Row],[Depth of cover]],'TPI. Pa.'!$B$3:$C$52,2,0)</f>
        <v>2</v>
      </c>
      <c r="Q33" s="43">
        <f>VLOOKUP(Table3[[#This Row],[Additional protection]],'TPI. Pa.'!$B$3:$C$52,2,0)</f>
        <v>5</v>
      </c>
      <c r="R33" s="43">
        <f>VLOOKUP(Table3[[#This Row],[Failure due to TPI]],'TPI. Pa.'!$B$3:$C$52,2,0)</f>
        <v>4</v>
      </c>
      <c r="S33" s="43">
        <f>VLOOKUP(Table3[[#This Row],[Activity Level]],'TPI. Pa.'!$B$3:$C$52,2,0)</f>
        <v>10</v>
      </c>
      <c r="T33" s="43">
        <f>VLOOKUP(Table3[[#This Row],[Patrol frequency]],'TPI. Pa.'!$B$3:$C$52,2,0)</f>
        <v>1</v>
      </c>
      <c r="U33" s="43">
        <f>VLOOKUP(Table3[[#This Row],[Proxutil]],'TPI. Pa.'!$B$3:$C$52,2,0)</f>
        <v>5</v>
      </c>
      <c r="V33" s="43">
        <f>VLOOKUP(Table3[[#This Row],[ROW]],'TPI. Pa.'!$B$3:$C$52,2,0)</f>
        <v>10</v>
      </c>
      <c r="W33" s="43">
        <f>VLOOKUP(Table3[[#This Row],[ROW condition]],'TPI. Pa.'!$B$3:$C$52,2,0)</f>
        <v>3</v>
      </c>
      <c r="X3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4" spans="1:24" hidden="1">
      <c r="A34" s="80">
        <v>1</v>
      </c>
      <c r="B34" s="81" t="s">
        <v>900</v>
      </c>
      <c r="C34" s="82" t="s">
        <v>603</v>
      </c>
      <c r="D34" s="19"/>
      <c r="E34" s="19"/>
      <c r="F34" s="19"/>
      <c r="G34" s="19" t="s">
        <v>179</v>
      </c>
      <c r="H34" s="19" t="s">
        <v>185</v>
      </c>
      <c r="I34" s="19" t="s">
        <v>168</v>
      </c>
      <c r="J34" s="19" t="s">
        <v>183</v>
      </c>
      <c r="K34" s="19" t="s">
        <v>26</v>
      </c>
      <c r="L34" s="19" t="s">
        <v>217</v>
      </c>
      <c r="M34" s="19" t="s">
        <v>222</v>
      </c>
      <c r="N34" s="19" t="s">
        <v>228</v>
      </c>
      <c r="O34" s="38"/>
      <c r="P34" s="43">
        <f>VLOOKUP(Table3[[#This Row],[Depth of cover]],'TPI. Pa.'!$B$3:$C$52,2,0)</f>
        <v>2</v>
      </c>
      <c r="Q34" s="43">
        <f>VLOOKUP(Table3[[#This Row],[Additional protection]],'TPI. Pa.'!$B$3:$C$52,2,0)</f>
        <v>5</v>
      </c>
      <c r="R34" s="43">
        <f>VLOOKUP(Table3[[#This Row],[Failure due to TPI]],'TPI. Pa.'!$B$3:$C$52,2,0)</f>
        <v>4</v>
      </c>
      <c r="S34" s="43">
        <f>VLOOKUP(Table3[[#This Row],[Activity Level]],'TPI. Pa.'!$B$3:$C$52,2,0)</f>
        <v>10</v>
      </c>
      <c r="T34" s="43">
        <f>VLOOKUP(Table3[[#This Row],[Patrol frequency]],'TPI. Pa.'!$B$3:$C$52,2,0)</f>
        <v>1</v>
      </c>
      <c r="U34" s="43">
        <f>VLOOKUP(Table3[[#This Row],[Proxutil]],'TPI. Pa.'!$B$3:$C$52,2,0)</f>
        <v>5</v>
      </c>
      <c r="V34" s="43">
        <f>VLOOKUP(Table3[[#This Row],[ROW]],'TPI. Pa.'!$B$3:$C$52,2,0)</f>
        <v>10</v>
      </c>
      <c r="W34" s="43">
        <f>VLOOKUP(Table3[[#This Row],[ROW condition]],'TPI. Pa.'!$B$3:$C$52,2,0)</f>
        <v>3</v>
      </c>
      <c r="X3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5" spans="1:24" hidden="1">
      <c r="A35" s="80">
        <v>1</v>
      </c>
      <c r="B35" s="81" t="s">
        <v>901</v>
      </c>
      <c r="C35" s="82" t="s">
        <v>604</v>
      </c>
      <c r="D35" s="19"/>
      <c r="E35" s="19"/>
      <c r="F35" s="19"/>
      <c r="G35" s="19" t="s">
        <v>179</v>
      </c>
      <c r="H35" s="19" t="s">
        <v>185</v>
      </c>
      <c r="I35" s="19" t="s">
        <v>168</v>
      </c>
      <c r="J35" s="19" t="s">
        <v>183</v>
      </c>
      <c r="K35" s="19" t="s">
        <v>26</v>
      </c>
      <c r="L35" s="19" t="s">
        <v>217</v>
      </c>
      <c r="M35" s="19" t="s">
        <v>222</v>
      </c>
      <c r="N35" s="19" t="s">
        <v>228</v>
      </c>
      <c r="O35" s="38"/>
      <c r="P35" s="43">
        <f>VLOOKUP(Table3[[#This Row],[Depth of cover]],'TPI. Pa.'!$B$3:$C$52,2,0)</f>
        <v>2</v>
      </c>
      <c r="Q35" s="43">
        <f>VLOOKUP(Table3[[#This Row],[Additional protection]],'TPI. Pa.'!$B$3:$C$52,2,0)</f>
        <v>5</v>
      </c>
      <c r="R35" s="43">
        <f>VLOOKUP(Table3[[#This Row],[Failure due to TPI]],'TPI. Pa.'!$B$3:$C$52,2,0)</f>
        <v>4</v>
      </c>
      <c r="S35" s="43">
        <f>VLOOKUP(Table3[[#This Row],[Activity Level]],'TPI. Pa.'!$B$3:$C$52,2,0)</f>
        <v>10</v>
      </c>
      <c r="T35" s="43">
        <f>VLOOKUP(Table3[[#This Row],[Patrol frequency]],'TPI. Pa.'!$B$3:$C$52,2,0)</f>
        <v>1</v>
      </c>
      <c r="U35" s="43">
        <f>VLOOKUP(Table3[[#This Row],[Proxutil]],'TPI. Pa.'!$B$3:$C$52,2,0)</f>
        <v>5</v>
      </c>
      <c r="V35" s="43">
        <f>VLOOKUP(Table3[[#This Row],[ROW]],'TPI. Pa.'!$B$3:$C$52,2,0)</f>
        <v>10</v>
      </c>
      <c r="W35" s="43">
        <f>VLOOKUP(Table3[[#This Row],[ROW condition]],'TPI. Pa.'!$B$3:$C$52,2,0)</f>
        <v>3</v>
      </c>
      <c r="X3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6" spans="1:24" hidden="1">
      <c r="A36" s="80">
        <v>1</v>
      </c>
      <c r="B36" s="81" t="s">
        <v>902</v>
      </c>
      <c r="C36" s="82" t="s">
        <v>605</v>
      </c>
      <c r="D36" s="19"/>
      <c r="E36" s="19"/>
      <c r="F36" s="19"/>
      <c r="G36" s="19" t="s">
        <v>179</v>
      </c>
      <c r="H36" s="19" t="s">
        <v>185</v>
      </c>
      <c r="I36" s="19" t="s">
        <v>168</v>
      </c>
      <c r="J36" s="19" t="s">
        <v>183</v>
      </c>
      <c r="K36" s="19" t="s">
        <v>26</v>
      </c>
      <c r="L36" s="19" t="s">
        <v>217</v>
      </c>
      <c r="M36" s="19" t="s">
        <v>222</v>
      </c>
      <c r="N36" s="19" t="s">
        <v>228</v>
      </c>
      <c r="O36" s="38"/>
      <c r="P36" s="43">
        <f>VLOOKUP(Table3[[#This Row],[Depth of cover]],'TPI. Pa.'!$B$3:$C$52,2,0)</f>
        <v>2</v>
      </c>
      <c r="Q36" s="43">
        <f>VLOOKUP(Table3[[#This Row],[Additional protection]],'TPI. Pa.'!$B$3:$C$52,2,0)</f>
        <v>5</v>
      </c>
      <c r="R36" s="43">
        <f>VLOOKUP(Table3[[#This Row],[Failure due to TPI]],'TPI. Pa.'!$B$3:$C$52,2,0)</f>
        <v>4</v>
      </c>
      <c r="S36" s="43">
        <f>VLOOKUP(Table3[[#This Row],[Activity Level]],'TPI. Pa.'!$B$3:$C$52,2,0)</f>
        <v>10</v>
      </c>
      <c r="T36" s="43">
        <f>VLOOKUP(Table3[[#This Row],[Patrol frequency]],'TPI. Pa.'!$B$3:$C$52,2,0)</f>
        <v>1</v>
      </c>
      <c r="U36" s="43">
        <f>VLOOKUP(Table3[[#This Row],[Proxutil]],'TPI. Pa.'!$B$3:$C$52,2,0)</f>
        <v>5</v>
      </c>
      <c r="V36" s="43">
        <f>VLOOKUP(Table3[[#This Row],[ROW]],'TPI. Pa.'!$B$3:$C$52,2,0)</f>
        <v>10</v>
      </c>
      <c r="W36" s="43">
        <f>VLOOKUP(Table3[[#This Row],[ROW condition]],'TPI. Pa.'!$B$3:$C$52,2,0)</f>
        <v>3</v>
      </c>
      <c r="X3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7" spans="1:24" hidden="1">
      <c r="A37" s="80">
        <v>1</v>
      </c>
      <c r="B37" s="81" t="s">
        <v>903</v>
      </c>
      <c r="C37" s="82" t="s">
        <v>606</v>
      </c>
      <c r="D37" s="19"/>
      <c r="E37" s="19"/>
      <c r="F37" s="19"/>
      <c r="G37" s="19" t="s">
        <v>179</v>
      </c>
      <c r="H37" s="19" t="s">
        <v>185</v>
      </c>
      <c r="I37" s="19" t="s">
        <v>168</v>
      </c>
      <c r="J37" s="19" t="s">
        <v>183</v>
      </c>
      <c r="K37" s="19" t="s">
        <v>26</v>
      </c>
      <c r="L37" s="19" t="s">
        <v>217</v>
      </c>
      <c r="M37" s="19" t="s">
        <v>222</v>
      </c>
      <c r="N37" s="19" t="s">
        <v>228</v>
      </c>
      <c r="O37" s="38"/>
      <c r="P37" s="43">
        <f>VLOOKUP(Table3[[#This Row],[Depth of cover]],'TPI. Pa.'!$B$3:$C$52,2,0)</f>
        <v>2</v>
      </c>
      <c r="Q37" s="43">
        <f>VLOOKUP(Table3[[#This Row],[Additional protection]],'TPI. Pa.'!$B$3:$C$52,2,0)</f>
        <v>5</v>
      </c>
      <c r="R37" s="43">
        <f>VLOOKUP(Table3[[#This Row],[Failure due to TPI]],'TPI. Pa.'!$B$3:$C$52,2,0)</f>
        <v>4</v>
      </c>
      <c r="S37" s="43">
        <f>VLOOKUP(Table3[[#This Row],[Activity Level]],'TPI. Pa.'!$B$3:$C$52,2,0)</f>
        <v>10</v>
      </c>
      <c r="T37" s="43">
        <f>VLOOKUP(Table3[[#This Row],[Patrol frequency]],'TPI. Pa.'!$B$3:$C$52,2,0)</f>
        <v>1</v>
      </c>
      <c r="U37" s="43">
        <f>VLOOKUP(Table3[[#This Row],[Proxutil]],'TPI. Pa.'!$B$3:$C$52,2,0)</f>
        <v>5</v>
      </c>
      <c r="V37" s="43">
        <f>VLOOKUP(Table3[[#This Row],[ROW]],'TPI. Pa.'!$B$3:$C$52,2,0)</f>
        <v>10</v>
      </c>
      <c r="W37" s="43">
        <f>VLOOKUP(Table3[[#This Row],[ROW condition]],'TPI. Pa.'!$B$3:$C$52,2,0)</f>
        <v>3</v>
      </c>
      <c r="X3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8" spans="1:24" hidden="1">
      <c r="A38" s="80">
        <v>1</v>
      </c>
      <c r="B38" s="81" t="s">
        <v>904</v>
      </c>
      <c r="C38" s="82" t="s">
        <v>607</v>
      </c>
      <c r="D38" s="19"/>
      <c r="E38" s="19"/>
      <c r="F38" s="19"/>
      <c r="G38" s="19" t="s">
        <v>179</v>
      </c>
      <c r="H38" s="19" t="s">
        <v>185</v>
      </c>
      <c r="I38" s="19" t="s">
        <v>168</v>
      </c>
      <c r="J38" s="19" t="s">
        <v>183</v>
      </c>
      <c r="K38" s="19" t="s">
        <v>26</v>
      </c>
      <c r="L38" s="19" t="s">
        <v>217</v>
      </c>
      <c r="M38" s="19" t="s">
        <v>222</v>
      </c>
      <c r="N38" s="19" t="s">
        <v>228</v>
      </c>
      <c r="O38" s="38"/>
      <c r="P38" s="43">
        <f>VLOOKUP(Table3[[#This Row],[Depth of cover]],'TPI. Pa.'!$B$3:$C$52,2,0)</f>
        <v>2</v>
      </c>
      <c r="Q38" s="43">
        <f>VLOOKUP(Table3[[#This Row],[Additional protection]],'TPI. Pa.'!$B$3:$C$52,2,0)</f>
        <v>5</v>
      </c>
      <c r="R38" s="43">
        <f>VLOOKUP(Table3[[#This Row],[Failure due to TPI]],'TPI. Pa.'!$B$3:$C$52,2,0)</f>
        <v>4</v>
      </c>
      <c r="S38" s="43">
        <f>VLOOKUP(Table3[[#This Row],[Activity Level]],'TPI. Pa.'!$B$3:$C$52,2,0)</f>
        <v>10</v>
      </c>
      <c r="T38" s="43">
        <f>VLOOKUP(Table3[[#This Row],[Patrol frequency]],'TPI. Pa.'!$B$3:$C$52,2,0)</f>
        <v>1</v>
      </c>
      <c r="U38" s="43">
        <f>VLOOKUP(Table3[[#This Row],[Proxutil]],'TPI. Pa.'!$B$3:$C$52,2,0)</f>
        <v>5</v>
      </c>
      <c r="V38" s="43">
        <f>VLOOKUP(Table3[[#This Row],[ROW]],'TPI. Pa.'!$B$3:$C$52,2,0)</f>
        <v>10</v>
      </c>
      <c r="W38" s="43">
        <f>VLOOKUP(Table3[[#This Row],[ROW condition]],'TPI. Pa.'!$B$3:$C$52,2,0)</f>
        <v>3</v>
      </c>
      <c r="X3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9" spans="1:24" hidden="1">
      <c r="A39" s="80">
        <v>1</v>
      </c>
      <c r="B39" s="81">
        <v>631100002</v>
      </c>
      <c r="C39" s="82" t="s">
        <v>574</v>
      </c>
      <c r="D39" s="19"/>
      <c r="E39" s="19"/>
      <c r="F39" s="19"/>
      <c r="G39" s="19" t="s">
        <v>179</v>
      </c>
      <c r="H39" s="19" t="s">
        <v>185</v>
      </c>
      <c r="I39" s="19" t="s">
        <v>168</v>
      </c>
      <c r="J39" s="19" t="s">
        <v>183</v>
      </c>
      <c r="K39" s="19" t="s">
        <v>26</v>
      </c>
      <c r="L39" s="19" t="s">
        <v>217</v>
      </c>
      <c r="M39" s="19" t="s">
        <v>222</v>
      </c>
      <c r="N39" s="19" t="s">
        <v>228</v>
      </c>
      <c r="O39" s="38"/>
      <c r="P39" s="43">
        <f>VLOOKUP(Table3[[#This Row],[Depth of cover]],'TPI. Pa.'!$B$3:$C$52,2,0)</f>
        <v>2</v>
      </c>
      <c r="Q39" s="43">
        <f>VLOOKUP(Table3[[#This Row],[Additional protection]],'TPI. Pa.'!$B$3:$C$52,2,0)</f>
        <v>5</v>
      </c>
      <c r="R39" s="43">
        <f>VLOOKUP(Table3[[#This Row],[Failure due to TPI]],'TPI. Pa.'!$B$3:$C$52,2,0)</f>
        <v>4</v>
      </c>
      <c r="S39" s="43">
        <f>VLOOKUP(Table3[[#This Row],[Activity Level]],'TPI. Pa.'!$B$3:$C$52,2,0)</f>
        <v>10</v>
      </c>
      <c r="T39" s="43">
        <f>VLOOKUP(Table3[[#This Row],[Patrol frequency]],'TPI. Pa.'!$B$3:$C$52,2,0)</f>
        <v>1</v>
      </c>
      <c r="U39" s="43">
        <f>VLOOKUP(Table3[[#This Row],[Proxutil]],'TPI. Pa.'!$B$3:$C$52,2,0)</f>
        <v>5</v>
      </c>
      <c r="V39" s="43">
        <f>VLOOKUP(Table3[[#This Row],[ROW]],'TPI. Pa.'!$B$3:$C$52,2,0)</f>
        <v>10</v>
      </c>
      <c r="W39" s="43">
        <f>VLOOKUP(Table3[[#This Row],[ROW condition]],'TPI. Pa.'!$B$3:$C$52,2,0)</f>
        <v>3</v>
      </c>
      <c r="X3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0" spans="1:24" hidden="1">
      <c r="A40" s="80">
        <v>1</v>
      </c>
      <c r="B40" s="81">
        <v>631100004</v>
      </c>
      <c r="C40" s="82" t="s">
        <v>571</v>
      </c>
      <c r="D40" s="19"/>
      <c r="E40" s="19"/>
      <c r="F40" s="19"/>
      <c r="G40" s="19" t="s">
        <v>179</v>
      </c>
      <c r="H40" s="19" t="s">
        <v>185</v>
      </c>
      <c r="I40" s="19" t="s">
        <v>168</v>
      </c>
      <c r="J40" s="19" t="s">
        <v>183</v>
      </c>
      <c r="K40" s="19" t="s">
        <v>26</v>
      </c>
      <c r="L40" s="19" t="s">
        <v>217</v>
      </c>
      <c r="M40" s="19" t="s">
        <v>222</v>
      </c>
      <c r="N40" s="19" t="s">
        <v>228</v>
      </c>
      <c r="O40" s="38"/>
      <c r="P40" s="43">
        <f>VLOOKUP(Table3[[#This Row],[Depth of cover]],'TPI. Pa.'!$B$3:$C$52,2,0)</f>
        <v>2</v>
      </c>
      <c r="Q40" s="43">
        <f>VLOOKUP(Table3[[#This Row],[Additional protection]],'TPI. Pa.'!$B$3:$C$52,2,0)</f>
        <v>5</v>
      </c>
      <c r="R40" s="43">
        <f>VLOOKUP(Table3[[#This Row],[Failure due to TPI]],'TPI. Pa.'!$B$3:$C$52,2,0)</f>
        <v>4</v>
      </c>
      <c r="S40" s="43">
        <f>VLOOKUP(Table3[[#This Row],[Activity Level]],'TPI. Pa.'!$B$3:$C$52,2,0)</f>
        <v>10</v>
      </c>
      <c r="T40" s="43">
        <f>VLOOKUP(Table3[[#This Row],[Patrol frequency]],'TPI. Pa.'!$B$3:$C$52,2,0)</f>
        <v>1</v>
      </c>
      <c r="U40" s="43">
        <f>VLOOKUP(Table3[[#This Row],[Proxutil]],'TPI. Pa.'!$B$3:$C$52,2,0)</f>
        <v>5</v>
      </c>
      <c r="V40" s="43">
        <f>VLOOKUP(Table3[[#This Row],[ROW]],'TPI. Pa.'!$B$3:$C$52,2,0)</f>
        <v>10</v>
      </c>
      <c r="W40" s="43">
        <f>VLOOKUP(Table3[[#This Row],[ROW condition]],'TPI. Pa.'!$B$3:$C$52,2,0)</f>
        <v>3</v>
      </c>
      <c r="X4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1" spans="1:24" hidden="1">
      <c r="A41" s="84">
        <v>1</v>
      </c>
      <c r="B41" s="81">
        <v>6322101</v>
      </c>
      <c r="C41" s="82" t="s">
        <v>239</v>
      </c>
      <c r="D41" s="19"/>
      <c r="E41" s="19"/>
      <c r="F41" s="19"/>
      <c r="G41" s="19" t="s">
        <v>179</v>
      </c>
      <c r="H41" s="19" t="s">
        <v>185</v>
      </c>
      <c r="I41" s="19" t="s">
        <v>168</v>
      </c>
      <c r="J41" s="19" t="s">
        <v>191</v>
      </c>
      <c r="K41" s="19" t="s">
        <v>26</v>
      </c>
      <c r="L41" s="19" t="s">
        <v>217</v>
      </c>
      <c r="M41" s="19" t="s">
        <v>222</v>
      </c>
      <c r="N41" s="19" t="s">
        <v>228</v>
      </c>
      <c r="O41" s="38"/>
      <c r="P41" s="43">
        <f>VLOOKUP(Table3[[#This Row],[Depth of cover]],'TPI. Pa.'!$B$3:$C$52,2,0)</f>
        <v>2</v>
      </c>
      <c r="Q41" s="43">
        <f>VLOOKUP(Table3[[#This Row],[Additional protection]],'TPI. Pa.'!$B$3:$C$52,2,0)</f>
        <v>5</v>
      </c>
      <c r="R41" s="43">
        <f>VLOOKUP(Table3[[#This Row],[Failure due to TPI]],'TPI. Pa.'!$B$3:$C$52,2,0)</f>
        <v>4</v>
      </c>
      <c r="S41" s="43">
        <f>VLOOKUP(Table3[[#This Row],[Activity Level]],'TPI. Pa.'!$B$3:$C$52,2,0)</f>
        <v>3</v>
      </c>
      <c r="T41" s="43">
        <f>VLOOKUP(Table3[[#This Row],[Patrol frequency]],'TPI. Pa.'!$B$3:$C$52,2,0)</f>
        <v>1</v>
      </c>
      <c r="U41" s="43">
        <f>VLOOKUP(Table3[[#This Row],[Proxutil]],'TPI. Pa.'!$B$3:$C$52,2,0)</f>
        <v>5</v>
      </c>
      <c r="V41" s="43">
        <f>VLOOKUP(Table3[[#This Row],[ROW]],'TPI. Pa.'!$B$3:$C$52,2,0)</f>
        <v>10</v>
      </c>
      <c r="W41" s="43">
        <f>VLOOKUP(Table3[[#This Row],[ROW condition]],'TPI. Pa.'!$B$3:$C$52,2,0)</f>
        <v>3</v>
      </c>
      <c r="X4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42" spans="1:24" hidden="1">
      <c r="A42" s="84">
        <v>1</v>
      </c>
      <c r="B42" s="81">
        <v>6322104</v>
      </c>
      <c r="C42" s="82" t="s">
        <v>240</v>
      </c>
      <c r="D42" s="19"/>
      <c r="E42" s="19"/>
      <c r="F42" s="19"/>
      <c r="G42" s="19" t="s">
        <v>179</v>
      </c>
      <c r="H42" s="19" t="s">
        <v>185</v>
      </c>
      <c r="I42" s="19" t="s">
        <v>168</v>
      </c>
      <c r="J42" s="19" t="s">
        <v>183</v>
      </c>
      <c r="K42" s="19" t="s">
        <v>26</v>
      </c>
      <c r="L42" s="19" t="s">
        <v>217</v>
      </c>
      <c r="M42" s="19" t="s">
        <v>222</v>
      </c>
      <c r="N42" s="19" t="s">
        <v>228</v>
      </c>
      <c r="O42" s="38"/>
      <c r="P42" s="43">
        <f>VLOOKUP(Table3[[#This Row],[Depth of cover]],'TPI. Pa.'!$B$3:$C$52,2,0)</f>
        <v>2</v>
      </c>
      <c r="Q42" s="43">
        <f>VLOOKUP(Table3[[#This Row],[Additional protection]],'TPI. Pa.'!$B$3:$C$52,2,0)</f>
        <v>5</v>
      </c>
      <c r="R42" s="43">
        <f>VLOOKUP(Table3[[#This Row],[Failure due to TPI]],'TPI. Pa.'!$B$3:$C$52,2,0)</f>
        <v>4</v>
      </c>
      <c r="S42" s="43">
        <f>VLOOKUP(Table3[[#This Row],[Activity Level]],'TPI. Pa.'!$B$3:$C$52,2,0)</f>
        <v>10</v>
      </c>
      <c r="T42" s="43">
        <f>VLOOKUP(Table3[[#This Row],[Patrol frequency]],'TPI. Pa.'!$B$3:$C$52,2,0)</f>
        <v>1</v>
      </c>
      <c r="U42" s="43">
        <f>VLOOKUP(Table3[[#This Row],[Proxutil]],'TPI. Pa.'!$B$3:$C$52,2,0)</f>
        <v>5</v>
      </c>
      <c r="V42" s="43">
        <f>VLOOKUP(Table3[[#This Row],[ROW]],'TPI. Pa.'!$B$3:$C$52,2,0)</f>
        <v>10</v>
      </c>
      <c r="W42" s="43">
        <f>VLOOKUP(Table3[[#This Row],[ROW condition]],'TPI. Pa.'!$B$3:$C$52,2,0)</f>
        <v>3</v>
      </c>
      <c r="X4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3" spans="1:24" ht="25.5" hidden="1">
      <c r="A43" s="84">
        <v>1</v>
      </c>
      <c r="B43" s="81">
        <v>40222012</v>
      </c>
      <c r="C43" s="82" t="s">
        <v>241</v>
      </c>
      <c r="D43" s="19"/>
      <c r="E43" s="19"/>
      <c r="F43" s="19"/>
      <c r="G43" s="19" t="s">
        <v>179</v>
      </c>
      <c r="H43" s="19" t="s">
        <v>185</v>
      </c>
      <c r="I43" s="19" t="s">
        <v>168</v>
      </c>
      <c r="J43" s="19" t="s">
        <v>183</v>
      </c>
      <c r="K43" s="19" t="s">
        <v>26</v>
      </c>
      <c r="L43" s="19" t="s">
        <v>217</v>
      </c>
      <c r="M43" s="19" t="s">
        <v>222</v>
      </c>
      <c r="N43" s="19" t="s">
        <v>228</v>
      </c>
      <c r="O43" s="38"/>
      <c r="P43" s="43">
        <f>VLOOKUP(Table3[[#This Row],[Depth of cover]],'TPI. Pa.'!$B$3:$C$52,2,0)</f>
        <v>2</v>
      </c>
      <c r="Q43" s="43">
        <f>VLOOKUP(Table3[[#This Row],[Additional protection]],'TPI. Pa.'!$B$3:$C$52,2,0)</f>
        <v>5</v>
      </c>
      <c r="R43" s="43">
        <f>VLOOKUP(Table3[[#This Row],[Failure due to TPI]],'TPI. Pa.'!$B$3:$C$52,2,0)</f>
        <v>4</v>
      </c>
      <c r="S43" s="43">
        <f>VLOOKUP(Table3[[#This Row],[Activity Level]],'TPI. Pa.'!$B$3:$C$52,2,0)</f>
        <v>10</v>
      </c>
      <c r="T43" s="43">
        <f>VLOOKUP(Table3[[#This Row],[Patrol frequency]],'TPI. Pa.'!$B$3:$C$52,2,0)</f>
        <v>1</v>
      </c>
      <c r="U43" s="43">
        <f>VLOOKUP(Table3[[#This Row],[Proxutil]],'TPI. Pa.'!$B$3:$C$52,2,0)</f>
        <v>5</v>
      </c>
      <c r="V43" s="43">
        <f>VLOOKUP(Table3[[#This Row],[ROW]],'TPI. Pa.'!$B$3:$C$52,2,0)</f>
        <v>10</v>
      </c>
      <c r="W43" s="43">
        <f>VLOOKUP(Table3[[#This Row],[ROW condition]],'TPI. Pa.'!$B$3:$C$52,2,0)</f>
        <v>3</v>
      </c>
      <c r="X4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4" spans="1:24" hidden="1">
      <c r="A44" s="84">
        <v>1</v>
      </c>
      <c r="B44" s="81">
        <v>402110001</v>
      </c>
      <c r="C44" s="82" t="s">
        <v>242</v>
      </c>
      <c r="D44" s="19"/>
      <c r="E44" s="19"/>
      <c r="F44" s="19"/>
      <c r="G44" s="19" t="s">
        <v>179</v>
      </c>
      <c r="H44" s="19" t="s">
        <v>185</v>
      </c>
      <c r="I44" s="19" t="s">
        <v>168</v>
      </c>
      <c r="J44" s="167" t="s">
        <v>183</v>
      </c>
      <c r="K44" s="19" t="s">
        <v>26</v>
      </c>
      <c r="L44" s="19" t="s">
        <v>217</v>
      </c>
      <c r="M44" s="19" t="s">
        <v>222</v>
      </c>
      <c r="N44" s="19" t="s">
        <v>228</v>
      </c>
      <c r="O44" s="38"/>
      <c r="P44" s="43">
        <f>VLOOKUP(Table3[[#This Row],[Depth of cover]],'TPI. Pa.'!$B$3:$C$52,2,0)</f>
        <v>2</v>
      </c>
      <c r="Q44" s="43">
        <f>VLOOKUP(Table3[[#This Row],[Additional protection]],'TPI. Pa.'!$B$3:$C$52,2,0)</f>
        <v>5</v>
      </c>
      <c r="R44" s="43">
        <f>VLOOKUP(Table3[[#This Row],[Failure due to TPI]],'TPI. Pa.'!$B$3:$C$52,2,0)</f>
        <v>4</v>
      </c>
      <c r="S44" s="43">
        <f>VLOOKUP(Table3[[#This Row],[Activity Level]],'TPI. Pa.'!$B$3:$C$52,2,0)</f>
        <v>10</v>
      </c>
      <c r="T44" s="43">
        <f>VLOOKUP(Table3[[#This Row],[Patrol frequency]],'TPI. Pa.'!$B$3:$C$52,2,0)</f>
        <v>1</v>
      </c>
      <c r="U44" s="43">
        <f>VLOOKUP(Table3[[#This Row],[Proxutil]],'TPI. Pa.'!$B$3:$C$52,2,0)</f>
        <v>5</v>
      </c>
      <c r="V44" s="43">
        <f>VLOOKUP(Table3[[#This Row],[ROW]],'TPI. Pa.'!$B$3:$C$52,2,0)</f>
        <v>10</v>
      </c>
      <c r="W44" s="43">
        <f>VLOOKUP(Table3[[#This Row],[ROW condition]],'TPI. Pa.'!$B$3:$C$52,2,0)</f>
        <v>3</v>
      </c>
      <c r="X4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5" spans="1:24" hidden="1">
      <c r="A45" s="84">
        <v>1</v>
      </c>
      <c r="B45" s="81">
        <v>402210001</v>
      </c>
      <c r="C45" s="82" t="s">
        <v>243</v>
      </c>
      <c r="D45" s="19"/>
      <c r="E45" s="19"/>
      <c r="F45" s="19"/>
      <c r="G45" s="19" t="s">
        <v>179</v>
      </c>
      <c r="H45" s="19" t="s">
        <v>185</v>
      </c>
      <c r="I45" s="19" t="s">
        <v>168</v>
      </c>
      <c r="J45" s="19" t="s">
        <v>183</v>
      </c>
      <c r="K45" s="19" t="s">
        <v>26</v>
      </c>
      <c r="L45" s="19" t="s">
        <v>217</v>
      </c>
      <c r="M45" s="19" t="s">
        <v>222</v>
      </c>
      <c r="N45" s="19" t="s">
        <v>228</v>
      </c>
      <c r="O45" s="38"/>
      <c r="P45" s="43">
        <f>VLOOKUP(Table3[[#This Row],[Depth of cover]],'TPI. Pa.'!$B$3:$C$52,2,0)</f>
        <v>2</v>
      </c>
      <c r="Q45" s="43">
        <f>VLOOKUP(Table3[[#This Row],[Additional protection]],'TPI. Pa.'!$B$3:$C$52,2,0)</f>
        <v>5</v>
      </c>
      <c r="R45" s="43">
        <f>VLOOKUP(Table3[[#This Row],[Failure due to TPI]],'TPI. Pa.'!$B$3:$C$52,2,0)</f>
        <v>4</v>
      </c>
      <c r="S45" s="43">
        <f>VLOOKUP(Table3[[#This Row],[Activity Level]],'TPI. Pa.'!$B$3:$C$52,2,0)</f>
        <v>10</v>
      </c>
      <c r="T45" s="43">
        <f>VLOOKUP(Table3[[#This Row],[Patrol frequency]],'TPI. Pa.'!$B$3:$C$52,2,0)</f>
        <v>1</v>
      </c>
      <c r="U45" s="43">
        <f>VLOOKUP(Table3[[#This Row],[Proxutil]],'TPI. Pa.'!$B$3:$C$52,2,0)</f>
        <v>5</v>
      </c>
      <c r="V45" s="43">
        <f>VLOOKUP(Table3[[#This Row],[ROW]],'TPI. Pa.'!$B$3:$C$52,2,0)</f>
        <v>10</v>
      </c>
      <c r="W45" s="43">
        <f>VLOOKUP(Table3[[#This Row],[ROW condition]],'TPI. Pa.'!$B$3:$C$52,2,0)</f>
        <v>3</v>
      </c>
      <c r="X4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6" spans="1:24" hidden="1">
      <c r="A46" s="84">
        <v>1</v>
      </c>
      <c r="B46" s="81">
        <v>402210003</v>
      </c>
      <c r="C46" s="82" t="s">
        <v>244</v>
      </c>
      <c r="D46" s="19"/>
      <c r="E46" s="19"/>
      <c r="F46" s="19"/>
      <c r="G46" s="19" t="s">
        <v>179</v>
      </c>
      <c r="H46" s="19" t="s">
        <v>185</v>
      </c>
      <c r="I46" s="19" t="s">
        <v>168</v>
      </c>
      <c r="J46" s="167" t="s">
        <v>183</v>
      </c>
      <c r="K46" s="19" t="s">
        <v>26</v>
      </c>
      <c r="L46" s="19" t="s">
        <v>217</v>
      </c>
      <c r="M46" s="19" t="s">
        <v>222</v>
      </c>
      <c r="N46" s="19" t="s">
        <v>228</v>
      </c>
      <c r="O46" s="38"/>
      <c r="P46" s="43">
        <f>VLOOKUP(Table3[[#This Row],[Depth of cover]],'TPI. Pa.'!$B$3:$C$52,2,0)</f>
        <v>2</v>
      </c>
      <c r="Q46" s="43">
        <f>VLOOKUP(Table3[[#This Row],[Additional protection]],'TPI. Pa.'!$B$3:$C$52,2,0)</f>
        <v>5</v>
      </c>
      <c r="R46" s="43">
        <f>VLOOKUP(Table3[[#This Row],[Failure due to TPI]],'TPI. Pa.'!$B$3:$C$52,2,0)</f>
        <v>4</v>
      </c>
      <c r="S46" s="43">
        <f>VLOOKUP(Table3[[#This Row],[Activity Level]],'TPI. Pa.'!$B$3:$C$52,2,0)</f>
        <v>10</v>
      </c>
      <c r="T46" s="43">
        <f>VLOOKUP(Table3[[#This Row],[Patrol frequency]],'TPI. Pa.'!$B$3:$C$52,2,0)</f>
        <v>1</v>
      </c>
      <c r="U46" s="43">
        <f>VLOOKUP(Table3[[#This Row],[Proxutil]],'TPI. Pa.'!$B$3:$C$52,2,0)</f>
        <v>5</v>
      </c>
      <c r="V46" s="43">
        <f>VLOOKUP(Table3[[#This Row],[ROW]],'TPI. Pa.'!$B$3:$C$52,2,0)</f>
        <v>10</v>
      </c>
      <c r="W46" s="43">
        <f>VLOOKUP(Table3[[#This Row],[ROW condition]],'TPI. Pa.'!$B$3:$C$52,2,0)</f>
        <v>3</v>
      </c>
      <c r="X4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7" spans="1:24" hidden="1">
      <c r="A47" s="80">
        <v>1</v>
      </c>
      <c r="B47" s="81">
        <v>4030301</v>
      </c>
      <c r="C47" s="82" t="s">
        <v>578</v>
      </c>
      <c r="D47" s="19"/>
      <c r="E47" s="19"/>
      <c r="F47" s="19"/>
      <c r="G47" s="19" t="s">
        <v>179</v>
      </c>
      <c r="H47" s="19" t="s">
        <v>185</v>
      </c>
      <c r="I47" s="19" t="s">
        <v>168</v>
      </c>
      <c r="J47" s="19" t="s">
        <v>191</v>
      </c>
      <c r="K47" s="19" t="s">
        <v>26</v>
      </c>
      <c r="L47" s="19" t="s">
        <v>217</v>
      </c>
      <c r="M47" s="19" t="s">
        <v>222</v>
      </c>
      <c r="N47" s="19" t="s">
        <v>228</v>
      </c>
      <c r="O47" s="38"/>
      <c r="P47" s="43">
        <f>VLOOKUP(Table3[[#This Row],[Depth of cover]],'TPI. Pa.'!$B$3:$C$52,2,0)</f>
        <v>2</v>
      </c>
      <c r="Q47" s="43">
        <f>VLOOKUP(Table3[[#This Row],[Additional protection]],'TPI. Pa.'!$B$3:$C$52,2,0)</f>
        <v>5</v>
      </c>
      <c r="R47" s="43">
        <f>VLOOKUP(Table3[[#This Row],[Failure due to TPI]],'TPI. Pa.'!$B$3:$C$52,2,0)</f>
        <v>4</v>
      </c>
      <c r="S47" s="43">
        <f>VLOOKUP(Table3[[#This Row],[Activity Level]],'TPI. Pa.'!$B$3:$C$52,2,0)</f>
        <v>3</v>
      </c>
      <c r="T47" s="43">
        <f>VLOOKUP(Table3[[#This Row],[Patrol frequency]],'TPI. Pa.'!$B$3:$C$52,2,0)</f>
        <v>1</v>
      </c>
      <c r="U47" s="43">
        <f>VLOOKUP(Table3[[#This Row],[Proxutil]],'TPI. Pa.'!$B$3:$C$52,2,0)</f>
        <v>5</v>
      </c>
      <c r="V47" s="43">
        <f>VLOOKUP(Table3[[#This Row],[ROW]],'TPI. Pa.'!$B$3:$C$52,2,0)</f>
        <v>10</v>
      </c>
      <c r="W47" s="43">
        <f>VLOOKUP(Table3[[#This Row],[ROW condition]],'TPI. Pa.'!$B$3:$C$52,2,0)</f>
        <v>3</v>
      </c>
      <c r="X4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48" spans="1:24" ht="25.5" hidden="1">
      <c r="A48" s="84">
        <v>1</v>
      </c>
      <c r="B48" s="81">
        <v>405110101</v>
      </c>
      <c r="C48" s="82" t="s">
        <v>245</v>
      </c>
      <c r="D48" s="19"/>
      <c r="E48" s="19"/>
      <c r="F48" s="19"/>
      <c r="G48" s="19" t="s">
        <v>179</v>
      </c>
      <c r="H48" s="19" t="s">
        <v>185</v>
      </c>
      <c r="I48" s="19" t="s">
        <v>168</v>
      </c>
      <c r="J48" s="19" t="s">
        <v>183</v>
      </c>
      <c r="K48" s="19" t="s">
        <v>26</v>
      </c>
      <c r="L48" s="19" t="s">
        <v>217</v>
      </c>
      <c r="M48" s="19" t="s">
        <v>222</v>
      </c>
      <c r="N48" s="19" t="s">
        <v>228</v>
      </c>
      <c r="O48" s="38"/>
      <c r="P48" s="43">
        <f>VLOOKUP(Table3[[#This Row],[Depth of cover]],'TPI. Pa.'!$B$3:$C$52,2,0)</f>
        <v>2</v>
      </c>
      <c r="Q48" s="43">
        <f>VLOOKUP(Table3[[#This Row],[Additional protection]],'TPI. Pa.'!$B$3:$C$52,2,0)</f>
        <v>5</v>
      </c>
      <c r="R48" s="43">
        <f>VLOOKUP(Table3[[#This Row],[Failure due to TPI]],'TPI. Pa.'!$B$3:$C$52,2,0)</f>
        <v>4</v>
      </c>
      <c r="S48" s="43">
        <f>VLOOKUP(Table3[[#This Row],[Activity Level]],'TPI. Pa.'!$B$3:$C$52,2,0)</f>
        <v>10</v>
      </c>
      <c r="T48" s="43">
        <f>VLOOKUP(Table3[[#This Row],[Patrol frequency]],'TPI. Pa.'!$B$3:$C$52,2,0)</f>
        <v>1</v>
      </c>
      <c r="U48" s="43">
        <f>VLOOKUP(Table3[[#This Row],[Proxutil]],'TPI. Pa.'!$B$3:$C$52,2,0)</f>
        <v>5</v>
      </c>
      <c r="V48" s="43">
        <f>VLOOKUP(Table3[[#This Row],[ROW]],'TPI. Pa.'!$B$3:$C$52,2,0)</f>
        <v>10</v>
      </c>
      <c r="W48" s="43">
        <f>VLOOKUP(Table3[[#This Row],[ROW condition]],'TPI. Pa.'!$B$3:$C$52,2,0)</f>
        <v>3</v>
      </c>
      <c r="X4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49" spans="1:24" hidden="1">
      <c r="A49" s="80">
        <v>1</v>
      </c>
      <c r="B49" s="81">
        <v>4052</v>
      </c>
      <c r="C49" s="82" t="s">
        <v>611</v>
      </c>
      <c r="D49" s="19"/>
      <c r="E49" s="19"/>
      <c r="F49" s="19"/>
      <c r="G49" s="19" t="s">
        <v>179</v>
      </c>
      <c r="H49" s="19" t="s">
        <v>185</v>
      </c>
      <c r="I49" s="19" t="s">
        <v>168</v>
      </c>
      <c r="J49" s="19" t="s">
        <v>183</v>
      </c>
      <c r="K49" s="19" t="s">
        <v>26</v>
      </c>
      <c r="L49" s="19" t="s">
        <v>217</v>
      </c>
      <c r="M49" s="19" t="s">
        <v>222</v>
      </c>
      <c r="N49" s="19" t="s">
        <v>228</v>
      </c>
      <c r="O49" s="38"/>
      <c r="P49" s="43">
        <f>VLOOKUP(Table3[[#This Row],[Depth of cover]],'TPI. Pa.'!$B$3:$C$52,2,0)</f>
        <v>2</v>
      </c>
      <c r="Q49" s="43">
        <f>VLOOKUP(Table3[[#This Row],[Additional protection]],'TPI. Pa.'!$B$3:$C$52,2,0)</f>
        <v>5</v>
      </c>
      <c r="R49" s="43">
        <f>VLOOKUP(Table3[[#This Row],[Failure due to TPI]],'TPI. Pa.'!$B$3:$C$52,2,0)</f>
        <v>4</v>
      </c>
      <c r="S49" s="43">
        <f>VLOOKUP(Table3[[#This Row],[Activity Level]],'TPI. Pa.'!$B$3:$C$52,2,0)</f>
        <v>10</v>
      </c>
      <c r="T49" s="43">
        <f>VLOOKUP(Table3[[#This Row],[Patrol frequency]],'TPI. Pa.'!$B$3:$C$52,2,0)</f>
        <v>1</v>
      </c>
      <c r="U49" s="43">
        <f>VLOOKUP(Table3[[#This Row],[Proxutil]],'TPI. Pa.'!$B$3:$C$52,2,0)</f>
        <v>5</v>
      </c>
      <c r="V49" s="43">
        <f>VLOOKUP(Table3[[#This Row],[ROW]],'TPI. Pa.'!$B$3:$C$52,2,0)</f>
        <v>10</v>
      </c>
      <c r="W49" s="43">
        <f>VLOOKUP(Table3[[#This Row],[ROW condition]],'TPI. Pa.'!$B$3:$C$52,2,0)</f>
        <v>3</v>
      </c>
      <c r="X4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0" spans="1:24" hidden="1">
      <c r="A50" s="80">
        <v>1</v>
      </c>
      <c r="B50" s="81">
        <v>44021001</v>
      </c>
      <c r="C50" s="82" t="s">
        <v>563</v>
      </c>
      <c r="D50" s="19"/>
      <c r="E50" s="19"/>
      <c r="F50" s="19"/>
      <c r="G50" s="19" t="s">
        <v>179</v>
      </c>
      <c r="H50" s="19" t="s">
        <v>185</v>
      </c>
      <c r="I50" s="19" t="s">
        <v>168</v>
      </c>
      <c r="J50" s="167" t="s">
        <v>183</v>
      </c>
      <c r="K50" s="19" t="s">
        <v>26</v>
      </c>
      <c r="L50" s="19" t="s">
        <v>217</v>
      </c>
      <c r="M50" s="19" t="s">
        <v>222</v>
      </c>
      <c r="N50" s="19" t="s">
        <v>228</v>
      </c>
      <c r="O50" s="38"/>
      <c r="P50" s="43">
        <f>VLOOKUP(Table3[[#This Row],[Depth of cover]],'TPI. Pa.'!$B$3:$C$52,2,0)</f>
        <v>2</v>
      </c>
      <c r="Q50" s="43">
        <f>VLOOKUP(Table3[[#This Row],[Additional protection]],'TPI. Pa.'!$B$3:$C$52,2,0)</f>
        <v>5</v>
      </c>
      <c r="R50" s="43">
        <f>VLOOKUP(Table3[[#This Row],[Failure due to TPI]],'TPI. Pa.'!$B$3:$C$52,2,0)</f>
        <v>4</v>
      </c>
      <c r="S50" s="43">
        <f>VLOOKUP(Table3[[#This Row],[Activity Level]],'TPI. Pa.'!$B$3:$C$52,2,0)</f>
        <v>10</v>
      </c>
      <c r="T50" s="43">
        <f>VLOOKUP(Table3[[#This Row],[Patrol frequency]],'TPI. Pa.'!$B$3:$C$52,2,0)</f>
        <v>1</v>
      </c>
      <c r="U50" s="43">
        <f>VLOOKUP(Table3[[#This Row],[Proxutil]],'TPI. Pa.'!$B$3:$C$52,2,0)</f>
        <v>5</v>
      </c>
      <c r="V50" s="43">
        <f>VLOOKUP(Table3[[#This Row],[ROW]],'TPI. Pa.'!$B$3:$C$52,2,0)</f>
        <v>10</v>
      </c>
      <c r="W50" s="43">
        <f>VLOOKUP(Table3[[#This Row],[ROW condition]],'TPI. Pa.'!$B$3:$C$52,2,0)</f>
        <v>3</v>
      </c>
      <c r="X5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1" spans="1:24" hidden="1">
      <c r="A51" s="84">
        <v>1</v>
      </c>
      <c r="B51" s="81">
        <v>440210002</v>
      </c>
      <c r="C51" s="82" t="s">
        <v>246</v>
      </c>
      <c r="D51" s="19"/>
      <c r="E51" s="19"/>
      <c r="F51" s="19"/>
      <c r="G51" s="19" t="s">
        <v>179</v>
      </c>
      <c r="H51" s="19" t="s">
        <v>185</v>
      </c>
      <c r="I51" s="19" t="s">
        <v>168</v>
      </c>
      <c r="J51" s="19" t="s">
        <v>183</v>
      </c>
      <c r="K51" s="19" t="s">
        <v>26</v>
      </c>
      <c r="L51" s="19" t="s">
        <v>217</v>
      </c>
      <c r="M51" s="19" t="s">
        <v>222</v>
      </c>
      <c r="N51" s="19" t="s">
        <v>228</v>
      </c>
      <c r="O51" s="38"/>
      <c r="P51" s="43">
        <f>VLOOKUP(Table3[[#This Row],[Depth of cover]],'TPI. Pa.'!$B$3:$C$52,2,0)</f>
        <v>2</v>
      </c>
      <c r="Q51" s="43">
        <f>VLOOKUP(Table3[[#This Row],[Additional protection]],'TPI. Pa.'!$B$3:$C$52,2,0)</f>
        <v>5</v>
      </c>
      <c r="R51" s="43">
        <f>VLOOKUP(Table3[[#This Row],[Failure due to TPI]],'TPI. Pa.'!$B$3:$C$52,2,0)</f>
        <v>4</v>
      </c>
      <c r="S51" s="43">
        <f>VLOOKUP(Table3[[#This Row],[Activity Level]],'TPI. Pa.'!$B$3:$C$52,2,0)</f>
        <v>10</v>
      </c>
      <c r="T51" s="43">
        <f>VLOOKUP(Table3[[#This Row],[Patrol frequency]],'TPI. Pa.'!$B$3:$C$52,2,0)</f>
        <v>1</v>
      </c>
      <c r="U51" s="43">
        <f>VLOOKUP(Table3[[#This Row],[Proxutil]],'TPI. Pa.'!$B$3:$C$52,2,0)</f>
        <v>5</v>
      </c>
      <c r="V51" s="43">
        <f>VLOOKUP(Table3[[#This Row],[ROW]],'TPI. Pa.'!$B$3:$C$52,2,0)</f>
        <v>10</v>
      </c>
      <c r="W51" s="43">
        <f>VLOOKUP(Table3[[#This Row],[ROW condition]],'TPI. Pa.'!$B$3:$C$52,2,0)</f>
        <v>3</v>
      </c>
      <c r="X5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2" spans="1:24" hidden="1">
      <c r="A52" s="80">
        <v>1</v>
      </c>
      <c r="B52" s="81">
        <v>440210003</v>
      </c>
      <c r="C52" s="82" t="s">
        <v>565</v>
      </c>
      <c r="D52" s="19"/>
      <c r="E52" s="19"/>
      <c r="F52" s="19"/>
      <c r="G52" s="19" t="s">
        <v>179</v>
      </c>
      <c r="H52" s="19" t="s">
        <v>185</v>
      </c>
      <c r="I52" s="19" t="s">
        <v>168</v>
      </c>
      <c r="J52" s="19" t="s">
        <v>183</v>
      </c>
      <c r="K52" s="19" t="s">
        <v>26</v>
      </c>
      <c r="L52" s="19" t="s">
        <v>217</v>
      </c>
      <c r="M52" s="19" t="s">
        <v>222</v>
      </c>
      <c r="N52" s="19" t="s">
        <v>228</v>
      </c>
      <c r="O52" s="38"/>
      <c r="P52" s="43">
        <f>VLOOKUP(Table3[[#This Row],[Depth of cover]],'TPI. Pa.'!$B$3:$C$52,2,0)</f>
        <v>2</v>
      </c>
      <c r="Q52" s="43">
        <f>VLOOKUP(Table3[[#This Row],[Additional protection]],'TPI. Pa.'!$B$3:$C$52,2,0)</f>
        <v>5</v>
      </c>
      <c r="R52" s="43">
        <f>VLOOKUP(Table3[[#This Row],[Failure due to TPI]],'TPI. Pa.'!$B$3:$C$52,2,0)</f>
        <v>4</v>
      </c>
      <c r="S52" s="43">
        <f>VLOOKUP(Table3[[#This Row],[Activity Level]],'TPI. Pa.'!$B$3:$C$52,2,0)</f>
        <v>10</v>
      </c>
      <c r="T52" s="43">
        <f>VLOOKUP(Table3[[#This Row],[Patrol frequency]],'TPI. Pa.'!$B$3:$C$52,2,0)</f>
        <v>1</v>
      </c>
      <c r="U52" s="43">
        <f>VLOOKUP(Table3[[#This Row],[Proxutil]],'TPI. Pa.'!$B$3:$C$52,2,0)</f>
        <v>5</v>
      </c>
      <c r="V52" s="43">
        <f>VLOOKUP(Table3[[#This Row],[ROW]],'TPI. Pa.'!$B$3:$C$52,2,0)</f>
        <v>10</v>
      </c>
      <c r="W52" s="43">
        <f>VLOOKUP(Table3[[#This Row],[ROW condition]],'TPI. Pa.'!$B$3:$C$52,2,0)</f>
        <v>3</v>
      </c>
      <c r="X5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3" spans="1:24" hidden="1">
      <c r="A53" s="80">
        <v>1</v>
      </c>
      <c r="B53" s="81">
        <v>440210004</v>
      </c>
      <c r="C53" s="82" t="s">
        <v>567</v>
      </c>
      <c r="D53" s="19"/>
      <c r="E53" s="19"/>
      <c r="F53" s="19"/>
      <c r="G53" s="19" t="s">
        <v>179</v>
      </c>
      <c r="H53" s="19" t="s">
        <v>185</v>
      </c>
      <c r="I53" s="19" t="s">
        <v>168</v>
      </c>
      <c r="J53" s="19" t="s">
        <v>183</v>
      </c>
      <c r="K53" s="19" t="s">
        <v>26</v>
      </c>
      <c r="L53" s="19" t="s">
        <v>217</v>
      </c>
      <c r="M53" s="19" t="s">
        <v>222</v>
      </c>
      <c r="N53" s="19" t="s">
        <v>228</v>
      </c>
      <c r="O53" s="38"/>
      <c r="P53" s="43">
        <f>VLOOKUP(Table3[[#This Row],[Depth of cover]],'TPI. Pa.'!$B$3:$C$52,2,0)</f>
        <v>2</v>
      </c>
      <c r="Q53" s="43">
        <f>VLOOKUP(Table3[[#This Row],[Additional protection]],'TPI. Pa.'!$B$3:$C$52,2,0)</f>
        <v>5</v>
      </c>
      <c r="R53" s="43">
        <f>VLOOKUP(Table3[[#This Row],[Failure due to TPI]],'TPI. Pa.'!$B$3:$C$52,2,0)</f>
        <v>4</v>
      </c>
      <c r="S53" s="43">
        <f>VLOOKUP(Table3[[#This Row],[Activity Level]],'TPI. Pa.'!$B$3:$C$52,2,0)</f>
        <v>10</v>
      </c>
      <c r="T53" s="43">
        <f>VLOOKUP(Table3[[#This Row],[Patrol frequency]],'TPI. Pa.'!$B$3:$C$52,2,0)</f>
        <v>1</v>
      </c>
      <c r="U53" s="43">
        <f>VLOOKUP(Table3[[#This Row],[Proxutil]],'TPI. Pa.'!$B$3:$C$52,2,0)</f>
        <v>5</v>
      </c>
      <c r="V53" s="43">
        <f>VLOOKUP(Table3[[#This Row],[ROW]],'TPI. Pa.'!$B$3:$C$52,2,0)</f>
        <v>10</v>
      </c>
      <c r="W53" s="43">
        <f>VLOOKUP(Table3[[#This Row],[ROW condition]],'TPI. Pa.'!$B$3:$C$52,2,0)</f>
        <v>3</v>
      </c>
      <c r="X5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4" spans="1:24" hidden="1">
      <c r="A54" s="84">
        <v>1</v>
      </c>
      <c r="B54" s="81">
        <v>440220001</v>
      </c>
      <c r="C54" s="82" t="s">
        <v>247</v>
      </c>
      <c r="D54" s="19"/>
      <c r="E54" s="19"/>
      <c r="F54" s="19"/>
      <c r="G54" s="19" t="s">
        <v>179</v>
      </c>
      <c r="H54" s="19" t="s">
        <v>185</v>
      </c>
      <c r="I54" s="19" t="s">
        <v>168</v>
      </c>
      <c r="J54" s="19" t="s">
        <v>183</v>
      </c>
      <c r="K54" s="19" t="s">
        <v>26</v>
      </c>
      <c r="L54" s="19" t="s">
        <v>217</v>
      </c>
      <c r="M54" s="19" t="s">
        <v>222</v>
      </c>
      <c r="N54" s="19" t="s">
        <v>228</v>
      </c>
      <c r="O54" s="38"/>
      <c r="P54" s="43">
        <f>VLOOKUP(Table3[[#This Row],[Depth of cover]],'TPI. Pa.'!$B$3:$C$52,2,0)</f>
        <v>2</v>
      </c>
      <c r="Q54" s="43">
        <f>VLOOKUP(Table3[[#This Row],[Additional protection]],'TPI. Pa.'!$B$3:$C$52,2,0)</f>
        <v>5</v>
      </c>
      <c r="R54" s="43">
        <f>VLOOKUP(Table3[[#This Row],[Failure due to TPI]],'TPI. Pa.'!$B$3:$C$52,2,0)</f>
        <v>4</v>
      </c>
      <c r="S54" s="43">
        <f>VLOOKUP(Table3[[#This Row],[Activity Level]],'TPI. Pa.'!$B$3:$C$52,2,0)</f>
        <v>10</v>
      </c>
      <c r="T54" s="43">
        <f>VLOOKUP(Table3[[#This Row],[Patrol frequency]],'TPI. Pa.'!$B$3:$C$52,2,0)</f>
        <v>1</v>
      </c>
      <c r="U54" s="43">
        <f>VLOOKUP(Table3[[#This Row],[Proxutil]],'TPI. Pa.'!$B$3:$C$52,2,0)</f>
        <v>5</v>
      </c>
      <c r="V54" s="43">
        <f>VLOOKUP(Table3[[#This Row],[ROW]],'TPI. Pa.'!$B$3:$C$52,2,0)</f>
        <v>10</v>
      </c>
      <c r="W54" s="43">
        <f>VLOOKUP(Table3[[#This Row],[ROW condition]],'TPI. Pa.'!$B$3:$C$52,2,0)</f>
        <v>3</v>
      </c>
      <c r="X5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5" spans="1:24" hidden="1">
      <c r="A55" s="84">
        <v>1</v>
      </c>
      <c r="B55" s="81">
        <v>503100001</v>
      </c>
      <c r="C55" s="82" t="s">
        <v>248</v>
      </c>
      <c r="D55" s="19"/>
      <c r="E55" s="19"/>
      <c r="F55" s="19"/>
      <c r="G55" s="19" t="s">
        <v>179</v>
      </c>
      <c r="H55" s="19" t="s">
        <v>185</v>
      </c>
      <c r="I55" s="19" t="s">
        <v>168</v>
      </c>
      <c r="J55" s="19" t="s">
        <v>191</v>
      </c>
      <c r="K55" s="19" t="s">
        <v>26</v>
      </c>
      <c r="L55" s="19" t="s">
        <v>217</v>
      </c>
      <c r="M55" s="19" t="s">
        <v>222</v>
      </c>
      <c r="N55" s="19" t="s">
        <v>228</v>
      </c>
      <c r="O55" s="38"/>
      <c r="P55" s="43">
        <f>VLOOKUP(Table3[[#This Row],[Depth of cover]],'TPI. Pa.'!$B$3:$C$52,2,0)</f>
        <v>2</v>
      </c>
      <c r="Q55" s="43">
        <f>VLOOKUP(Table3[[#This Row],[Additional protection]],'TPI. Pa.'!$B$3:$C$52,2,0)</f>
        <v>5</v>
      </c>
      <c r="R55" s="43">
        <f>VLOOKUP(Table3[[#This Row],[Failure due to TPI]],'TPI. Pa.'!$B$3:$C$52,2,0)</f>
        <v>4</v>
      </c>
      <c r="S55" s="43">
        <f>VLOOKUP(Table3[[#This Row],[Activity Level]],'TPI. Pa.'!$B$3:$C$52,2,0)</f>
        <v>3</v>
      </c>
      <c r="T55" s="43">
        <f>VLOOKUP(Table3[[#This Row],[Patrol frequency]],'TPI. Pa.'!$B$3:$C$52,2,0)</f>
        <v>1</v>
      </c>
      <c r="U55" s="43">
        <f>VLOOKUP(Table3[[#This Row],[Proxutil]],'TPI. Pa.'!$B$3:$C$52,2,0)</f>
        <v>5</v>
      </c>
      <c r="V55" s="43">
        <f>VLOOKUP(Table3[[#This Row],[ROW]],'TPI. Pa.'!$B$3:$C$52,2,0)</f>
        <v>10</v>
      </c>
      <c r="W55" s="43">
        <f>VLOOKUP(Table3[[#This Row],[ROW condition]],'TPI. Pa.'!$B$3:$C$52,2,0)</f>
        <v>3</v>
      </c>
      <c r="X5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56" spans="1:24" hidden="1">
      <c r="A56" s="80">
        <v>1</v>
      </c>
      <c r="B56" s="81">
        <v>503100002</v>
      </c>
      <c r="C56" s="82" t="s">
        <v>561</v>
      </c>
      <c r="D56" s="19"/>
      <c r="E56" s="19"/>
      <c r="F56" s="19"/>
      <c r="G56" s="19" t="s">
        <v>179</v>
      </c>
      <c r="H56" s="19" t="s">
        <v>185</v>
      </c>
      <c r="I56" s="19" t="s">
        <v>168</v>
      </c>
      <c r="J56" s="19" t="s">
        <v>183</v>
      </c>
      <c r="K56" s="19" t="s">
        <v>26</v>
      </c>
      <c r="L56" s="19" t="s">
        <v>217</v>
      </c>
      <c r="M56" s="19" t="s">
        <v>222</v>
      </c>
      <c r="N56" s="19" t="s">
        <v>228</v>
      </c>
      <c r="O56" s="38"/>
      <c r="P56" s="43">
        <f>VLOOKUP(Table3[[#This Row],[Depth of cover]],'TPI. Pa.'!$B$3:$C$52,2,0)</f>
        <v>2</v>
      </c>
      <c r="Q56" s="43">
        <f>VLOOKUP(Table3[[#This Row],[Additional protection]],'TPI. Pa.'!$B$3:$C$52,2,0)</f>
        <v>5</v>
      </c>
      <c r="R56" s="43">
        <f>VLOOKUP(Table3[[#This Row],[Failure due to TPI]],'TPI. Pa.'!$B$3:$C$52,2,0)</f>
        <v>4</v>
      </c>
      <c r="S56" s="43">
        <f>VLOOKUP(Table3[[#This Row],[Activity Level]],'TPI. Pa.'!$B$3:$C$52,2,0)</f>
        <v>10</v>
      </c>
      <c r="T56" s="43">
        <f>VLOOKUP(Table3[[#This Row],[Patrol frequency]],'TPI. Pa.'!$B$3:$C$52,2,0)</f>
        <v>1</v>
      </c>
      <c r="U56" s="43">
        <f>VLOOKUP(Table3[[#This Row],[Proxutil]],'TPI. Pa.'!$B$3:$C$52,2,0)</f>
        <v>5</v>
      </c>
      <c r="V56" s="43">
        <f>VLOOKUP(Table3[[#This Row],[ROW]],'TPI. Pa.'!$B$3:$C$52,2,0)</f>
        <v>10</v>
      </c>
      <c r="W56" s="43">
        <f>VLOOKUP(Table3[[#This Row],[ROW condition]],'TPI. Pa.'!$B$3:$C$52,2,0)</f>
        <v>3</v>
      </c>
      <c r="X5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7" spans="1:24" hidden="1">
      <c r="A57" s="80">
        <v>1</v>
      </c>
      <c r="B57" s="81">
        <v>503200001</v>
      </c>
      <c r="C57" s="82" t="s">
        <v>558</v>
      </c>
      <c r="D57" s="19"/>
      <c r="E57" s="19"/>
      <c r="F57" s="19"/>
      <c r="G57" s="19" t="s">
        <v>179</v>
      </c>
      <c r="H57" s="19" t="s">
        <v>185</v>
      </c>
      <c r="I57" s="19" t="s">
        <v>168</v>
      </c>
      <c r="J57" s="19" t="s">
        <v>183</v>
      </c>
      <c r="K57" s="19" t="s">
        <v>26</v>
      </c>
      <c r="L57" s="19" t="s">
        <v>217</v>
      </c>
      <c r="M57" s="19" t="s">
        <v>222</v>
      </c>
      <c r="N57" s="19" t="s">
        <v>228</v>
      </c>
      <c r="O57" s="38"/>
      <c r="P57" s="43">
        <f>VLOOKUP(Table3[[#This Row],[Depth of cover]],'TPI. Pa.'!$B$3:$C$52,2,0)</f>
        <v>2</v>
      </c>
      <c r="Q57" s="43">
        <f>VLOOKUP(Table3[[#This Row],[Additional protection]],'TPI. Pa.'!$B$3:$C$52,2,0)</f>
        <v>5</v>
      </c>
      <c r="R57" s="43">
        <f>VLOOKUP(Table3[[#This Row],[Failure due to TPI]],'TPI. Pa.'!$B$3:$C$52,2,0)</f>
        <v>4</v>
      </c>
      <c r="S57" s="43">
        <f>VLOOKUP(Table3[[#This Row],[Activity Level]],'TPI. Pa.'!$B$3:$C$52,2,0)</f>
        <v>10</v>
      </c>
      <c r="T57" s="43">
        <f>VLOOKUP(Table3[[#This Row],[Patrol frequency]],'TPI. Pa.'!$B$3:$C$52,2,0)</f>
        <v>1</v>
      </c>
      <c r="U57" s="43">
        <f>VLOOKUP(Table3[[#This Row],[Proxutil]],'TPI. Pa.'!$B$3:$C$52,2,0)</f>
        <v>5</v>
      </c>
      <c r="V57" s="43">
        <f>VLOOKUP(Table3[[#This Row],[ROW]],'TPI. Pa.'!$B$3:$C$52,2,0)</f>
        <v>10</v>
      </c>
      <c r="W57" s="43">
        <f>VLOOKUP(Table3[[#This Row],[ROW condition]],'TPI. Pa.'!$B$3:$C$52,2,0)</f>
        <v>3</v>
      </c>
      <c r="X5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58" spans="1:24" hidden="1">
      <c r="A58" s="80">
        <v>1</v>
      </c>
      <c r="B58" s="81">
        <v>5033</v>
      </c>
      <c r="C58" s="82" t="s">
        <v>559</v>
      </c>
      <c r="D58" s="19"/>
      <c r="E58" s="19"/>
      <c r="F58" s="19"/>
      <c r="G58" s="19" t="s">
        <v>179</v>
      </c>
      <c r="H58" s="19" t="s">
        <v>185</v>
      </c>
      <c r="I58" s="19" t="s">
        <v>168</v>
      </c>
      <c r="J58" s="19" t="s">
        <v>191</v>
      </c>
      <c r="K58" s="19" t="s">
        <v>26</v>
      </c>
      <c r="L58" s="19" t="s">
        <v>217</v>
      </c>
      <c r="M58" s="19" t="s">
        <v>222</v>
      </c>
      <c r="N58" s="19" t="s">
        <v>228</v>
      </c>
      <c r="O58" s="38"/>
      <c r="P58" s="43">
        <f>VLOOKUP(Table3[[#This Row],[Depth of cover]],'TPI. Pa.'!$B$3:$C$52,2,0)</f>
        <v>2</v>
      </c>
      <c r="Q58" s="43">
        <f>VLOOKUP(Table3[[#This Row],[Additional protection]],'TPI. Pa.'!$B$3:$C$52,2,0)</f>
        <v>5</v>
      </c>
      <c r="R58" s="43">
        <f>VLOOKUP(Table3[[#This Row],[Failure due to TPI]],'TPI. Pa.'!$B$3:$C$52,2,0)</f>
        <v>4</v>
      </c>
      <c r="S58" s="43">
        <f>VLOOKUP(Table3[[#This Row],[Activity Level]],'TPI. Pa.'!$B$3:$C$52,2,0)</f>
        <v>3</v>
      </c>
      <c r="T58" s="43">
        <f>VLOOKUP(Table3[[#This Row],[Patrol frequency]],'TPI. Pa.'!$B$3:$C$52,2,0)</f>
        <v>1</v>
      </c>
      <c r="U58" s="43">
        <f>VLOOKUP(Table3[[#This Row],[Proxutil]],'TPI. Pa.'!$B$3:$C$52,2,0)</f>
        <v>5</v>
      </c>
      <c r="V58" s="43">
        <f>VLOOKUP(Table3[[#This Row],[ROW]],'TPI. Pa.'!$B$3:$C$52,2,0)</f>
        <v>10</v>
      </c>
      <c r="W58" s="43">
        <f>VLOOKUP(Table3[[#This Row],[ROW condition]],'TPI. Pa.'!$B$3:$C$52,2,0)</f>
        <v>3</v>
      </c>
      <c r="X5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59" spans="1:24" hidden="1">
      <c r="A59" s="80">
        <v>1</v>
      </c>
      <c r="B59" s="81">
        <v>5041</v>
      </c>
      <c r="C59" s="82" t="s">
        <v>556</v>
      </c>
      <c r="D59" s="19"/>
      <c r="E59" s="19"/>
      <c r="F59" s="19"/>
      <c r="G59" s="19" t="s">
        <v>179</v>
      </c>
      <c r="H59" s="19" t="s">
        <v>185</v>
      </c>
      <c r="I59" s="19" t="s">
        <v>168</v>
      </c>
      <c r="J59" s="19" t="s">
        <v>183</v>
      </c>
      <c r="K59" s="19" t="s">
        <v>26</v>
      </c>
      <c r="L59" s="19" t="s">
        <v>217</v>
      </c>
      <c r="M59" s="19" t="s">
        <v>222</v>
      </c>
      <c r="N59" s="19" t="s">
        <v>228</v>
      </c>
      <c r="O59" s="38"/>
      <c r="P59" s="43">
        <f>VLOOKUP(Table3[[#This Row],[Depth of cover]],'TPI. Pa.'!$B$3:$C$52,2,0)</f>
        <v>2</v>
      </c>
      <c r="Q59" s="43">
        <f>VLOOKUP(Table3[[#This Row],[Additional protection]],'TPI. Pa.'!$B$3:$C$52,2,0)</f>
        <v>5</v>
      </c>
      <c r="R59" s="43">
        <f>VLOOKUP(Table3[[#This Row],[Failure due to TPI]],'TPI. Pa.'!$B$3:$C$52,2,0)</f>
        <v>4</v>
      </c>
      <c r="S59" s="43">
        <f>VLOOKUP(Table3[[#This Row],[Activity Level]],'TPI. Pa.'!$B$3:$C$52,2,0)</f>
        <v>10</v>
      </c>
      <c r="T59" s="43">
        <f>VLOOKUP(Table3[[#This Row],[Patrol frequency]],'TPI. Pa.'!$B$3:$C$52,2,0)</f>
        <v>1</v>
      </c>
      <c r="U59" s="43">
        <f>VLOOKUP(Table3[[#This Row],[Proxutil]],'TPI. Pa.'!$B$3:$C$52,2,0)</f>
        <v>5</v>
      </c>
      <c r="V59" s="43">
        <f>VLOOKUP(Table3[[#This Row],[ROW]],'TPI. Pa.'!$B$3:$C$52,2,0)</f>
        <v>10</v>
      </c>
      <c r="W59" s="43">
        <f>VLOOKUP(Table3[[#This Row],[ROW condition]],'TPI. Pa.'!$B$3:$C$52,2,0)</f>
        <v>3</v>
      </c>
      <c r="X5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0" spans="1:24" hidden="1">
      <c r="A60" s="80">
        <v>1</v>
      </c>
      <c r="B60" s="81">
        <v>504200001</v>
      </c>
      <c r="C60" s="82" t="s">
        <v>552</v>
      </c>
      <c r="D60" s="19"/>
      <c r="E60" s="19"/>
      <c r="F60" s="19"/>
      <c r="G60" s="19" t="s">
        <v>179</v>
      </c>
      <c r="H60" s="19" t="s">
        <v>185</v>
      </c>
      <c r="I60" s="19" t="s">
        <v>168</v>
      </c>
      <c r="J60" s="19" t="s">
        <v>183</v>
      </c>
      <c r="K60" s="19" t="s">
        <v>26</v>
      </c>
      <c r="L60" s="19" t="s">
        <v>217</v>
      </c>
      <c r="M60" s="19" t="s">
        <v>222</v>
      </c>
      <c r="N60" s="19" t="s">
        <v>228</v>
      </c>
      <c r="O60" s="38"/>
      <c r="P60" s="43">
        <f>VLOOKUP(Table3[[#This Row],[Depth of cover]],'TPI. Pa.'!$B$3:$C$52,2,0)</f>
        <v>2</v>
      </c>
      <c r="Q60" s="43">
        <f>VLOOKUP(Table3[[#This Row],[Additional protection]],'TPI. Pa.'!$B$3:$C$52,2,0)</f>
        <v>5</v>
      </c>
      <c r="R60" s="43">
        <f>VLOOKUP(Table3[[#This Row],[Failure due to TPI]],'TPI. Pa.'!$B$3:$C$52,2,0)</f>
        <v>4</v>
      </c>
      <c r="S60" s="43">
        <f>VLOOKUP(Table3[[#This Row],[Activity Level]],'TPI. Pa.'!$B$3:$C$52,2,0)</f>
        <v>10</v>
      </c>
      <c r="T60" s="43">
        <f>VLOOKUP(Table3[[#This Row],[Patrol frequency]],'TPI. Pa.'!$B$3:$C$52,2,0)</f>
        <v>1</v>
      </c>
      <c r="U60" s="43">
        <f>VLOOKUP(Table3[[#This Row],[Proxutil]],'TPI. Pa.'!$B$3:$C$52,2,0)</f>
        <v>5</v>
      </c>
      <c r="V60" s="43">
        <f>VLOOKUP(Table3[[#This Row],[ROW]],'TPI. Pa.'!$B$3:$C$52,2,0)</f>
        <v>10</v>
      </c>
      <c r="W60" s="43">
        <f>VLOOKUP(Table3[[#This Row],[ROW condition]],'TPI. Pa.'!$B$3:$C$52,2,0)</f>
        <v>3</v>
      </c>
      <c r="X6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1" spans="1:24" hidden="1">
      <c r="A61" s="80">
        <v>1</v>
      </c>
      <c r="B61" s="81">
        <v>504300001</v>
      </c>
      <c r="C61" s="82" t="s">
        <v>554</v>
      </c>
      <c r="D61" s="19"/>
      <c r="E61" s="19"/>
      <c r="F61" s="19"/>
      <c r="G61" s="19" t="s">
        <v>179</v>
      </c>
      <c r="H61" s="19" t="s">
        <v>185</v>
      </c>
      <c r="I61" s="19" t="s">
        <v>168</v>
      </c>
      <c r="J61" s="19" t="s">
        <v>183</v>
      </c>
      <c r="K61" s="19" t="s">
        <v>26</v>
      </c>
      <c r="L61" s="19" t="s">
        <v>217</v>
      </c>
      <c r="M61" s="19" t="s">
        <v>222</v>
      </c>
      <c r="N61" s="19" t="s">
        <v>228</v>
      </c>
      <c r="O61" s="38"/>
      <c r="P61" s="43">
        <f>VLOOKUP(Table3[[#This Row],[Depth of cover]],'TPI. Pa.'!$B$3:$C$52,2,0)</f>
        <v>2</v>
      </c>
      <c r="Q61" s="43">
        <f>VLOOKUP(Table3[[#This Row],[Additional protection]],'TPI. Pa.'!$B$3:$C$52,2,0)</f>
        <v>5</v>
      </c>
      <c r="R61" s="43">
        <f>VLOOKUP(Table3[[#This Row],[Failure due to TPI]],'TPI. Pa.'!$B$3:$C$52,2,0)</f>
        <v>4</v>
      </c>
      <c r="S61" s="43">
        <f>VLOOKUP(Table3[[#This Row],[Activity Level]],'TPI. Pa.'!$B$3:$C$52,2,0)</f>
        <v>10</v>
      </c>
      <c r="T61" s="43">
        <f>VLOOKUP(Table3[[#This Row],[Patrol frequency]],'TPI. Pa.'!$B$3:$C$52,2,0)</f>
        <v>1</v>
      </c>
      <c r="U61" s="43">
        <f>VLOOKUP(Table3[[#This Row],[Proxutil]],'TPI. Pa.'!$B$3:$C$52,2,0)</f>
        <v>5</v>
      </c>
      <c r="V61" s="43">
        <f>VLOOKUP(Table3[[#This Row],[ROW]],'TPI. Pa.'!$B$3:$C$52,2,0)</f>
        <v>10</v>
      </c>
      <c r="W61" s="43">
        <f>VLOOKUP(Table3[[#This Row],[ROW condition]],'TPI. Pa.'!$B$3:$C$52,2,0)</f>
        <v>3</v>
      </c>
      <c r="X6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2" spans="1:24" hidden="1">
      <c r="A62" s="80">
        <v>1</v>
      </c>
      <c r="B62" s="81">
        <v>505100001</v>
      </c>
      <c r="C62" s="82" t="s">
        <v>550</v>
      </c>
      <c r="D62" s="19"/>
      <c r="E62" s="19"/>
      <c r="F62" s="19"/>
      <c r="G62" s="19" t="s">
        <v>179</v>
      </c>
      <c r="H62" s="19" t="s">
        <v>185</v>
      </c>
      <c r="I62" s="19" t="s">
        <v>168</v>
      </c>
      <c r="J62" s="19" t="s">
        <v>183</v>
      </c>
      <c r="K62" s="19" t="s">
        <v>26</v>
      </c>
      <c r="L62" s="19" t="s">
        <v>217</v>
      </c>
      <c r="M62" s="19" t="s">
        <v>222</v>
      </c>
      <c r="N62" s="19" t="s">
        <v>228</v>
      </c>
      <c r="O62" s="38"/>
      <c r="P62" s="43">
        <f>VLOOKUP(Table3[[#This Row],[Depth of cover]],'TPI. Pa.'!$B$3:$C$52,2,0)</f>
        <v>2</v>
      </c>
      <c r="Q62" s="43">
        <f>VLOOKUP(Table3[[#This Row],[Additional protection]],'TPI. Pa.'!$B$3:$C$52,2,0)</f>
        <v>5</v>
      </c>
      <c r="R62" s="43">
        <f>VLOOKUP(Table3[[#This Row],[Failure due to TPI]],'TPI. Pa.'!$B$3:$C$52,2,0)</f>
        <v>4</v>
      </c>
      <c r="S62" s="43">
        <f>VLOOKUP(Table3[[#This Row],[Activity Level]],'TPI. Pa.'!$B$3:$C$52,2,0)</f>
        <v>10</v>
      </c>
      <c r="T62" s="43">
        <f>VLOOKUP(Table3[[#This Row],[Patrol frequency]],'TPI. Pa.'!$B$3:$C$52,2,0)</f>
        <v>1</v>
      </c>
      <c r="U62" s="43">
        <f>VLOOKUP(Table3[[#This Row],[Proxutil]],'TPI. Pa.'!$B$3:$C$52,2,0)</f>
        <v>5</v>
      </c>
      <c r="V62" s="43">
        <f>VLOOKUP(Table3[[#This Row],[ROW]],'TPI. Pa.'!$B$3:$C$52,2,0)</f>
        <v>10</v>
      </c>
      <c r="W62" s="43">
        <f>VLOOKUP(Table3[[#This Row],[ROW condition]],'TPI. Pa.'!$B$3:$C$52,2,0)</f>
        <v>3</v>
      </c>
      <c r="X6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3" spans="1:24" hidden="1">
      <c r="A63" s="80">
        <v>1</v>
      </c>
      <c r="B63" s="81">
        <v>56051101</v>
      </c>
      <c r="C63" s="82" t="s">
        <v>576</v>
      </c>
      <c r="D63" s="19"/>
      <c r="E63" s="19"/>
      <c r="F63" s="19"/>
      <c r="G63" s="19" t="s">
        <v>179</v>
      </c>
      <c r="H63" s="19" t="s">
        <v>185</v>
      </c>
      <c r="I63" s="19" t="s">
        <v>168</v>
      </c>
      <c r="J63" s="19" t="s">
        <v>183</v>
      </c>
      <c r="K63" s="19" t="s">
        <v>26</v>
      </c>
      <c r="L63" s="19" t="s">
        <v>217</v>
      </c>
      <c r="M63" s="19" t="s">
        <v>222</v>
      </c>
      <c r="N63" s="19" t="s">
        <v>228</v>
      </c>
      <c r="O63" s="38"/>
      <c r="P63" s="43">
        <f>VLOOKUP(Table3[[#This Row],[Depth of cover]],'TPI. Pa.'!$B$3:$C$52,2,0)</f>
        <v>2</v>
      </c>
      <c r="Q63" s="43">
        <f>VLOOKUP(Table3[[#This Row],[Additional protection]],'TPI. Pa.'!$B$3:$C$52,2,0)</f>
        <v>5</v>
      </c>
      <c r="R63" s="43">
        <f>VLOOKUP(Table3[[#This Row],[Failure due to TPI]],'TPI. Pa.'!$B$3:$C$52,2,0)</f>
        <v>4</v>
      </c>
      <c r="S63" s="43">
        <f>VLOOKUP(Table3[[#This Row],[Activity Level]],'TPI. Pa.'!$B$3:$C$52,2,0)</f>
        <v>10</v>
      </c>
      <c r="T63" s="43">
        <f>VLOOKUP(Table3[[#This Row],[Patrol frequency]],'TPI. Pa.'!$B$3:$C$52,2,0)</f>
        <v>1</v>
      </c>
      <c r="U63" s="43">
        <f>VLOOKUP(Table3[[#This Row],[Proxutil]],'TPI. Pa.'!$B$3:$C$52,2,0)</f>
        <v>5</v>
      </c>
      <c r="V63" s="43">
        <f>VLOOKUP(Table3[[#This Row],[ROW]],'TPI. Pa.'!$B$3:$C$52,2,0)</f>
        <v>10</v>
      </c>
      <c r="W63" s="43">
        <f>VLOOKUP(Table3[[#This Row],[ROW condition]],'TPI. Pa.'!$B$3:$C$52,2,0)</f>
        <v>3</v>
      </c>
      <c r="X6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4" spans="1:24" hidden="1">
      <c r="A64" s="84">
        <v>2</v>
      </c>
      <c r="B64" s="81">
        <v>674</v>
      </c>
      <c r="C64" s="82" t="s">
        <v>249</v>
      </c>
      <c r="D64" s="19"/>
      <c r="E64" s="19"/>
      <c r="F64" s="19"/>
      <c r="G64" s="19" t="s">
        <v>179</v>
      </c>
      <c r="H64" s="19" t="s">
        <v>185</v>
      </c>
      <c r="I64" s="19" t="s">
        <v>168</v>
      </c>
      <c r="J64" s="19" t="s">
        <v>183</v>
      </c>
      <c r="K64" s="19" t="s">
        <v>26</v>
      </c>
      <c r="L64" s="19" t="s">
        <v>217</v>
      </c>
      <c r="M64" s="19" t="s">
        <v>222</v>
      </c>
      <c r="N64" s="19" t="s">
        <v>228</v>
      </c>
      <c r="O64" s="38"/>
      <c r="P64" s="43">
        <f>VLOOKUP(Table3[[#This Row],[Depth of cover]],'TPI. Pa.'!$B$3:$C$52,2,0)</f>
        <v>2</v>
      </c>
      <c r="Q64" s="43">
        <f>VLOOKUP(Table3[[#This Row],[Additional protection]],'TPI. Pa.'!$B$3:$C$52,2,0)</f>
        <v>5</v>
      </c>
      <c r="R64" s="43">
        <f>VLOOKUP(Table3[[#This Row],[Failure due to TPI]],'TPI. Pa.'!$B$3:$C$52,2,0)</f>
        <v>4</v>
      </c>
      <c r="S64" s="43">
        <f>VLOOKUP(Table3[[#This Row],[Activity Level]],'TPI. Pa.'!$B$3:$C$52,2,0)</f>
        <v>10</v>
      </c>
      <c r="T64" s="43">
        <f>VLOOKUP(Table3[[#This Row],[Patrol frequency]],'TPI. Pa.'!$B$3:$C$52,2,0)</f>
        <v>1</v>
      </c>
      <c r="U64" s="43">
        <f>VLOOKUP(Table3[[#This Row],[Proxutil]],'TPI. Pa.'!$B$3:$C$52,2,0)</f>
        <v>5</v>
      </c>
      <c r="V64" s="43">
        <f>VLOOKUP(Table3[[#This Row],[ROW]],'TPI. Pa.'!$B$3:$C$52,2,0)</f>
        <v>10</v>
      </c>
      <c r="W64" s="43">
        <f>VLOOKUP(Table3[[#This Row],[ROW condition]],'TPI. Pa.'!$B$3:$C$52,2,0)</f>
        <v>3</v>
      </c>
      <c r="X6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5" spans="1:24" hidden="1">
      <c r="A65" s="80">
        <v>2</v>
      </c>
      <c r="B65" s="81">
        <v>6611</v>
      </c>
      <c r="C65" s="82"/>
      <c r="D65" s="19"/>
      <c r="E65" s="19"/>
      <c r="F65" s="19"/>
      <c r="G65" s="19" t="s">
        <v>179</v>
      </c>
      <c r="H65" s="19" t="s">
        <v>185</v>
      </c>
      <c r="I65" s="19" t="s">
        <v>168</v>
      </c>
      <c r="J65" s="19" t="s">
        <v>183</v>
      </c>
      <c r="K65" s="19" t="s">
        <v>26</v>
      </c>
      <c r="L65" s="19" t="s">
        <v>217</v>
      </c>
      <c r="M65" s="19" t="s">
        <v>222</v>
      </c>
      <c r="N65" s="19" t="s">
        <v>228</v>
      </c>
      <c r="O65" s="38"/>
      <c r="P65" s="43">
        <f>VLOOKUP(Table3[[#This Row],[Depth of cover]],'TPI. Pa.'!$B$3:$C$52,2,0)</f>
        <v>2</v>
      </c>
      <c r="Q65" s="43">
        <f>VLOOKUP(Table3[[#This Row],[Additional protection]],'TPI. Pa.'!$B$3:$C$52,2,0)</f>
        <v>5</v>
      </c>
      <c r="R65" s="43">
        <f>VLOOKUP(Table3[[#This Row],[Failure due to TPI]],'TPI. Pa.'!$B$3:$C$52,2,0)</f>
        <v>4</v>
      </c>
      <c r="S65" s="43">
        <f>VLOOKUP(Table3[[#This Row],[Activity Level]],'TPI. Pa.'!$B$3:$C$52,2,0)</f>
        <v>10</v>
      </c>
      <c r="T65" s="43">
        <f>VLOOKUP(Table3[[#This Row],[Patrol frequency]],'TPI. Pa.'!$B$3:$C$52,2,0)</f>
        <v>1</v>
      </c>
      <c r="U65" s="43">
        <f>VLOOKUP(Table3[[#This Row],[Proxutil]],'TPI. Pa.'!$B$3:$C$52,2,0)</f>
        <v>5</v>
      </c>
      <c r="V65" s="43">
        <f>VLOOKUP(Table3[[#This Row],[ROW]],'TPI. Pa.'!$B$3:$C$52,2,0)</f>
        <v>10</v>
      </c>
      <c r="W65" s="43">
        <f>VLOOKUP(Table3[[#This Row],[ROW condition]],'TPI. Pa.'!$B$3:$C$52,2,0)</f>
        <v>3</v>
      </c>
      <c r="X6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6" spans="1:24" hidden="1">
      <c r="A66" s="80">
        <v>2</v>
      </c>
      <c r="B66" s="81">
        <v>661301</v>
      </c>
      <c r="C66" s="82" t="s">
        <v>617</v>
      </c>
      <c r="D66" s="19"/>
      <c r="E66" s="19"/>
      <c r="F66" s="19"/>
      <c r="G66" s="19" t="s">
        <v>179</v>
      </c>
      <c r="H66" s="19" t="s">
        <v>185</v>
      </c>
      <c r="I66" s="19" t="s">
        <v>168</v>
      </c>
      <c r="J66" s="19" t="s">
        <v>183</v>
      </c>
      <c r="K66" s="19" t="s">
        <v>26</v>
      </c>
      <c r="L66" s="19" t="s">
        <v>217</v>
      </c>
      <c r="M66" s="19" t="s">
        <v>222</v>
      </c>
      <c r="N66" s="19" t="s">
        <v>228</v>
      </c>
      <c r="O66" s="38"/>
      <c r="P66" s="43">
        <f>VLOOKUP(Table3[[#This Row],[Depth of cover]],'TPI. Pa.'!$B$3:$C$52,2,0)</f>
        <v>2</v>
      </c>
      <c r="Q66" s="43">
        <f>VLOOKUP(Table3[[#This Row],[Additional protection]],'TPI. Pa.'!$B$3:$C$52,2,0)</f>
        <v>5</v>
      </c>
      <c r="R66" s="43">
        <f>VLOOKUP(Table3[[#This Row],[Failure due to TPI]],'TPI. Pa.'!$B$3:$C$52,2,0)</f>
        <v>4</v>
      </c>
      <c r="S66" s="43">
        <f>VLOOKUP(Table3[[#This Row],[Activity Level]],'TPI. Pa.'!$B$3:$C$52,2,0)</f>
        <v>10</v>
      </c>
      <c r="T66" s="43">
        <f>VLOOKUP(Table3[[#This Row],[Patrol frequency]],'TPI. Pa.'!$B$3:$C$52,2,0)</f>
        <v>1</v>
      </c>
      <c r="U66" s="43">
        <f>VLOOKUP(Table3[[#This Row],[Proxutil]],'TPI. Pa.'!$B$3:$C$52,2,0)</f>
        <v>5</v>
      </c>
      <c r="V66" s="43">
        <f>VLOOKUP(Table3[[#This Row],[ROW]],'TPI. Pa.'!$B$3:$C$52,2,0)</f>
        <v>10</v>
      </c>
      <c r="W66" s="43">
        <f>VLOOKUP(Table3[[#This Row],[ROW condition]],'TPI. Pa.'!$B$3:$C$52,2,0)</f>
        <v>3</v>
      </c>
      <c r="X6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7" spans="1:24" hidden="1">
      <c r="A67" s="80">
        <v>2</v>
      </c>
      <c r="B67" s="81">
        <v>6614</v>
      </c>
      <c r="C67" s="82"/>
      <c r="D67" s="19"/>
      <c r="E67" s="19"/>
      <c r="F67" s="19"/>
      <c r="G67" s="19" t="s">
        <v>179</v>
      </c>
      <c r="H67" s="19" t="s">
        <v>185</v>
      </c>
      <c r="I67" s="19" t="s">
        <v>168</v>
      </c>
      <c r="J67" s="19" t="s">
        <v>183</v>
      </c>
      <c r="K67" s="19" t="s">
        <v>26</v>
      </c>
      <c r="L67" s="19" t="s">
        <v>217</v>
      </c>
      <c r="M67" s="19" t="s">
        <v>222</v>
      </c>
      <c r="N67" s="19" t="s">
        <v>228</v>
      </c>
      <c r="O67" s="38"/>
      <c r="P67" s="43">
        <f>VLOOKUP(Table3[[#This Row],[Depth of cover]],'TPI. Pa.'!$B$3:$C$52,2,0)</f>
        <v>2</v>
      </c>
      <c r="Q67" s="43">
        <f>VLOOKUP(Table3[[#This Row],[Additional protection]],'TPI. Pa.'!$B$3:$C$52,2,0)</f>
        <v>5</v>
      </c>
      <c r="R67" s="43">
        <f>VLOOKUP(Table3[[#This Row],[Failure due to TPI]],'TPI. Pa.'!$B$3:$C$52,2,0)</f>
        <v>4</v>
      </c>
      <c r="S67" s="43">
        <f>VLOOKUP(Table3[[#This Row],[Activity Level]],'TPI. Pa.'!$B$3:$C$52,2,0)</f>
        <v>10</v>
      </c>
      <c r="T67" s="43">
        <f>VLOOKUP(Table3[[#This Row],[Patrol frequency]],'TPI. Pa.'!$B$3:$C$52,2,0)</f>
        <v>1</v>
      </c>
      <c r="U67" s="43">
        <f>VLOOKUP(Table3[[#This Row],[Proxutil]],'TPI. Pa.'!$B$3:$C$52,2,0)</f>
        <v>5</v>
      </c>
      <c r="V67" s="43">
        <f>VLOOKUP(Table3[[#This Row],[ROW]],'TPI. Pa.'!$B$3:$C$52,2,0)</f>
        <v>10</v>
      </c>
      <c r="W67" s="43">
        <f>VLOOKUP(Table3[[#This Row],[ROW condition]],'TPI. Pa.'!$B$3:$C$52,2,0)</f>
        <v>3</v>
      </c>
      <c r="X6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68" spans="1:24" hidden="1">
      <c r="A68" s="84">
        <v>2</v>
      </c>
      <c r="B68" s="81">
        <v>6731</v>
      </c>
      <c r="C68" s="82" t="s">
        <v>251</v>
      </c>
      <c r="D68" s="19"/>
      <c r="E68" s="19"/>
      <c r="F68" s="19"/>
      <c r="G68" s="19" t="s">
        <v>179</v>
      </c>
      <c r="H68" s="19" t="s">
        <v>185</v>
      </c>
      <c r="I68" s="19" t="s">
        <v>168</v>
      </c>
      <c r="J68" s="19" t="s">
        <v>191</v>
      </c>
      <c r="K68" s="19" t="s">
        <v>26</v>
      </c>
      <c r="L68" s="19" t="s">
        <v>217</v>
      </c>
      <c r="M68" s="19" t="s">
        <v>222</v>
      </c>
      <c r="N68" s="19" t="s">
        <v>228</v>
      </c>
      <c r="O68" s="38"/>
      <c r="P68" s="43">
        <f>VLOOKUP(Table3[[#This Row],[Depth of cover]],'TPI. Pa.'!$B$3:$C$52,2,0)</f>
        <v>2</v>
      </c>
      <c r="Q68" s="43">
        <f>VLOOKUP(Table3[[#This Row],[Additional protection]],'TPI. Pa.'!$B$3:$C$52,2,0)</f>
        <v>5</v>
      </c>
      <c r="R68" s="43">
        <f>VLOOKUP(Table3[[#This Row],[Failure due to TPI]],'TPI. Pa.'!$B$3:$C$52,2,0)</f>
        <v>4</v>
      </c>
      <c r="S68" s="43">
        <f>VLOOKUP(Table3[[#This Row],[Activity Level]],'TPI. Pa.'!$B$3:$C$52,2,0)</f>
        <v>3</v>
      </c>
      <c r="T68" s="43">
        <f>VLOOKUP(Table3[[#This Row],[Patrol frequency]],'TPI. Pa.'!$B$3:$C$52,2,0)</f>
        <v>1</v>
      </c>
      <c r="U68" s="43">
        <f>VLOOKUP(Table3[[#This Row],[Proxutil]],'TPI. Pa.'!$B$3:$C$52,2,0)</f>
        <v>5</v>
      </c>
      <c r="V68" s="43">
        <f>VLOOKUP(Table3[[#This Row],[ROW]],'TPI. Pa.'!$B$3:$C$52,2,0)</f>
        <v>10</v>
      </c>
      <c r="W68" s="43">
        <f>VLOOKUP(Table3[[#This Row],[ROW condition]],'TPI. Pa.'!$B$3:$C$52,2,0)</f>
        <v>3</v>
      </c>
      <c r="X6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69" spans="1:24" hidden="1">
      <c r="A69" s="84">
        <v>2</v>
      </c>
      <c r="B69" s="81">
        <v>6732</v>
      </c>
      <c r="C69" s="82" t="s">
        <v>252</v>
      </c>
      <c r="D69" s="19"/>
      <c r="E69" s="19"/>
      <c r="F69" s="19"/>
      <c r="G69" s="19" t="s">
        <v>179</v>
      </c>
      <c r="H69" s="19" t="s">
        <v>185</v>
      </c>
      <c r="I69" s="19" t="s">
        <v>168</v>
      </c>
      <c r="J69" s="19" t="s">
        <v>183</v>
      </c>
      <c r="K69" s="19" t="s">
        <v>26</v>
      </c>
      <c r="L69" s="19" t="s">
        <v>217</v>
      </c>
      <c r="M69" s="19" t="s">
        <v>222</v>
      </c>
      <c r="N69" s="19" t="s">
        <v>228</v>
      </c>
      <c r="O69" s="38"/>
      <c r="P69" s="43">
        <f>VLOOKUP(Table3[[#This Row],[Depth of cover]],'TPI. Pa.'!$B$3:$C$52,2,0)</f>
        <v>2</v>
      </c>
      <c r="Q69" s="43">
        <f>VLOOKUP(Table3[[#This Row],[Additional protection]],'TPI. Pa.'!$B$3:$C$52,2,0)</f>
        <v>5</v>
      </c>
      <c r="R69" s="43">
        <f>VLOOKUP(Table3[[#This Row],[Failure due to TPI]],'TPI. Pa.'!$B$3:$C$52,2,0)</f>
        <v>4</v>
      </c>
      <c r="S69" s="43">
        <f>VLOOKUP(Table3[[#This Row],[Activity Level]],'TPI. Pa.'!$B$3:$C$52,2,0)</f>
        <v>10</v>
      </c>
      <c r="T69" s="43">
        <f>VLOOKUP(Table3[[#This Row],[Patrol frequency]],'TPI. Pa.'!$B$3:$C$52,2,0)</f>
        <v>1</v>
      </c>
      <c r="U69" s="43">
        <f>VLOOKUP(Table3[[#This Row],[Proxutil]],'TPI. Pa.'!$B$3:$C$52,2,0)</f>
        <v>5</v>
      </c>
      <c r="V69" s="43">
        <f>VLOOKUP(Table3[[#This Row],[ROW]],'TPI. Pa.'!$B$3:$C$52,2,0)</f>
        <v>10</v>
      </c>
      <c r="W69" s="43">
        <f>VLOOKUP(Table3[[#This Row],[ROW condition]],'TPI. Pa.'!$B$3:$C$52,2,0)</f>
        <v>3</v>
      </c>
      <c r="X6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0" spans="1:24" hidden="1">
      <c r="A70" s="84">
        <v>2</v>
      </c>
      <c r="B70" s="81">
        <v>6734</v>
      </c>
      <c r="C70" s="82" t="s">
        <v>253</v>
      </c>
      <c r="D70" s="19"/>
      <c r="E70" s="19"/>
      <c r="F70" s="19"/>
      <c r="G70" s="19" t="s">
        <v>179</v>
      </c>
      <c r="H70" s="19" t="s">
        <v>185</v>
      </c>
      <c r="I70" s="19" t="s">
        <v>168</v>
      </c>
      <c r="J70" s="19" t="s">
        <v>183</v>
      </c>
      <c r="K70" s="19" t="s">
        <v>26</v>
      </c>
      <c r="L70" s="19" t="s">
        <v>217</v>
      </c>
      <c r="M70" s="19" t="s">
        <v>222</v>
      </c>
      <c r="N70" s="19" t="s">
        <v>228</v>
      </c>
      <c r="O70" s="38"/>
      <c r="P70" s="43">
        <f>VLOOKUP(Table3[[#This Row],[Depth of cover]],'TPI. Pa.'!$B$3:$C$52,2,0)</f>
        <v>2</v>
      </c>
      <c r="Q70" s="43">
        <f>VLOOKUP(Table3[[#This Row],[Additional protection]],'TPI. Pa.'!$B$3:$C$52,2,0)</f>
        <v>5</v>
      </c>
      <c r="R70" s="43">
        <f>VLOOKUP(Table3[[#This Row],[Failure due to TPI]],'TPI. Pa.'!$B$3:$C$52,2,0)</f>
        <v>4</v>
      </c>
      <c r="S70" s="43">
        <f>VLOOKUP(Table3[[#This Row],[Activity Level]],'TPI. Pa.'!$B$3:$C$52,2,0)</f>
        <v>10</v>
      </c>
      <c r="T70" s="43">
        <f>VLOOKUP(Table3[[#This Row],[Patrol frequency]],'TPI. Pa.'!$B$3:$C$52,2,0)</f>
        <v>1</v>
      </c>
      <c r="U70" s="43">
        <f>VLOOKUP(Table3[[#This Row],[Proxutil]],'TPI. Pa.'!$B$3:$C$52,2,0)</f>
        <v>5</v>
      </c>
      <c r="V70" s="43">
        <f>VLOOKUP(Table3[[#This Row],[ROW]],'TPI. Pa.'!$B$3:$C$52,2,0)</f>
        <v>10</v>
      </c>
      <c r="W70" s="43">
        <f>VLOOKUP(Table3[[#This Row],[ROW condition]],'TPI. Pa.'!$B$3:$C$52,2,0)</f>
        <v>3</v>
      </c>
      <c r="X7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1" spans="1:24" hidden="1">
      <c r="A71" s="80">
        <v>2</v>
      </c>
      <c r="B71" s="81">
        <v>63601</v>
      </c>
      <c r="C71" s="82"/>
      <c r="D71" s="19"/>
      <c r="E71" s="19"/>
      <c r="F71" s="19"/>
      <c r="G71" s="19" t="s">
        <v>179</v>
      </c>
      <c r="H71" s="19" t="s">
        <v>185</v>
      </c>
      <c r="I71" s="19" t="s">
        <v>168</v>
      </c>
      <c r="J71" s="19" t="s">
        <v>183</v>
      </c>
      <c r="K71" s="19" t="s">
        <v>26</v>
      </c>
      <c r="L71" s="19" t="s">
        <v>217</v>
      </c>
      <c r="M71" s="19" t="s">
        <v>222</v>
      </c>
      <c r="N71" s="19" t="s">
        <v>228</v>
      </c>
      <c r="O71" s="38"/>
      <c r="P71" s="43">
        <f>VLOOKUP(Table3[[#This Row],[Depth of cover]],'TPI. Pa.'!$B$3:$C$52,2,0)</f>
        <v>2</v>
      </c>
      <c r="Q71" s="43">
        <f>VLOOKUP(Table3[[#This Row],[Additional protection]],'TPI. Pa.'!$B$3:$C$52,2,0)</f>
        <v>5</v>
      </c>
      <c r="R71" s="43">
        <f>VLOOKUP(Table3[[#This Row],[Failure due to TPI]],'TPI. Pa.'!$B$3:$C$52,2,0)</f>
        <v>4</v>
      </c>
      <c r="S71" s="43">
        <f>VLOOKUP(Table3[[#This Row],[Activity Level]],'TPI. Pa.'!$B$3:$C$52,2,0)</f>
        <v>10</v>
      </c>
      <c r="T71" s="43">
        <f>VLOOKUP(Table3[[#This Row],[Patrol frequency]],'TPI. Pa.'!$B$3:$C$52,2,0)</f>
        <v>1</v>
      </c>
      <c r="U71" s="43">
        <f>VLOOKUP(Table3[[#This Row],[Proxutil]],'TPI. Pa.'!$B$3:$C$52,2,0)</f>
        <v>5</v>
      </c>
      <c r="V71" s="43">
        <f>VLOOKUP(Table3[[#This Row],[ROW]],'TPI. Pa.'!$B$3:$C$52,2,0)</f>
        <v>10</v>
      </c>
      <c r="W71" s="43">
        <f>VLOOKUP(Table3[[#This Row],[ROW condition]],'TPI. Pa.'!$B$3:$C$52,2,0)</f>
        <v>3</v>
      </c>
      <c r="X7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2" spans="1:24" hidden="1">
      <c r="A72" s="84">
        <v>2</v>
      </c>
      <c r="B72" s="81">
        <v>63602</v>
      </c>
      <c r="C72" s="82" t="s">
        <v>254</v>
      </c>
      <c r="D72" s="19"/>
      <c r="E72" s="19"/>
      <c r="F72" s="19"/>
      <c r="G72" s="19" t="s">
        <v>179</v>
      </c>
      <c r="H72" s="19" t="s">
        <v>185</v>
      </c>
      <c r="I72" s="19" t="s">
        <v>168</v>
      </c>
      <c r="J72" s="19" t="s">
        <v>183</v>
      </c>
      <c r="K72" s="19" t="s">
        <v>26</v>
      </c>
      <c r="L72" s="19" t="s">
        <v>217</v>
      </c>
      <c r="M72" s="19" t="s">
        <v>222</v>
      </c>
      <c r="N72" s="19" t="s">
        <v>228</v>
      </c>
      <c r="O72" s="38"/>
      <c r="P72" s="43">
        <f>VLOOKUP(Table3[[#This Row],[Depth of cover]],'TPI. Pa.'!$B$3:$C$52,2,0)</f>
        <v>2</v>
      </c>
      <c r="Q72" s="43">
        <f>VLOOKUP(Table3[[#This Row],[Additional protection]],'TPI. Pa.'!$B$3:$C$52,2,0)</f>
        <v>5</v>
      </c>
      <c r="R72" s="43">
        <f>VLOOKUP(Table3[[#This Row],[Failure due to TPI]],'TPI. Pa.'!$B$3:$C$52,2,0)</f>
        <v>4</v>
      </c>
      <c r="S72" s="43">
        <f>VLOOKUP(Table3[[#This Row],[Activity Level]],'TPI. Pa.'!$B$3:$C$52,2,0)</f>
        <v>10</v>
      </c>
      <c r="T72" s="43">
        <f>VLOOKUP(Table3[[#This Row],[Patrol frequency]],'TPI. Pa.'!$B$3:$C$52,2,0)</f>
        <v>1</v>
      </c>
      <c r="U72" s="43">
        <f>VLOOKUP(Table3[[#This Row],[Proxutil]],'TPI. Pa.'!$B$3:$C$52,2,0)</f>
        <v>5</v>
      </c>
      <c r="V72" s="43">
        <f>VLOOKUP(Table3[[#This Row],[ROW]],'TPI. Pa.'!$B$3:$C$52,2,0)</f>
        <v>10</v>
      </c>
      <c r="W72" s="43">
        <f>VLOOKUP(Table3[[#This Row],[ROW condition]],'TPI. Pa.'!$B$3:$C$52,2,0)</f>
        <v>3</v>
      </c>
      <c r="X7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3" spans="1:24" hidden="1">
      <c r="A73" s="84">
        <v>2</v>
      </c>
      <c r="B73" s="81">
        <v>65820</v>
      </c>
      <c r="C73" s="82" t="s">
        <v>255</v>
      </c>
      <c r="D73" s="19"/>
      <c r="E73" s="19"/>
      <c r="F73" s="19"/>
      <c r="G73" s="19" t="s">
        <v>179</v>
      </c>
      <c r="H73" s="19" t="s">
        <v>185</v>
      </c>
      <c r="I73" s="19" t="s">
        <v>168</v>
      </c>
      <c r="J73" s="19" t="s">
        <v>183</v>
      </c>
      <c r="K73" s="19" t="s">
        <v>26</v>
      </c>
      <c r="L73" s="19" t="s">
        <v>217</v>
      </c>
      <c r="M73" s="19" t="s">
        <v>222</v>
      </c>
      <c r="N73" s="19" t="s">
        <v>228</v>
      </c>
      <c r="O73" s="38"/>
      <c r="P73" s="43">
        <f>VLOOKUP(Table3[[#This Row],[Depth of cover]],'TPI. Pa.'!$B$3:$C$52,2,0)</f>
        <v>2</v>
      </c>
      <c r="Q73" s="43">
        <f>VLOOKUP(Table3[[#This Row],[Additional protection]],'TPI. Pa.'!$B$3:$C$52,2,0)</f>
        <v>5</v>
      </c>
      <c r="R73" s="43">
        <f>VLOOKUP(Table3[[#This Row],[Failure due to TPI]],'TPI. Pa.'!$B$3:$C$52,2,0)</f>
        <v>4</v>
      </c>
      <c r="S73" s="43">
        <f>VLOOKUP(Table3[[#This Row],[Activity Level]],'TPI. Pa.'!$B$3:$C$52,2,0)</f>
        <v>10</v>
      </c>
      <c r="T73" s="43">
        <f>VLOOKUP(Table3[[#This Row],[Patrol frequency]],'TPI. Pa.'!$B$3:$C$52,2,0)</f>
        <v>1</v>
      </c>
      <c r="U73" s="43">
        <f>VLOOKUP(Table3[[#This Row],[Proxutil]],'TPI. Pa.'!$B$3:$C$52,2,0)</f>
        <v>5</v>
      </c>
      <c r="V73" s="43">
        <f>VLOOKUP(Table3[[#This Row],[ROW]],'TPI. Pa.'!$B$3:$C$52,2,0)</f>
        <v>10</v>
      </c>
      <c r="W73" s="43">
        <f>VLOOKUP(Table3[[#This Row],[ROW condition]],'TPI. Pa.'!$B$3:$C$52,2,0)</f>
        <v>3</v>
      </c>
      <c r="X7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4" spans="1:24" hidden="1">
      <c r="A74" s="84">
        <v>2</v>
      </c>
      <c r="B74" s="81">
        <v>66111</v>
      </c>
      <c r="C74" s="82" t="s">
        <v>256</v>
      </c>
      <c r="D74" s="19"/>
      <c r="E74" s="19"/>
      <c r="F74" s="19"/>
      <c r="G74" s="19" t="s">
        <v>179</v>
      </c>
      <c r="H74" s="19" t="s">
        <v>185</v>
      </c>
      <c r="I74" s="19" t="s">
        <v>168</v>
      </c>
      <c r="J74" s="19" t="s">
        <v>183</v>
      </c>
      <c r="K74" s="19" t="s">
        <v>26</v>
      </c>
      <c r="L74" s="19" t="s">
        <v>217</v>
      </c>
      <c r="M74" s="19" t="s">
        <v>222</v>
      </c>
      <c r="N74" s="19" t="s">
        <v>228</v>
      </c>
      <c r="O74" s="38"/>
      <c r="P74" s="43">
        <f>VLOOKUP(Table3[[#This Row],[Depth of cover]],'TPI. Pa.'!$B$3:$C$52,2,0)</f>
        <v>2</v>
      </c>
      <c r="Q74" s="43">
        <f>VLOOKUP(Table3[[#This Row],[Additional protection]],'TPI. Pa.'!$B$3:$C$52,2,0)</f>
        <v>5</v>
      </c>
      <c r="R74" s="43">
        <f>VLOOKUP(Table3[[#This Row],[Failure due to TPI]],'TPI. Pa.'!$B$3:$C$52,2,0)</f>
        <v>4</v>
      </c>
      <c r="S74" s="43">
        <f>VLOOKUP(Table3[[#This Row],[Activity Level]],'TPI. Pa.'!$B$3:$C$52,2,0)</f>
        <v>10</v>
      </c>
      <c r="T74" s="43">
        <f>VLOOKUP(Table3[[#This Row],[Patrol frequency]],'TPI. Pa.'!$B$3:$C$52,2,0)</f>
        <v>1</v>
      </c>
      <c r="U74" s="43">
        <f>VLOOKUP(Table3[[#This Row],[Proxutil]],'TPI. Pa.'!$B$3:$C$52,2,0)</f>
        <v>5</v>
      </c>
      <c r="V74" s="43">
        <f>VLOOKUP(Table3[[#This Row],[ROW]],'TPI. Pa.'!$B$3:$C$52,2,0)</f>
        <v>10</v>
      </c>
      <c r="W74" s="43">
        <f>VLOOKUP(Table3[[#This Row],[ROW condition]],'TPI. Pa.'!$B$3:$C$52,2,0)</f>
        <v>3</v>
      </c>
      <c r="X7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5" spans="1:24" hidden="1">
      <c r="A75" s="80">
        <v>2</v>
      </c>
      <c r="B75" s="81">
        <v>6611102</v>
      </c>
      <c r="C75" s="82"/>
      <c r="D75" s="19"/>
      <c r="E75" s="19"/>
      <c r="F75" s="19"/>
      <c r="G75" s="19" t="s">
        <v>179</v>
      </c>
      <c r="H75" s="19" t="s">
        <v>185</v>
      </c>
      <c r="I75" s="19" t="s">
        <v>168</v>
      </c>
      <c r="J75" s="19" t="s">
        <v>183</v>
      </c>
      <c r="K75" s="19" t="s">
        <v>26</v>
      </c>
      <c r="L75" s="19" t="s">
        <v>217</v>
      </c>
      <c r="M75" s="19" t="s">
        <v>222</v>
      </c>
      <c r="N75" s="19" t="s">
        <v>228</v>
      </c>
      <c r="O75" s="38"/>
      <c r="P75" s="43">
        <f>VLOOKUP(Table3[[#This Row],[Depth of cover]],'TPI. Pa.'!$B$3:$C$52,2,0)</f>
        <v>2</v>
      </c>
      <c r="Q75" s="43">
        <f>VLOOKUP(Table3[[#This Row],[Additional protection]],'TPI. Pa.'!$B$3:$C$52,2,0)</f>
        <v>5</v>
      </c>
      <c r="R75" s="43">
        <f>VLOOKUP(Table3[[#This Row],[Failure due to TPI]],'TPI. Pa.'!$B$3:$C$52,2,0)</f>
        <v>4</v>
      </c>
      <c r="S75" s="43">
        <f>VLOOKUP(Table3[[#This Row],[Activity Level]],'TPI. Pa.'!$B$3:$C$52,2,0)</f>
        <v>10</v>
      </c>
      <c r="T75" s="43">
        <f>VLOOKUP(Table3[[#This Row],[Patrol frequency]],'TPI. Pa.'!$B$3:$C$52,2,0)</f>
        <v>1</v>
      </c>
      <c r="U75" s="43">
        <f>VLOOKUP(Table3[[#This Row],[Proxutil]],'TPI. Pa.'!$B$3:$C$52,2,0)</f>
        <v>5</v>
      </c>
      <c r="V75" s="43">
        <f>VLOOKUP(Table3[[#This Row],[ROW]],'TPI. Pa.'!$B$3:$C$52,2,0)</f>
        <v>10</v>
      </c>
      <c r="W75" s="43">
        <f>VLOOKUP(Table3[[#This Row],[ROW condition]],'TPI. Pa.'!$B$3:$C$52,2,0)</f>
        <v>3</v>
      </c>
      <c r="X7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6" spans="1:24" hidden="1">
      <c r="A76" s="80">
        <v>2</v>
      </c>
      <c r="B76" s="81">
        <v>661110201</v>
      </c>
      <c r="C76" s="82" t="s">
        <v>711</v>
      </c>
      <c r="D76" s="19"/>
      <c r="E76" s="19"/>
      <c r="F76" s="19"/>
      <c r="G76" s="19" t="s">
        <v>179</v>
      </c>
      <c r="H76" s="19" t="s">
        <v>185</v>
      </c>
      <c r="I76" s="19" t="s">
        <v>168</v>
      </c>
      <c r="J76" s="19" t="s">
        <v>183</v>
      </c>
      <c r="K76" s="19" t="s">
        <v>26</v>
      </c>
      <c r="L76" s="19" t="s">
        <v>217</v>
      </c>
      <c r="M76" s="19" t="s">
        <v>222</v>
      </c>
      <c r="N76" s="19" t="s">
        <v>228</v>
      </c>
      <c r="O76" s="38"/>
      <c r="P76" s="43">
        <f>VLOOKUP(Table3[[#This Row],[Depth of cover]],'TPI. Pa.'!$B$3:$C$52,2,0)</f>
        <v>2</v>
      </c>
      <c r="Q76" s="43">
        <f>VLOOKUP(Table3[[#This Row],[Additional protection]],'TPI. Pa.'!$B$3:$C$52,2,0)</f>
        <v>5</v>
      </c>
      <c r="R76" s="43">
        <f>VLOOKUP(Table3[[#This Row],[Failure due to TPI]],'TPI. Pa.'!$B$3:$C$52,2,0)</f>
        <v>4</v>
      </c>
      <c r="S76" s="43">
        <f>VLOOKUP(Table3[[#This Row],[Activity Level]],'TPI. Pa.'!$B$3:$C$52,2,0)</f>
        <v>10</v>
      </c>
      <c r="T76" s="43">
        <f>VLOOKUP(Table3[[#This Row],[Patrol frequency]],'TPI. Pa.'!$B$3:$C$52,2,0)</f>
        <v>1</v>
      </c>
      <c r="U76" s="43">
        <f>VLOOKUP(Table3[[#This Row],[Proxutil]],'TPI. Pa.'!$B$3:$C$52,2,0)</f>
        <v>5</v>
      </c>
      <c r="V76" s="43">
        <f>VLOOKUP(Table3[[#This Row],[ROW]],'TPI. Pa.'!$B$3:$C$52,2,0)</f>
        <v>10</v>
      </c>
      <c r="W76" s="43">
        <f>VLOOKUP(Table3[[#This Row],[ROW condition]],'TPI. Pa.'!$B$3:$C$52,2,0)</f>
        <v>3</v>
      </c>
      <c r="X7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7" spans="1:24" hidden="1">
      <c r="A77" s="80">
        <v>2</v>
      </c>
      <c r="B77" s="81">
        <v>661110202</v>
      </c>
      <c r="C77" s="82"/>
      <c r="D77" s="19"/>
      <c r="E77" s="19"/>
      <c r="F77" s="19"/>
      <c r="G77" s="19" t="s">
        <v>179</v>
      </c>
      <c r="H77" s="19" t="s">
        <v>185</v>
      </c>
      <c r="I77" s="19" t="s">
        <v>168</v>
      </c>
      <c r="J77" s="19" t="s">
        <v>183</v>
      </c>
      <c r="K77" s="19" t="s">
        <v>26</v>
      </c>
      <c r="L77" s="19" t="s">
        <v>217</v>
      </c>
      <c r="M77" s="19" t="s">
        <v>222</v>
      </c>
      <c r="N77" s="19" t="s">
        <v>228</v>
      </c>
      <c r="O77" s="38"/>
      <c r="P77" s="43">
        <f>VLOOKUP(Table3[[#This Row],[Depth of cover]],'TPI. Pa.'!$B$3:$C$52,2,0)</f>
        <v>2</v>
      </c>
      <c r="Q77" s="43">
        <f>VLOOKUP(Table3[[#This Row],[Additional protection]],'TPI. Pa.'!$B$3:$C$52,2,0)</f>
        <v>5</v>
      </c>
      <c r="R77" s="43">
        <f>VLOOKUP(Table3[[#This Row],[Failure due to TPI]],'TPI. Pa.'!$B$3:$C$52,2,0)</f>
        <v>4</v>
      </c>
      <c r="S77" s="43">
        <f>VLOOKUP(Table3[[#This Row],[Activity Level]],'TPI. Pa.'!$B$3:$C$52,2,0)</f>
        <v>10</v>
      </c>
      <c r="T77" s="43">
        <f>VLOOKUP(Table3[[#This Row],[Patrol frequency]],'TPI. Pa.'!$B$3:$C$52,2,0)</f>
        <v>1</v>
      </c>
      <c r="U77" s="43">
        <f>VLOOKUP(Table3[[#This Row],[Proxutil]],'TPI. Pa.'!$B$3:$C$52,2,0)</f>
        <v>5</v>
      </c>
      <c r="V77" s="43">
        <f>VLOOKUP(Table3[[#This Row],[ROW]],'TPI. Pa.'!$B$3:$C$52,2,0)</f>
        <v>10</v>
      </c>
      <c r="W77" s="43">
        <f>VLOOKUP(Table3[[#This Row],[ROW condition]],'TPI. Pa.'!$B$3:$C$52,2,0)</f>
        <v>3</v>
      </c>
      <c r="X7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8" spans="1:24" hidden="1">
      <c r="A78" s="80">
        <v>2</v>
      </c>
      <c r="B78" s="81">
        <v>661110203</v>
      </c>
      <c r="C78" s="82"/>
      <c r="D78" s="19"/>
      <c r="E78" s="19"/>
      <c r="F78" s="19"/>
      <c r="G78" s="19" t="s">
        <v>179</v>
      </c>
      <c r="H78" s="19" t="s">
        <v>185</v>
      </c>
      <c r="I78" s="19" t="s">
        <v>168</v>
      </c>
      <c r="J78" s="19" t="s">
        <v>183</v>
      </c>
      <c r="K78" s="19" t="s">
        <v>26</v>
      </c>
      <c r="L78" s="19" t="s">
        <v>217</v>
      </c>
      <c r="M78" s="19" t="s">
        <v>222</v>
      </c>
      <c r="N78" s="19" t="s">
        <v>228</v>
      </c>
      <c r="O78" s="38"/>
      <c r="P78" s="43">
        <f>VLOOKUP(Table3[[#This Row],[Depth of cover]],'TPI. Pa.'!$B$3:$C$52,2,0)</f>
        <v>2</v>
      </c>
      <c r="Q78" s="43">
        <f>VLOOKUP(Table3[[#This Row],[Additional protection]],'TPI. Pa.'!$B$3:$C$52,2,0)</f>
        <v>5</v>
      </c>
      <c r="R78" s="43">
        <f>VLOOKUP(Table3[[#This Row],[Failure due to TPI]],'TPI. Pa.'!$B$3:$C$52,2,0)</f>
        <v>4</v>
      </c>
      <c r="S78" s="43">
        <f>VLOOKUP(Table3[[#This Row],[Activity Level]],'TPI. Pa.'!$B$3:$C$52,2,0)</f>
        <v>10</v>
      </c>
      <c r="T78" s="43">
        <f>VLOOKUP(Table3[[#This Row],[Patrol frequency]],'TPI. Pa.'!$B$3:$C$52,2,0)</f>
        <v>1</v>
      </c>
      <c r="U78" s="43">
        <f>VLOOKUP(Table3[[#This Row],[Proxutil]],'TPI. Pa.'!$B$3:$C$52,2,0)</f>
        <v>5</v>
      </c>
      <c r="V78" s="43">
        <f>VLOOKUP(Table3[[#This Row],[ROW]],'TPI. Pa.'!$B$3:$C$52,2,0)</f>
        <v>10</v>
      </c>
      <c r="W78" s="43">
        <f>VLOOKUP(Table3[[#This Row],[ROW condition]],'TPI. Pa.'!$B$3:$C$52,2,0)</f>
        <v>3</v>
      </c>
      <c r="X7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79" spans="1:24" hidden="1">
      <c r="A79" s="84">
        <v>2</v>
      </c>
      <c r="B79" s="81">
        <v>66112</v>
      </c>
      <c r="C79" s="82" t="s">
        <v>257</v>
      </c>
      <c r="D79" s="19"/>
      <c r="E79" s="19"/>
      <c r="F79" s="19"/>
      <c r="G79" s="19" t="s">
        <v>179</v>
      </c>
      <c r="H79" s="19" t="s">
        <v>185</v>
      </c>
      <c r="I79" s="19" t="s">
        <v>168</v>
      </c>
      <c r="J79" s="19" t="s">
        <v>183</v>
      </c>
      <c r="K79" s="19" t="s">
        <v>26</v>
      </c>
      <c r="L79" s="19" t="s">
        <v>217</v>
      </c>
      <c r="M79" s="19" t="s">
        <v>222</v>
      </c>
      <c r="N79" s="19" t="s">
        <v>228</v>
      </c>
      <c r="O79" s="38"/>
      <c r="P79" s="43">
        <f>VLOOKUP(Table3[[#This Row],[Depth of cover]],'TPI. Pa.'!$B$3:$C$52,2,0)</f>
        <v>2</v>
      </c>
      <c r="Q79" s="43">
        <f>VLOOKUP(Table3[[#This Row],[Additional protection]],'TPI. Pa.'!$B$3:$C$52,2,0)</f>
        <v>5</v>
      </c>
      <c r="R79" s="43">
        <f>VLOOKUP(Table3[[#This Row],[Failure due to TPI]],'TPI. Pa.'!$B$3:$C$52,2,0)</f>
        <v>4</v>
      </c>
      <c r="S79" s="43">
        <f>VLOOKUP(Table3[[#This Row],[Activity Level]],'TPI. Pa.'!$B$3:$C$52,2,0)</f>
        <v>10</v>
      </c>
      <c r="T79" s="43">
        <f>VLOOKUP(Table3[[#This Row],[Patrol frequency]],'TPI. Pa.'!$B$3:$C$52,2,0)</f>
        <v>1</v>
      </c>
      <c r="U79" s="43">
        <f>VLOOKUP(Table3[[#This Row],[Proxutil]],'TPI. Pa.'!$B$3:$C$52,2,0)</f>
        <v>5</v>
      </c>
      <c r="V79" s="43">
        <f>VLOOKUP(Table3[[#This Row],[ROW]],'TPI. Pa.'!$B$3:$C$52,2,0)</f>
        <v>10</v>
      </c>
      <c r="W79" s="43">
        <f>VLOOKUP(Table3[[#This Row],[ROW condition]],'TPI. Pa.'!$B$3:$C$52,2,0)</f>
        <v>3</v>
      </c>
      <c r="X7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0" spans="1:24" hidden="1">
      <c r="A80" s="84">
        <v>2</v>
      </c>
      <c r="B80" s="81">
        <v>66203</v>
      </c>
      <c r="C80" s="82" t="s">
        <v>258</v>
      </c>
      <c r="D80" s="19"/>
      <c r="E80" s="19"/>
      <c r="F80" s="19"/>
      <c r="G80" s="19" t="s">
        <v>179</v>
      </c>
      <c r="H80" s="19" t="s">
        <v>185</v>
      </c>
      <c r="I80" s="19" t="s">
        <v>168</v>
      </c>
      <c r="J80" s="19" t="s">
        <v>191</v>
      </c>
      <c r="K80" s="19" t="s">
        <v>26</v>
      </c>
      <c r="L80" s="19" t="s">
        <v>217</v>
      </c>
      <c r="M80" s="19" t="s">
        <v>222</v>
      </c>
      <c r="N80" s="19" t="s">
        <v>228</v>
      </c>
      <c r="O80" s="38"/>
      <c r="P80" s="43">
        <f>VLOOKUP(Table3[[#This Row],[Depth of cover]],'TPI. Pa.'!$B$3:$C$52,2,0)</f>
        <v>2</v>
      </c>
      <c r="Q80" s="43">
        <f>VLOOKUP(Table3[[#This Row],[Additional protection]],'TPI. Pa.'!$B$3:$C$52,2,0)</f>
        <v>5</v>
      </c>
      <c r="R80" s="43">
        <f>VLOOKUP(Table3[[#This Row],[Failure due to TPI]],'TPI. Pa.'!$B$3:$C$52,2,0)</f>
        <v>4</v>
      </c>
      <c r="S80" s="43">
        <f>VLOOKUP(Table3[[#This Row],[Activity Level]],'TPI. Pa.'!$B$3:$C$52,2,0)</f>
        <v>3</v>
      </c>
      <c r="T80" s="43">
        <f>VLOOKUP(Table3[[#This Row],[Patrol frequency]],'TPI. Pa.'!$B$3:$C$52,2,0)</f>
        <v>1</v>
      </c>
      <c r="U80" s="43">
        <f>VLOOKUP(Table3[[#This Row],[Proxutil]],'TPI. Pa.'!$B$3:$C$52,2,0)</f>
        <v>5</v>
      </c>
      <c r="V80" s="43">
        <f>VLOOKUP(Table3[[#This Row],[ROW]],'TPI. Pa.'!$B$3:$C$52,2,0)</f>
        <v>10</v>
      </c>
      <c r="W80" s="43">
        <f>VLOOKUP(Table3[[#This Row],[ROW condition]],'TPI. Pa.'!$B$3:$C$52,2,0)</f>
        <v>3</v>
      </c>
      <c r="X8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81" spans="1:24" hidden="1">
      <c r="A81" s="80">
        <v>2</v>
      </c>
      <c r="B81" s="81">
        <v>662100001</v>
      </c>
      <c r="C81" s="82" t="s">
        <v>709</v>
      </c>
      <c r="D81" s="19"/>
      <c r="E81" s="19"/>
      <c r="F81" s="19"/>
      <c r="G81" s="19" t="s">
        <v>179</v>
      </c>
      <c r="H81" s="19" t="s">
        <v>185</v>
      </c>
      <c r="I81" s="19" t="s">
        <v>168</v>
      </c>
      <c r="J81" s="19" t="s">
        <v>183</v>
      </c>
      <c r="K81" s="19" t="s">
        <v>26</v>
      </c>
      <c r="L81" s="19" t="s">
        <v>217</v>
      </c>
      <c r="M81" s="19" t="s">
        <v>222</v>
      </c>
      <c r="N81" s="19" t="s">
        <v>228</v>
      </c>
      <c r="O81" s="38"/>
      <c r="P81" s="43">
        <f>VLOOKUP(Table3[[#This Row],[Depth of cover]],'TPI. Pa.'!$B$3:$C$52,2,0)</f>
        <v>2</v>
      </c>
      <c r="Q81" s="43">
        <f>VLOOKUP(Table3[[#This Row],[Additional protection]],'TPI. Pa.'!$B$3:$C$52,2,0)</f>
        <v>5</v>
      </c>
      <c r="R81" s="43">
        <f>VLOOKUP(Table3[[#This Row],[Failure due to TPI]],'TPI. Pa.'!$B$3:$C$52,2,0)</f>
        <v>4</v>
      </c>
      <c r="S81" s="43">
        <f>VLOOKUP(Table3[[#This Row],[Activity Level]],'TPI. Pa.'!$B$3:$C$52,2,0)</f>
        <v>10</v>
      </c>
      <c r="T81" s="43">
        <f>VLOOKUP(Table3[[#This Row],[Patrol frequency]],'TPI. Pa.'!$B$3:$C$52,2,0)</f>
        <v>1</v>
      </c>
      <c r="U81" s="43">
        <f>VLOOKUP(Table3[[#This Row],[Proxutil]],'TPI. Pa.'!$B$3:$C$52,2,0)</f>
        <v>5</v>
      </c>
      <c r="V81" s="43">
        <f>VLOOKUP(Table3[[#This Row],[ROW]],'TPI. Pa.'!$B$3:$C$52,2,0)</f>
        <v>10</v>
      </c>
      <c r="W81" s="43">
        <f>VLOOKUP(Table3[[#This Row],[ROW condition]],'TPI. Pa.'!$B$3:$C$52,2,0)</f>
        <v>3</v>
      </c>
      <c r="X8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2" spans="1:24" hidden="1">
      <c r="A82" s="80">
        <v>2</v>
      </c>
      <c r="B82" s="81">
        <v>66401001</v>
      </c>
      <c r="C82" s="82"/>
      <c r="D82" s="19"/>
      <c r="E82" s="19"/>
      <c r="F82" s="19"/>
      <c r="G82" s="19" t="s">
        <v>179</v>
      </c>
      <c r="H82" s="19" t="s">
        <v>185</v>
      </c>
      <c r="I82" s="19" t="s">
        <v>168</v>
      </c>
      <c r="J82" s="19" t="s">
        <v>191</v>
      </c>
      <c r="K82" s="19" t="s">
        <v>26</v>
      </c>
      <c r="L82" s="19" t="s">
        <v>217</v>
      </c>
      <c r="M82" s="19" t="s">
        <v>222</v>
      </c>
      <c r="N82" s="19" t="s">
        <v>228</v>
      </c>
      <c r="O82" s="38"/>
      <c r="P82" s="43">
        <f>VLOOKUP(Table3[[#This Row],[Depth of cover]],'TPI. Pa.'!$B$3:$C$52,2,0)</f>
        <v>2</v>
      </c>
      <c r="Q82" s="43">
        <f>VLOOKUP(Table3[[#This Row],[Additional protection]],'TPI. Pa.'!$B$3:$C$52,2,0)</f>
        <v>5</v>
      </c>
      <c r="R82" s="43">
        <f>VLOOKUP(Table3[[#This Row],[Failure due to TPI]],'TPI. Pa.'!$B$3:$C$52,2,0)</f>
        <v>4</v>
      </c>
      <c r="S82" s="43">
        <f>VLOOKUP(Table3[[#This Row],[Activity Level]],'TPI. Pa.'!$B$3:$C$52,2,0)</f>
        <v>3</v>
      </c>
      <c r="T82" s="43">
        <f>VLOOKUP(Table3[[#This Row],[Patrol frequency]],'TPI. Pa.'!$B$3:$C$52,2,0)</f>
        <v>1</v>
      </c>
      <c r="U82" s="43">
        <f>VLOOKUP(Table3[[#This Row],[Proxutil]],'TPI. Pa.'!$B$3:$C$52,2,0)</f>
        <v>5</v>
      </c>
      <c r="V82" s="43">
        <f>VLOOKUP(Table3[[#This Row],[ROW]],'TPI. Pa.'!$B$3:$C$52,2,0)</f>
        <v>10</v>
      </c>
      <c r="W82" s="43">
        <f>VLOOKUP(Table3[[#This Row],[ROW condition]],'TPI. Pa.'!$B$3:$C$52,2,0)</f>
        <v>3</v>
      </c>
      <c r="X8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83" spans="1:24" hidden="1">
      <c r="A83" s="80">
        <v>2</v>
      </c>
      <c r="B83" s="81">
        <v>66401002</v>
      </c>
      <c r="C83" s="82" t="s">
        <v>706</v>
      </c>
      <c r="D83" s="19"/>
      <c r="E83" s="19"/>
      <c r="F83" s="19"/>
      <c r="G83" s="19" t="s">
        <v>179</v>
      </c>
      <c r="H83" s="19" t="s">
        <v>185</v>
      </c>
      <c r="I83" s="19" t="s">
        <v>168</v>
      </c>
      <c r="J83" s="19" t="s">
        <v>191</v>
      </c>
      <c r="K83" s="19" t="s">
        <v>26</v>
      </c>
      <c r="L83" s="19" t="s">
        <v>217</v>
      </c>
      <c r="M83" s="19" t="s">
        <v>222</v>
      </c>
      <c r="N83" s="19" t="s">
        <v>228</v>
      </c>
      <c r="O83" s="38"/>
      <c r="P83" s="43">
        <f>VLOOKUP(Table3[[#This Row],[Depth of cover]],'TPI. Pa.'!$B$3:$C$52,2,0)</f>
        <v>2</v>
      </c>
      <c r="Q83" s="43">
        <f>VLOOKUP(Table3[[#This Row],[Additional protection]],'TPI. Pa.'!$B$3:$C$52,2,0)</f>
        <v>5</v>
      </c>
      <c r="R83" s="43">
        <f>VLOOKUP(Table3[[#This Row],[Failure due to TPI]],'TPI. Pa.'!$B$3:$C$52,2,0)</f>
        <v>4</v>
      </c>
      <c r="S83" s="43">
        <f>VLOOKUP(Table3[[#This Row],[Activity Level]],'TPI. Pa.'!$B$3:$C$52,2,0)</f>
        <v>3</v>
      </c>
      <c r="T83" s="43">
        <f>VLOOKUP(Table3[[#This Row],[Patrol frequency]],'TPI. Pa.'!$B$3:$C$52,2,0)</f>
        <v>1</v>
      </c>
      <c r="U83" s="43">
        <f>VLOOKUP(Table3[[#This Row],[Proxutil]],'TPI. Pa.'!$B$3:$C$52,2,0)</f>
        <v>5</v>
      </c>
      <c r="V83" s="43">
        <f>VLOOKUP(Table3[[#This Row],[ROW]],'TPI. Pa.'!$B$3:$C$52,2,0)</f>
        <v>10</v>
      </c>
      <c r="W83" s="43">
        <f>VLOOKUP(Table3[[#This Row],[ROW condition]],'TPI. Pa.'!$B$3:$C$52,2,0)</f>
        <v>3</v>
      </c>
      <c r="X8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84" spans="1:24" hidden="1">
      <c r="A84" s="80">
        <v>2</v>
      </c>
      <c r="B84" s="81">
        <v>6711</v>
      </c>
      <c r="C84" s="82"/>
      <c r="D84" s="19"/>
      <c r="E84" s="19"/>
      <c r="F84" s="19"/>
      <c r="G84" s="19" t="s">
        <v>179</v>
      </c>
      <c r="H84" s="19" t="s">
        <v>185</v>
      </c>
      <c r="I84" s="19" t="s">
        <v>168</v>
      </c>
      <c r="J84" s="19" t="s">
        <v>183</v>
      </c>
      <c r="K84" s="19" t="s">
        <v>26</v>
      </c>
      <c r="L84" s="19" t="s">
        <v>217</v>
      </c>
      <c r="M84" s="19" t="s">
        <v>222</v>
      </c>
      <c r="N84" s="19" t="s">
        <v>228</v>
      </c>
      <c r="O84" s="38"/>
      <c r="P84" s="43">
        <f>VLOOKUP(Table3[[#This Row],[Depth of cover]],'TPI. Pa.'!$B$3:$C$52,2,0)</f>
        <v>2</v>
      </c>
      <c r="Q84" s="43">
        <f>VLOOKUP(Table3[[#This Row],[Additional protection]],'TPI. Pa.'!$B$3:$C$52,2,0)</f>
        <v>5</v>
      </c>
      <c r="R84" s="43">
        <f>VLOOKUP(Table3[[#This Row],[Failure due to TPI]],'TPI. Pa.'!$B$3:$C$52,2,0)</f>
        <v>4</v>
      </c>
      <c r="S84" s="43">
        <f>VLOOKUP(Table3[[#This Row],[Activity Level]],'TPI. Pa.'!$B$3:$C$52,2,0)</f>
        <v>10</v>
      </c>
      <c r="T84" s="43">
        <f>VLOOKUP(Table3[[#This Row],[Patrol frequency]],'TPI. Pa.'!$B$3:$C$52,2,0)</f>
        <v>1</v>
      </c>
      <c r="U84" s="43">
        <f>VLOOKUP(Table3[[#This Row],[Proxutil]],'TPI. Pa.'!$B$3:$C$52,2,0)</f>
        <v>5</v>
      </c>
      <c r="V84" s="43">
        <f>VLOOKUP(Table3[[#This Row],[ROW]],'TPI. Pa.'!$B$3:$C$52,2,0)</f>
        <v>10</v>
      </c>
      <c r="W84" s="43">
        <f>VLOOKUP(Table3[[#This Row],[ROW condition]],'TPI. Pa.'!$B$3:$C$52,2,0)</f>
        <v>3</v>
      </c>
      <c r="X8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5" spans="1:24" hidden="1">
      <c r="A85" s="80">
        <v>2</v>
      </c>
      <c r="B85" s="81" t="s">
        <v>973</v>
      </c>
      <c r="C85" s="82" t="s">
        <v>680</v>
      </c>
      <c r="D85" s="19"/>
      <c r="E85" s="19"/>
      <c r="F85" s="19"/>
      <c r="G85" s="19" t="s">
        <v>179</v>
      </c>
      <c r="H85" s="19" t="s">
        <v>185</v>
      </c>
      <c r="I85" s="19" t="s">
        <v>168</v>
      </c>
      <c r="J85" s="19" t="s">
        <v>183</v>
      </c>
      <c r="K85" s="19" t="s">
        <v>26</v>
      </c>
      <c r="L85" s="19" t="s">
        <v>217</v>
      </c>
      <c r="M85" s="19" t="s">
        <v>222</v>
      </c>
      <c r="N85" s="19" t="s">
        <v>228</v>
      </c>
      <c r="O85" s="38"/>
      <c r="P85" s="43">
        <f>VLOOKUP(Table3[[#This Row],[Depth of cover]],'TPI. Pa.'!$B$3:$C$52,2,0)</f>
        <v>2</v>
      </c>
      <c r="Q85" s="43">
        <f>VLOOKUP(Table3[[#This Row],[Additional protection]],'TPI. Pa.'!$B$3:$C$52,2,0)</f>
        <v>5</v>
      </c>
      <c r="R85" s="43">
        <f>VLOOKUP(Table3[[#This Row],[Failure due to TPI]],'TPI. Pa.'!$B$3:$C$52,2,0)</f>
        <v>4</v>
      </c>
      <c r="S85" s="43">
        <f>VLOOKUP(Table3[[#This Row],[Activity Level]],'TPI. Pa.'!$B$3:$C$52,2,0)</f>
        <v>10</v>
      </c>
      <c r="T85" s="43">
        <f>VLOOKUP(Table3[[#This Row],[Patrol frequency]],'TPI. Pa.'!$B$3:$C$52,2,0)</f>
        <v>1</v>
      </c>
      <c r="U85" s="43">
        <f>VLOOKUP(Table3[[#This Row],[Proxutil]],'TPI. Pa.'!$B$3:$C$52,2,0)</f>
        <v>5</v>
      </c>
      <c r="V85" s="43">
        <f>VLOOKUP(Table3[[#This Row],[ROW]],'TPI. Pa.'!$B$3:$C$52,2,0)</f>
        <v>10</v>
      </c>
      <c r="W85" s="43">
        <f>VLOOKUP(Table3[[#This Row],[ROW condition]],'TPI. Pa.'!$B$3:$C$52,2,0)</f>
        <v>3</v>
      </c>
      <c r="X8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6" spans="1:24" hidden="1">
      <c r="A86" s="80">
        <v>2</v>
      </c>
      <c r="B86" s="81">
        <v>67111002</v>
      </c>
      <c r="C86" s="82" t="s">
        <v>682</v>
      </c>
      <c r="D86" s="19"/>
      <c r="E86" s="19"/>
      <c r="F86" s="19"/>
      <c r="G86" s="19" t="s">
        <v>179</v>
      </c>
      <c r="H86" s="19" t="s">
        <v>185</v>
      </c>
      <c r="I86" s="19" t="s">
        <v>168</v>
      </c>
      <c r="J86" s="19" t="s">
        <v>183</v>
      </c>
      <c r="K86" s="19" t="s">
        <v>26</v>
      </c>
      <c r="L86" s="19" t="s">
        <v>217</v>
      </c>
      <c r="M86" s="19" t="s">
        <v>222</v>
      </c>
      <c r="N86" s="19" t="s">
        <v>228</v>
      </c>
      <c r="O86" s="38"/>
      <c r="P86" s="43">
        <f>VLOOKUP(Table3[[#This Row],[Depth of cover]],'TPI. Pa.'!$B$3:$C$52,2,0)</f>
        <v>2</v>
      </c>
      <c r="Q86" s="43">
        <f>VLOOKUP(Table3[[#This Row],[Additional protection]],'TPI. Pa.'!$B$3:$C$52,2,0)</f>
        <v>5</v>
      </c>
      <c r="R86" s="43">
        <f>VLOOKUP(Table3[[#This Row],[Failure due to TPI]],'TPI. Pa.'!$B$3:$C$52,2,0)</f>
        <v>4</v>
      </c>
      <c r="S86" s="43">
        <f>VLOOKUP(Table3[[#This Row],[Activity Level]],'TPI. Pa.'!$B$3:$C$52,2,0)</f>
        <v>10</v>
      </c>
      <c r="T86" s="43">
        <f>VLOOKUP(Table3[[#This Row],[Patrol frequency]],'TPI. Pa.'!$B$3:$C$52,2,0)</f>
        <v>1</v>
      </c>
      <c r="U86" s="43">
        <f>VLOOKUP(Table3[[#This Row],[Proxutil]],'TPI. Pa.'!$B$3:$C$52,2,0)</f>
        <v>5</v>
      </c>
      <c r="V86" s="43">
        <f>VLOOKUP(Table3[[#This Row],[ROW]],'TPI. Pa.'!$B$3:$C$52,2,0)</f>
        <v>10</v>
      </c>
      <c r="W86" s="43">
        <f>VLOOKUP(Table3[[#This Row],[ROW condition]],'TPI. Pa.'!$B$3:$C$52,2,0)</f>
        <v>3</v>
      </c>
      <c r="X8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7" spans="1:24" hidden="1">
      <c r="A87" s="80">
        <v>2</v>
      </c>
      <c r="B87" s="81">
        <v>67111003</v>
      </c>
      <c r="C87" s="82" t="s">
        <v>684</v>
      </c>
      <c r="D87" s="19"/>
      <c r="E87" s="19"/>
      <c r="F87" s="19"/>
      <c r="G87" s="19" t="s">
        <v>179</v>
      </c>
      <c r="H87" s="19" t="s">
        <v>185</v>
      </c>
      <c r="I87" s="19" t="s">
        <v>168</v>
      </c>
      <c r="J87" s="19" t="s">
        <v>183</v>
      </c>
      <c r="K87" s="19" t="s">
        <v>26</v>
      </c>
      <c r="L87" s="19" t="s">
        <v>217</v>
      </c>
      <c r="M87" s="19" t="s">
        <v>222</v>
      </c>
      <c r="N87" s="19" t="s">
        <v>228</v>
      </c>
      <c r="O87" s="38"/>
      <c r="P87" s="43">
        <f>VLOOKUP(Table3[[#This Row],[Depth of cover]],'TPI. Pa.'!$B$3:$C$52,2,0)</f>
        <v>2</v>
      </c>
      <c r="Q87" s="43">
        <f>VLOOKUP(Table3[[#This Row],[Additional protection]],'TPI. Pa.'!$B$3:$C$52,2,0)</f>
        <v>5</v>
      </c>
      <c r="R87" s="43">
        <f>VLOOKUP(Table3[[#This Row],[Failure due to TPI]],'TPI. Pa.'!$B$3:$C$52,2,0)</f>
        <v>4</v>
      </c>
      <c r="S87" s="43">
        <f>VLOOKUP(Table3[[#This Row],[Activity Level]],'TPI. Pa.'!$B$3:$C$52,2,0)</f>
        <v>10</v>
      </c>
      <c r="T87" s="43">
        <f>VLOOKUP(Table3[[#This Row],[Patrol frequency]],'TPI. Pa.'!$B$3:$C$52,2,0)</f>
        <v>1</v>
      </c>
      <c r="U87" s="43">
        <f>VLOOKUP(Table3[[#This Row],[Proxutil]],'TPI. Pa.'!$B$3:$C$52,2,0)</f>
        <v>5</v>
      </c>
      <c r="V87" s="43">
        <f>VLOOKUP(Table3[[#This Row],[ROW]],'TPI. Pa.'!$B$3:$C$52,2,0)</f>
        <v>10</v>
      </c>
      <c r="W87" s="43">
        <f>VLOOKUP(Table3[[#This Row],[ROW condition]],'TPI. Pa.'!$B$3:$C$52,2,0)</f>
        <v>3</v>
      </c>
      <c r="X8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8" spans="1:24" hidden="1">
      <c r="A88" s="80">
        <v>2</v>
      </c>
      <c r="B88" s="81">
        <v>67111004</v>
      </c>
      <c r="C88" s="82" t="s">
        <v>686</v>
      </c>
      <c r="D88" s="19"/>
      <c r="E88" s="19"/>
      <c r="F88" s="19"/>
      <c r="G88" s="19" t="s">
        <v>179</v>
      </c>
      <c r="H88" s="19" t="s">
        <v>185</v>
      </c>
      <c r="I88" s="19" t="s">
        <v>168</v>
      </c>
      <c r="J88" s="19" t="s">
        <v>183</v>
      </c>
      <c r="K88" s="19" t="s">
        <v>26</v>
      </c>
      <c r="L88" s="19" t="s">
        <v>217</v>
      </c>
      <c r="M88" s="19" t="s">
        <v>222</v>
      </c>
      <c r="N88" s="19" t="s">
        <v>228</v>
      </c>
      <c r="O88" s="38"/>
      <c r="P88" s="43">
        <f>VLOOKUP(Table3[[#This Row],[Depth of cover]],'TPI. Pa.'!$B$3:$C$52,2,0)</f>
        <v>2</v>
      </c>
      <c r="Q88" s="43">
        <f>VLOOKUP(Table3[[#This Row],[Additional protection]],'TPI. Pa.'!$B$3:$C$52,2,0)</f>
        <v>5</v>
      </c>
      <c r="R88" s="43">
        <f>VLOOKUP(Table3[[#This Row],[Failure due to TPI]],'TPI. Pa.'!$B$3:$C$52,2,0)</f>
        <v>4</v>
      </c>
      <c r="S88" s="43">
        <f>VLOOKUP(Table3[[#This Row],[Activity Level]],'TPI. Pa.'!$B$3:$C$52,2,0)</f>
        <v>10</v>
      </c>
      <c r="T88" s="43">
        <f>VLOOKUP(Table3[[#This Row],[Patrol frequency]],'TPI. Pa.'!$B$3:$C$52,2,0)</f>
        <v>1</v>
      </c>
      <c r="U88" s="43">
        <f>VLOOKUP(Table3[[#This Row],[Proxutil]],'TPI. Pa.'!$B$3:$C$52,2,0)</f>
        <v>5</v>
      </c>
      <c r="V88" s="43">
        <f>VLOOKUP(Table3[[#This Row],[ROW]],'TPI. Pa.'!$B$3:$C$52,2,0)</f>
        <v>10</v>
      </c>
      <c r="W88" s="43">
        <f>VLOOKUP(Table3[[#This Row],[ROW condition]],'TPI. Pa.'!$B$3:$C$52,2,0)</f>
        <v>3</v>
      </c>
      <c r="X8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89" spans="1:24" hidden="1">
      <c r="A89" s="80">
        <v>2</v>
      </c>
      <c r="B89" s="81">
        <v>6712</v>
      </c>
      <c r="C89" s="82" t="s">
        <v>668</v>
      </c>
      <c r="D89" s="19"/>
      <c r="E89" s="19"/>
      <c r="F89" s="19"/>
      <c r="G89" s="19" t="s">
        <v>179</v>
      </c>
      <c r="H89" s="19" t="s">
        <v>185</v>
      </c>
      <c r="I89" s="19" t="s">
        <v>168</v>
      </c>
      <c r="J89" s="19" t="s">
        <v>183</v>
      </c>
      <c r="K89" s="19" t="s">
        <v>26</v>
      </c>
      <c r="L89" s="19" t="s">
        <v>217</v>
      </c>
      <c r="M89" s="19" t="s">
        <v>222</v>
      </c>
      <c r="N89" s="19" t="s">
        <v>228</v>
      </c>
      <c r="O89" s="38"/>
      <c r="P89" s="43">
        <f>VLOOKUP(Table3[[#This Row],[Depth of cover]],'TPI. Pa.'!$B$3:$C$52,2,0)</f>
        <v>2</v>
      </c>
      <c r="Q89" s="43">
        <f>VLOOKUP(Table3[[#This Row],[Additional protection]],'TPI. Pa.'!$B$3:$C$52,2,0)</f>
        <v>5</v>
      </c>
      <c r="R89" s="43">
        <f>VLOOKUP(Table3[[#This Row],[Failure due to TPI]],'TPI. Pa.'!$B$3:$C$52,2,0)</f>
        <v>4</v>
      </c>
      <c r="S89" s="43">
        <f>VLOOKUP(Table3[[#This Row],[Activity Level]],'TPI. Pa.'!$B$3:$C$52,2,0)</f>
        <v>10</v>
      </c>
      <c r="T89" s="43">
        <f>VLOOKUP(Table3[[#This Row],[Patrol frequency]],'TPI. Pa.'!$B$3:$C$52,2,0)</f>
        <v>1</v>
      </c>
      <c r="U89" s="43">
        <f>VLOOKUP(Table3[[#This Row],[Proxutil]],'TPI. Pa.'!$B$3:$C$52,2,0)</f>
        <v>5</v>
      </c>
      <c r="V89" s="43">
        <f>VLOOKUP(Table3[[#This Row],[ROW]],'TPI. Pa.'!$B$3:$C$52,2,0)</f>
        <v>10</v>
      </c>
      <c r="W89" s="43">
        <f>VLOOKUP(Table3[[#This Row],[ROW condition]],'TPI. Pa.'!$B$3:$C$52,2,0)</f>
        <v>3</v>
      </c>
      <c r="X8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0" spans="1:24" hidden="1">
      <c r="A90" s="84">
        <v>2</v>
      </c>
      <c r="B90" s="81">
        <v>67111</v>
      </c>
      <c r="C90" s="82" t="s">
        <v>259</v>
      </c>
      <c r="D90" s="19"/>
      <c r="E90" s="19"/>
      <c r="F90" s="19"/>
      <c r="G90" s="19" t="s">
        <v>179</v>
      </c>
      <c r="H90" s="19" t="s">
        <v>185</v>
      </c>
      <c r="I90" s="19" t="s">
        <v>168</v>
      </c>
      <c r="J90" s="19" t="s">
        <v>183</v>
      </c>
      <c r="K90" s="19" t="s">
        <v>26</v>
      </c>
      <c r="L90" s="19" t="s">
        <v>217</v>
      </c>
      <c r="M90" s="19" t="s">
        <v>222</v>
      </c>
      <c r="N90" s="19" t="s">
        <v>228</v>
      </c>
      <c r="O90" s="38"/>
      <c r="P90" s="43">
        <f>VLOOKUP(Table3[[#This Row],[Depth of cover]],'TPI. Pa.'!$B$3:$C$52,2,0)</f>
        <v>2</v>
      </c>
      <c r="Q90" s="43">
        <f>VLOOKUP(Table3[[#This Row],[Additional protection]],'TPI. Pa.'!$B$3:$C$52,2,0)</f>
        <v>5</v>
      </c>
      <c r="R90" s="43">
        <f>VLOOKUP(Table3[[#This Row],[Failure due to TPI]],'TPI. Pa.'!$B$3:$C$52,2,0)</f>
        <v>4</v>
      </c>
      <c r="S90" s="43">
        <f>VLOOKUP(Table3[[#This Row],[Activity Level]],'TPI. Pa.'!$B$3:$C$52,2,0)</f>
        <v>10</v>
      </c>
      <c r="T90" s="43">
        <f>VLOOKUP(Table3[[#This Row],[Patrol frequency]],'TPI. Pa.'!$B$3:$C$52,2,0)</f>
        <v>1</v>
      </c>
      <c r="U90" s="43">
        <f>VLOOKUP(Table3[[#This Row],[Proxutil]],'TPI. Pa.'!$B$3:$C$52,2,0)</f>
        <v>5</v>
      </c>
      <c r="V90" s="43">
        <f>VLOOKUP(Table3[[#This Row],[ROW]],'TPI. Pa.'!$B$3:$C$52,2,0)</f>
        <v>10</v>
      </c>
      <c r="W90" s="43">
        <f>VLOOKUP(Table3[[#This Row],[ROW condition]],'TPI. Pa.'!$B$3:$C$52,2,0)</f>
        <v>3</v>
      </c>
      <c r="X9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1" spans="1:24" hidden="1">
      <c r="A91" s="84">
        <v>2</v>
      </c>
      <c r="B91" s="81">
        <v>67121</v>
      </c>
      <c r="C91" s="82" t="s">
        <v>260</v>
      </c>
      <c r="D91" s="19"/>
      <c r="E91" s="19"/>
      <c r="F91" s="19"/>
      <c r="G91" s="19" t="s">
        <v>179</v>
      </c>
      <c r="H91" s="19" t="s">
        <v>185</v>
      </c>
      <c r="I91" s="19" t="s">
        <v>168</v>
      </c>
      <c r="J91" s="19" t="s">
        <v>189</v>
      </c>
      <c r="K91" s="19" t="s">
        <v>26</v>
      </c>
      <c r="L91" s="19" t="s">
        <v>217</v>
      </c>
      <c r="M91" s="19" t="s">
        <v>222</v>
      </c>
      <c r="N91" s="19" t="s">
        <v>228</v>
      </c>
      <c r="O91" s="38"/>
      <c r="P91" s="43">
        <f>VLOOKUP(Table3[[#This Row],[Depth of cover]],'TPI. Pa.'!$B$3:$C$52,2,0)</f>
        <v>2</v>
      </c>
      <c r="Q91" s="43">
        <f>VLOOKUP(Table3[[#This Row],[Additional protection]],'TPI. Pa.'!$B$3:$C$52,2,0)</f>
        <v>5</v>
      </c>
      <c r="R91" s="43">
        <f>VLOOKUP(Table3[[#This Row],[Failure due to TPI]],'TPI. Pa.'!$B$3:$C$52,2,0)</f>
        <v>4</v>
      </c>
      <c r="S91" s="43">
        <f>VLOOKUP(Table3[[#This Row],[Activity Level]],'TPI. Pa.'!$B$3:$C$52,2,0)</f>
        <v>10</v>
      </c>
      <c r="T91" s="43">
        <f>VLOOKUP(Table3[[#This Row],[Patrol frequency]],'TPI. Pa.'!$B$3:$C$52,2,0)</f>
        <v>1</v>
      </c>
      <c r="U91" s="43">
        <f>VLOOKUP(Table3[[#This Row],[Proxutil]],'TPI. Pa.'!$B$3:$C$52,2,0)</f>
        <v>5</v>
      </c>
      <c r="V91" s="43">
        <f>VLOOKUP(Table3[[#This Row],[ROW]],'TPI. Pa.'!$B$3:$C$52,2,0)</f>
        <v>10</v>
      </c>
      <c r="W91" s="43">
        <f>VLOOKUP(Table3[[#This Row],[ROW condition]],'TPI. Pa.'!$B$3:$C$52,2,0)</f>
        <v>3</v>
      </c>
      <c r="X9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2" spans="1:24" hidden="1">
      <c r="A92" s="84">
        <v>2</v>
      </c>
      <c r="B92" s="81">
        <v>67121</v>
      </c>
      <c r="C92" s="82" t="s">
        <v>669</v>
      </c>
      <c r="D92" s="19"/>
      <c r="E92" s="19"/>
      <c r="F92" s="19"/>
      <c r="G92" s="19" t="s">
        <v>179</v>
      </c>
      <c r="H92" s="19" t="s">
        <v>185</v>
      </c>
      <c r="I92" s="19" t="s">
        <v>168</v>
      </c>
      <c r="J92" s="19" t="s">
        <v>189</v>
      </c>
      <c r="K92" s="19" t="s">
        <v>26</v>
      </c>
      <c r="L92" s="19" t="s">
        <v>217</v>
      </c>
      <c r="M92" s="19" t="s">
        <v>222</v>
      </c>
      <c r="N92" s="19" t="s">
        <v>228</v>
      </c>
      <c r="O92" s="38"/>
      <c r="P92" s="43">
        <f>VLOOKUP(Table3[[#This Row],[Depth of cover]],'TPI. Pa.'!$B$3:$C$52,2,0)</f>
        <v>2</v>
      </c>
      <c r="Q92" s="43">
        <f>VLOOKUP(Table3[[#This Row],[Additional protection]],'TPI. Pa.'!$B$3:$C$52,2,0)</f>
        <v>5</v>
      </c>
      <c r="R92" s="43">
        <f>VLOOKUP(Table3[[#This Row],[Failure due to TPI]],'TPI. Pa.'!$B$3:$C$52,2,0)</f>
        <v>4</v>
      </c>
      <c r="S92" s="43">
        <f>VLOOKUP(Table3[[#This Row],[Activity Level]],'TPI. Pa.'!$B$3:$C$52,2,0)</f>
        <v>10</v>
      </c>
      <c r="T92" s="43">
        <f>VLOOKUP(Table3[[#This Row],[Patrol frequency]],'TPI. Pa.'!$B$3:$C$52,2,0)</f>
        <v>1</v>
      </c>
      <c r="U92" s="43">
        <f>VLOOKUP(Table3[[#This Row],[Proxutil]],'TPI. Pa.'!$B$3:$C$52,2,0)</f>
        <v>5</v>
      </c>
      <c r="V92" s="43">
        <f>VLOOKUP(Table3[[#This Row],[ROW]],'TPI. Pa.'!$B$3:$C$52,2,0)</f>
        <v>10</v>
      </c>
      <c r="W92" s="43">
        <f>VLOOKUP(Table3[[#This Row],[ROW condition]],'TPI. Pa.'!$B$3:$C$52,2,0)</f>
        <v>3</v>
      </c>
      <c r="X9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3" spans="1:24" hidden="1">
      <c r="A93" s="84">
        <v>2</v>
      </c>
      <c r="B93" s="81">
        <v>67121</v>
      </c>
      <c r="C93" s="82" t="s">
        <v>670</v>
      </c>
      <c r="D93" s="19"/>
      <c r="E93" s="19"/>
      <c r="F93" s="19"/>
      <c r="G93" s="19" t="s">
        <v>179</v>
      </c>
      <c r="H93" s="19" t="s">
        <v>185</v>
      </c>
      <c r="I93" s="19" t="s">
        <v>168</v>
      </c>
      <c r="J93" s="19" t="s">
        <v>189</v>
      </c>
      <c r="K93" s="19" t="s">
        <v>26</v>
      </c>
      <c r="L93" s="19" t="s">
        <v>217</v>
      </c>
      <c r="M93" s="19" t="s">
        <v>222</v>
      </c>
      <c r="N93" s="19" t="s">
        <v>228</v>
      </c>
      <c r="O93" s="38"/>
      <c r="P93" s="43">
        <f>VLOOKUP(Table3[[#This Row],[Depth of cover]],'TPI. Pa.'!$B$3:$C$52,2,0)</f>
        <v>2</v>
      </c>
      <c r="Q93" s="43">
        <f>VLOOKUP(Table3[[#This Row],[Additional protection]],'TPI. Pa.'!$B$3:$C$52,2,0)</f>
        <v>5</v>
      </c>
      <c r="R93" s="43">
        <f>VLOOKUP(Table3[[#This Row],[Failure due to TPI]],'TPI. Pa.'!$B$3:$C$52,2,0)</f>
        <v>4</v>
      </c>
      <c r="S93" s="43">
        <f>VLOOKUP(Table3[[#This Row],[Activity Level]],'TPI. Pa.'!$B$3:$C$52,2,0)</f>
        <v>10</v>
      </c>
      <c r="T93" s="43">
        <f>VLOOKUP(Table3[[#This Row],[Patrol frequency]],'TPI. Pa.'!$B$3:$C$52,2,0)</f>
        <v>1</v>
      </c>
      <c r="U93" s="43">
        <f>VLOOKUP(Table3[[#This Row],[Proxutil]],'TPI. Pa.'!$B$3:$C$52,2,0)</f>
        <v>5</v>
      </c>
      <c r="V93" s="43">
        <f>VLOOKUP(Table3[[#This Row],[ROW]],'TPI. Pa.'!$B$3:$C$52,2,0)</f>
        <v>10</v>
      </c>
      <c r="W93" s="43">
        <f>VLOOKUP(Table3[[#This Row],[ROW condition]],'TPI. Pa.'!$B$3:$C$52,2,0)</f>
        <v>3</v>
      </c>
      <c r="X9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4" spans="1:24" hidden="1">
      <c r="A94" s="80">
        <v>2</v>
      </c>
      <c r="B94" s="81">
        <v>6712101</v>
      </c>
      <c r="C94" s="82" t="s">
        <v>674</v>
      </c>
      <c r="D94" s="19"/>
      <c r="E94" s="19"/>
      <c r="F94" s="19"/>
      <c r="G94" s="19" t="s">
        <v>179</v>
      </c>
      <c r="H94" s="19" t="s">
        <v>185</v>
      </c>
      <c r="I94" s="19" t="s">
        <v>168</v>
      </c>
      <c r="J94" s="19" t="s">
        <v>183</v>
      </c>
      <c r="K94" s="19" t="s">
        <v>26</v>
      </c>
      <c r="L94" s="19" t="s">
        <v>217</v>
      </c>
      <c r="M94" s="19" t="s">
        <v>222</v>
      </c>
      <c r="N94" s="19" t="s">
        <v>228</v>
      </c>
      <c r="O94" s="38"/>
      <c r="P94" s="43">
        <f>VLOOKUP(Table3[[#This Row],[Depth of cover]],'TPI. Pa.'!$B$3:$C$52,2,0)</f>
        <v>2</v>
      </c>
      <c r="Q94" s="43">
        <f>VLOOKUP(Table3[[#This Row],[Additional protection]],'TPI. Pa.'!$B$3:$C$52,2,0)</f>
        <v>5</v>
      </c>
      <c r="R94" s="43">
        <f>VLOOKUP(Table3[[#This Row],[Failure due to TPI]],'TPI. Pa.'!$B$3:$C$52,2,0)</f>
        <v>4</v>
      </c>
      <c r="S94" s="43">
        <f>VLOOKUP(Table3[[#This Row],[Activity Level]],'TPI. Pa.'!$B$3:$C$52,2,0)</f>
        <v>10</v>
      </c>
      <c r="T94" s="43">
        <f>VLOOKUP(Table3[[#This Row],[Patrol frequency]],'TPI. Pa.'!$B$3:$C$52,2,0)</f>
        <v>1</v>
      </c>
      <c r="U94" s="43">
        <f>VLOOKUP(Table3[[#This Row],[Proxutil]],'TPI. Pa.'!$B$3:$C$52,2,0)</f>
        <v>5</v>
      </c>
      <c r="V94" s="43">
        <f>VLOOKUP(Table3[[#This Row],[ROW]],'TPI. Pa.'!$B$3:$C$52,2,0)</f>
        <v>10</v>
      </c>
      <c r="W94" s="43">
        <f>VLOOKUP(Table3[[#This Row],[ROW condition]],'TPI. Pa.'!$B$3:$C$52,2,0)</f>
        <v>3</v>
      </c>
      <c r="X9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5" spans="1:24" hidden="1">
      <c r="A95" s="80">
        <v>2</v>
      </c>
      <c r="B95" s="81">
        <v>671210103</v>
      </c>
      <c r="C95" s="82" t="s">
        <v>694</v>
      </c>
      <c r="D95" s="19"/>
      <c r="E95" s="19"/>
      <c r="F95" s="19"/>
      <c r="G95" s="19" t="s">
        <v>179</v>
      </c>
      <c r="H95" s="19" t="s">
        <v>185</v>
      </c>
      <c r="I95" s="19" t="s">
        <v>168</v>
      </c>
      <c r="J95" s="19" t="s">
        <v>183</v>
      </c>
      <c r="K95" s="19" t="s">
        <v>26</v>
      </c>
      <c r="L95" s="19" t="s">
        <v>217</v>
      </c>
      <c r="M95" s="19" t="s">
        <v>222</v>
      </c>
      <c r="N95" s="19" t="s">
        <v>228</v>
      </c>
      <c r="O95" s="38"/>
      <c r="P95" s="43">
        <f>VLOOKUP(Table3[[#This Row],[Depth of cover]],'TPI. Pa.'!$B$3:$C$52,2,0)</f>
        <v>2</v>
      </c>
      <c r="Q95" s="43">
        <f>VLOOKUP(Table3[[#This Row],[Additional protection]],'TPI. Pa.'!$B$3:$C$52,2,0)</f>
        <v>5</v>
      </c>
      <c r="R95" s="43">
        <f>VLOOKUP(Table3[[#This Row],[Failure due to TPI]],'TPI. Pa.'!$B$3:$C$52,2,0)</f>
        <v>4</v>
      </c>
      <c r="S95" s="43">
        <f>VLOOKUP(Table3[[#This Row],[Activity Level]],'TPI. Pa.'!$B$3:$C$52,2,0)</f>
        <v>10</v>
      </c>
      <c r="T95" s="43">
        <f>VLOOKUP(Table3[[#This Row],[Patrol frequency]],'TPI. Pa.'!$B$3:$C$52,2,0)</f>
        <v>1</v>
      </c>
      <c r="U95" s="43">
        <f>VLOOKUP(Table3[[#This Row],[Proxutil]],'TPI. Pa.'!$B$3:$C$52,2,0)</f>
        <v>5</v>
      </c>
      <c r="V95" s="43">
        <f>VLOOKUP(Table3[[#This Row],[ROW]],'TPI. Pa.'!$B$3:$C$52,2,0)</f>
        <v>10</v>
      </c>
      <c r="W95" s="43">
        <f>VLOOKUP(Table3[[#This Row],[ROW condition]],'TPI. Pa.'!$B$3:$C$52,2,0)</f>
        <v>3</v>
      </c>
      <c r="X9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6" spans="1:24" hidden="1">
      <c r="A96" s="80">
        <v>2</v>
      </c>
      <c r="B96" s="81">
        <v>671210104</v>
      </c>
      <c r="C96" s="82" t="s">
        <v>696</v>
      </c>
      <c r="D96" s="19"/>
      <c r="E96" s="19"/>
      <c r="F96" s="19"/>
      <c r="G96" s="19" t="s">
        <v>179</v>
      </c>
      <c r="H96" s="19" t="s">
        <v>185</v>
      </c>
      <c r="I96" s="19" t="s">
        <v>168</v>
      </c>
      <c r="J96" s="19" t="s">
        <v>183</v>
      </c>
      <c r="K96" s="19" t="s">
        <v>26</v>
      </c>
      <c r="L96" s="19" t="s">
        <v>217</v>
      </c>
      <c r="M96" s="19" t="s">
        <v>222</v>
      </c>
      <c r="N96" s="19" t="s">
        <v>228</v>
      </c>
      <c r="O96" s="38"/>
      <c r="P96" s="43">
        <f>VLOOKUP(Table3[[#This Row],[Depth of cover]],'TPI. Pa.'!$B$3:$C$52,2,0)</f>
        <v>2</v>
      </c>
      <c r="Q96" s="43">
        <f>VLOOKUP(Table3[[#This Row],[Additional protection]],'TPI. Pa.'!$B$3:$C$52,2,0)</f>
        <v>5</v>
      </c>
      <c r="R96" s="43">
        <f>VLOOKUP(Table3[[#This Row],[Failure due to TPI]],'TPI. Pa.'!$B$3:$C$52,2,0)</f>
        <v>4</v>
      </c>
      <c r="S96" s="43">
        <f>VLOOKUP(Table3[[#This Row],[Activity Level]],'TPI. Pa.'!$B$3:$C$52,2,0)</f>
        <v>10</v>
      </c>
      <c r="T96" s="43">
        <f>VLOOKUP(Table3[[#This Row],[Patrol frequency]],'TPI. Pa.'!$B$3:$C$52,2,0)</f>
        <v>1</v>
      </c>
      <c r="U96" s="43">
        <f>VLOOKUP(Table3[[#This Row],[Proxutil]],'TPI. Pa.'!$B$3:$C$52,2,0)</f>
        <v>5</v>
      </c>
      <c r="V96" s="43">
        <f>VLOOKUP(Table3[[#This Row],[ROW]],'TPI. Pa.'!$B$3:$C$52,2,0)</f>
        <v>10</v>
      </c>
      <c r="W96" s="43">
        <f>VLOOKUP(Table3[[#This Row],[ROW condition]],'TPI. Pa.'!$B$3:$C$52,2,0)</f>
        <v>3</v>
      </c>
      <c r="X9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7" spans="1:24" hidden="1">
      <c r="A97" s="80">
        <v>2</v>
      </c>
      <c r="B97" s="81">
        <v>6712102</v>
      </c>
      <c r="C97" s="82"/>
      <c r="D97" s="19"/>
      <c r="E97" s="19"/>
      <c r="F97" s="19"/>
      <c r="G97" s="19" t="s">
        <v>179</v>
      </c>
      <c r="H97" s="19" t="s">
        <v>185</v>
      </c>
      <c r="I97" s="19" t="s">
        <v>168</v>
      </c>
      <c r="J97" s="19" t="s">
        <v>183</v>
      </c>
      <c r="K97" s="19" t="s">
        <v>26</v>
      </c>
      <c r="L97" s="19" t="s">
        <v>217</v>
      </c>
      <c r="M97" s="19" t="s">
        <v>222</v>
      </c>
      <c r="N97" s="19" t="s">
        <v>228</v>
      </c>
      <c r="O97" s="38"/>
      <c r="P97" s="43">
        <f>VLOOKUP(Table3[[#This Row],[Depth of cover]],'TPI. Pa.'!$B$3:$C$52,2,0)</f>
        <v>2</v>
      </c>
      <c r="Q97" s="43">
        <f>VLOOKUP(Table3[[#This Row],[Additional protection]],'TPI. Pa.'!$B$3:$C$52,2,0)</f>
        <v>5</v>
      </c>
      <c r="R97" s="43">
        <f>VLOOKUP(Table3[[#This Row],[Failure due to TPI]],'TPI. Pa.'!$B$3:$C$52,2,0)</f>
        <v>4</v>
      </c>
      <c r="S97" s="43">
        <f>VLOOKUP(Table3[[#This Row],[Activity Level]],'TPI. Pa.'!$B$3:$C$52,2,0)</f>
        <v>10</v>
      </c>
      <c r="T97" s="43">
        <f>VLOOKUP(Table3[[#This Row],[Patrol frequency]],'TPI. Pa.'!$B$3:$C$52,2,0)</f>
        <v>1</v>
      </c>
      <c r="U97" s="43">
        <f>VLOOKUP(Table3[[#This Row],[Proxutil]],'TPI. Pa.'!$B$3:$C$52,2,0)</f>
        <v>5</v>
      </c>
      <c r="V97" s="43">
        <f>VLOOKUP(Table3[[#This Row],[ROW]],'TPI. Pa.'!$B$3:$C$52,2,0)</f>
        <v>10</v>
      </c>
      <c r="W97" s="43">
        <f>VLOOKUP(Table3[[#This Row],[ROW condition]],'TPI. Pa.'!$B$3:$C$52,2,0)</f>
        <v>3</v>
      </c>
      <c r="X9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8" spans="1:24" hidden="1">
      <c r="A98" s="80">
        <v>2</v>
      </c>
      <c r="B98" s="81">
        <v>671210201</v>
      </c>
      <c r="C98" s="82" t="s">
        <v>698</v>
      </c>
      <c r="D98" s="19"/>
      <c r="E98" s="19"/>
      <c r="F98" s="19"/>
      <c r="G98" s="19" t="s">
        <v>179</v>
      </c>
      <c r="H98" s="19" t="s">
        <v>185</v>
      </c>
      <c r="I98" s="19" t="s">
        <v>168</v>
      </c>
      <c r="J98" s="19" t="s">
        <v>183</v>
      </c>
      <c r="K98" s="19" t="s">
        <v>26</v>
      </c>
      <c r="L98" s="19" t="s">
        <v>217</v>
      </c>
      <c r="M98" s="19" t="s">
        <v>222</v>
      </c>
      <c r="N98" s="19" t="s">
        <v>228</v>
      </c>
      <c r="O98" s="38"/>
      <c r="P98" s="43">
        <f>VLOOKUP(Table3[[#This Row],[Depth of cover]],'TPI. Pa.'!$B$3:$C$52,2,0)</f>
        <v>2</v>
      </c>
      <c r="Q98" s="43">
        <f>VLOOKUP(Table3[[#This Row],[Additional protection]],'TPI. Pa.'!$B$3:$C$52,2,0)</f>
        <v>5</v>
      </c>
      <c r="R98" s="43">
        <f>VLOOKUP(Table3[[#This Row],[Failure due to TPI]],'TPI. Pa.'!$B$3:$C$52,2,0)</f>
        <v>4</v>
      </c>
      <c r="S98" s="43">
        <f>VLOOKUP(Table3[[#This Row],[Activity Level]],'TPI. Pa.'!$B$3:$C$52,2,0)</f>
        <v>10</v>
      </c>
      <c r="T98" s="43">
        <f>VLOOKUP(Table3[[#This Row],[Patrol frequency]],'TPI. Pa.'!$B$3:$C$52,2,0)</f>
        <v>1</v>
      </c>
      <c r="U98" s="43">
        <f>VLOOKUP(Table3[[#This Row],[Proxutil]],'TPI. Pa.'!$B$3:$C$52,2,0)</f>
        <v>5</v>
      </c>
      <c r="V98" s="43">
        <f>VLOOKUP(Table3[[#This Row],[ROW]],'TPI. Pa.'!$B$3:$C$52,2,0)</f>
        <v>10</v>
      </c>
      <c r="W98" s="43">
        <f>VLOOKUP(Table3[[#This Row],[ROW condition]],'TPI. Pa.'!$B$3:$C$52,2,0)</f>
        <v>3</v>
      </c>
      <c r="X9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99" spans="1:24" hidden="1">
      <c r="A99" s="80">
        <v>2</v>
      </c>
      <c r="B99" s="81">
        <v>671210202</v>
      </c>
      <c r="C99" s="82" t="s">
        <v>700</v>
      </c>
      <c r="D99" s="19"/>
      <c r="E99" s="19"/>
      <c r="F99" s="19"/>
      <c r="G99" s="19" t="s">
        <v>179</v>
      </c>
      <c r="H99" s="19" t="s">
        <v>185</v>
      </c>
      <c r="I99" s="19" t="s">
        <v>168</v>
      </c>
      <c r="J99" s="19" t="s">
        <v>183</v>
      </c>
      <c r="K99" s="19" t="s">
        <v>26</v>
      </c>
      <c r="L99" s="19" t="s">
        <v>217</v>
      </c>
      <c r="M99" s="19" t="s">
        <v>222</v>
      </c>
      <c r="N99" s="19" t="s">
        <v>228</v>
      </c>
      <c r="O99" s="38"/>
      <c r="P99" s="43">
        <f>VLOOKUP(Table3[[#This Row],[Depth of cover]],'TPI. Pa.'!$B$3:$C$52,2,0)</f>
        <v>2</v>
      </c>
      <c r="Q99" s="43">
        <f>VLOOKUP(Table3[[#This Row],[Additional protection]],'TPI. Pa.'!$B$3:$C$52,2,0)</f>
        <v>5</v>
      </c>
      <c r="R99" s="43">
        <f>VLOOKUP(Table3[[#This Row],[Failure due to TPI]],'TPI. Pa.'!$B$3:$C$52,2,0)</f>
        <v>4</v>
      </c>
      <c r="S99" s="43">
        <f>VLOOKUP(Table3[[#This Row],[Activity Level]],'TPI. Pa.'!$B$3:$C$52,2,0)</f>
        <v>10</v>
      </c>
      <c r="T99" s="43">
        <f>VLOOKUP(Table3[[#This Row],[Patrol frequency]],'TPI. Pa.'!$B$3:$C$52,2,0)</f>
        <v>1</v>
      </c>
      <c r="U99" s="43">
        <f>VLOOKUP(Table3[[#This Row],[Proxutil]],'TPI. Pa.'!$B$3:$C$52,2,0)</f>
        <v>5</v>
      </c>
      <c r="V99" s="43">
        <f>VLOOKUP(Table3[[#This Row],[ROW]],'TPI. Pa.'!$B$3:$C$52,2,0)</f>
        <v>10</v>
      </c>
      <c r="W99" s="43">
        <f>VLOOKUP(Table3[[#This Row],[ROW condition]],'TPI. Pa.'!$B$3:$C$52,2,0)</f>
        <v>3</v>
      </c>
      <c r="X9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0" spans="1:24" hidden="1">
      <c r="A100" s="80">
        <v>2</v>
      </c>
      <c r="B100" s="81">
        <v>6712103</v>
      </c>
      <c r="C100" s="82"/>
      <c r="D100" s="19"/>
      <c r="E100" s="19"/>
      <c r="F100" s="19"/>
      <c r="G100" s="19" t="s">
        <v>179</v>
      </c>
      <c r="H100" s="19" t="s">
        <v>185</v>
      </c>
      <c r="I100" s="19" t="s">
        <v>168</v>
      </c>
      <c r="J100" s="19" t="s">
        <v>183</v>
      </c>
      <c r="K100" s="19" t="s">
        <v>26</v>
      </c>
      <c r="L100" s="19" t="s">
        <v>217</v>
      </c>
      <c r="M100" s="19" t="s">
        <v>222</v>
      </c>
      <c r="N100" s="19" t="s">
        <v>228</v>
      </c>
      <c r="O100" s="38"/>
      <c r="P100" s="43">
        <f>VLOOKUP(Table3[[#This Row],[Depth of cover]],'TPI. Pa.'!$B$3:$C$52,2,0)</f>
        <v>2</v>
      </c>
      <c r="Q100" s="43">
        <f>VLOOKUP(Table3[[#This Row],[Additional protection]],'TPI. Pa.'!$B$3:$C$52,2,0)</f>
        <v>5</v>
      </c>
      <c r="R100" s="43">
        <f>VLOOKUP(Table3[[#This Row],[Failure due to TPI]],'TPI. Pa.'!$B$3:$C$52,2,0)</f>
        <v>4</v>
      </c>
      <c r="S100" s="43">
        <f>VLOOKUP(Table3[[#This Row],[Activity Level]],'TPI. Pa.'!$B$3:$C$52,2,0)</f>
        <v>10</v>
      </c>
      <c r="T100" s="43">
        <f>VLOOKUP(Table3[[#This Row],[Patrol frequency]],'TPI. Pa.'!$B$3:$C$52,2,0)</f>
        <v>1</v>
      </c>
      <c r="U100" s="43">
        <f>VLOOKUP(Table3[[#This Row],[Proxutil]],'TPI. Pa.'!$B$3:$C$52,2,0)</f>
        <v>5</v>
      </c>
      <c r="V100" s="43">
        <f>VLOOKUP(Table3[[#This Row],[ROW]],'TPI. Pa.'!$B$3:$C$52,2,0)</f>
        <v>10</v>
      </c>
      <c r="W100" s="43">
        <f>VLOOKUP(Table3[[#This Row],[ROW condition]],'TPI. Pa.'!$B$3:$C$52,2,0)</f>
        <v>3</v>
      </c>
      <c r="X10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1" spans="1:24" hidden="1">
      <c r="A101" s="80">
        <v>2</v>
      </c>
      <c r="B101" s="81">
        <v>671210301</v>
      </c>
      <c r="C101" s="82" t="s">
        <v>702</v>
      </c>
      <c r="D101" s="19"/>
      <c r="E101" s="19"/>
      <c r="F101" s="19"/>
      <c r="G101" s="19" t="s">
        <v>179</v>
      </c>
      <c r="H101" s="19" t="s">
        <v>185</v>
      </c>
      <c r="I101" s="19" t="s">
        <v>168</v>
      </c>
      <c r="J101" s="19" t="s">
        <v>183</v>
      </c>
      <c r="K101" s="19" t="s">
        <v>26</v>
      </c>
      <c r="L101" s="19" t="s">
        <v>217</v>
      </c>
      <c r="M101" s="19" t="s">
        <v>222</v>
      </c>
      <c r="N101" s="19" t="s">
        <v>228</v>
      </c>
      <c r="O101" s="38"/>
      <c r="P101" s="43">
        <f>VLOOKUP(Table3[[#This Row],[Depth of cover]],'TPI. Pa.'!$B$3:$C$52,2,0)</f>
        <v>2</v>
      </c>
      <c r="Q101" s="43">
        <f>VLOOKUP(Table3[[#This Row],[Additional protection]],'TPI. Pa.'!$B$3:$C$52,2,0)</f>
        <v>5</v>
      </c>
      <c r="R101" s="43">
        <f>VLOOKUP(Table3[[#This Row],[Failure due to TPI]],'TPI. Pa.'!$B$3:$C$52,2,0)</f>
        <v>4</v>
      </c>
      <c r="S101" s="43">
        <f>VLOOKUP(Table3[[#This Row],[Activity Level]],'TPI. Pa.'!$B$3:$C$52,2,0)</f>
        <v>10</v>
      </c>
      <c r="T101" s="43">
        <f>VLOOKUP(Table3[[#This Row],[Patrol frequency]],'TPI. Pa.'!$B$3:$C$52,2,0)</f>
        <v>1</v>
      </c>
      <c r="U101" s="43">
        <f>VLOOKUP(Table3[[#This Row],[Proxutil]],'TPI. Pa.'!$B$3:$C$52,2,0)</f>
        <v>5</v>
      </c>
      <c r="V101" s="43">
        <f>VLOOKUP(Table3[[#This Row],[ROW]],'TPI. Pa.'!$B$3:$C$52,2,0)</f>
        <v>10</v>
      </c>
      <c r="W101" s="43">
        <f>VLOOKUP(Table3[[#This Row],[ROW condition]],'TPI. Pa.'!$B$3:$C$52,2,0)</f>
        <v>3</v>
      </c>
      <c r="X10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2" spans="1:24" hidden="1">
      <c r="A102" s="80">
        <v>2</v>
      </c>
      <c r="B102" s="81">
        <v>671210401</v>
      </c>
      <c r="C102" s="82" t="s">
        <v>704</v>
      </c>
      <c r="D102" s="19"/>
      <c r="E102" s="19"/>
      <c r="F102" s="19"/>
      <c r="G102" s="19" t="s">
        <v>179</v>
      </c>
      <c r="H102" s="19" t="s">
        <v>185</v>
      </c>
      <c r="I102" s="19" t="s">
        <v>168</v>
      </c>
      <c r="J102" s="19" t="s">
        <v>183</v>
      </c>
      <c r="K102" s="19" t="s">
        <v>26</v>
      </c>
      <c r="L102" s="19" t="s">
        <v>217</v>
      </c>
      <c r="M102" s="19" t="s">
        <v>222</v>
      </c>
      <c r="N102" s="19" t="s">
        <v>228</v>
      </c>
      <c r="O102" s="38"/>
      <c r="P102" s="43">
        <f>VLOOKUP(Table3[[#This Row],[Depth of cover]],'TPI. Pa.'!$B$3:$C$52,2,0)</f>
        <v>2</v>
      </c>
      <c r="Q102" s="43">
        <f>VLOOKUP(Table3[[#This Row],[Additional protection]],'TPI. Pa.'!$B$3:$C$52,2,0)</f>
        <v>5</v>
      </c>
      <c r="R102" s="43">
        <f>VLOOKUP(Table3[[#This Row],[Failure due to TPI]],'TPI. Pa.'!$B$3:$C$52,2,0)</f>
        <v>4</v>
      </c>
      <c r="S102" s="43">
        <f>VLOOKUP(Table3[[#This Row],[Activity Level]],'TPI. Pa.'!$B$3:$C$52,2,0)</f>
        <v>10</v>
      </c>
      <c r="T102" s="43">
        <f>VLOOKUP(Table3[[#This Row],[Patrol frequency]],'TPI. Pa.'!$B$3:$C$52,2,0)</f>
        <v>1</v>
      </c>
      <c r="U102" s="43">
        <f>VLOOKUP(Table3[[#This Row],[Proxutil]],'TPI. Pa.'!$B$3:$C$52,2,0)</f>
        <v>5</v>
      </c>
      <c r="V102" s="43">
        <f>VLOOKUP(Table3[[#This Row],[ROW]],'TPI. Pa.'!$B$3:$C$52,2,0)</f>
        <v>10</v>
      </c>
      <c r="W102" s="43">
        <f>VLOOKUP(Table3[[#This Row],[ROW condition]],'TPI. Pa.'!$B$3:$C$52,2,0)</f>
        <v>3</v>
      </c>
      <c r="X10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3" spans="1:24" hidden="1">
      <c r="A103" s="80">
        <v>2</v>
      </c>
      <c r="B103" s="81">
        <v>6712104</v>
      </c>
      <c r="C103" s="82" t="s">
        <v>678</v>
      </c>
      <c r="D103" s="19"/>
      <c r="E103" s="19"/>
      <c r="F103" s="19"/>
      <c r="G103" s="19" t="s">
        <v>179</v>
      </c>
      <c r="H103" s="19" t="s">
        <v>185</v>
      </c>
      <c r="I103" s="19" t="s">
        <v>168</v>
      </c>
      <c r="J103" s="19" t="s">
        <v>183</v>
      </c>
      <c r="K103" s="19" t="s">
        <v>26</v>
      </c>
      <c r="L103" s="19" t="s">
        <v>217</v>
      </c>
      <c r="M103" s="19" t="s">
        <v>222</v>
      </c>
      <c r="N103" s="19" t="s">
        <v>228</v>
      </c>
      <c r="O103" s="38"/>
      <c r="P103" s="43">
        <f>VLOOKUP(Table3[[#This Row],[Depth of cover]],'TPI. Pa.'!$B$3:$C$52,2,0)</f>
        <v>2</v>
      </c>
      <c r="Q103" s="43">
        <f>VLOOKUP(Table3[[#This Row],[Additional protection]],'TPI. Pa.'!$B$3:$C$52,2,0)</f>
        <v>5</v>
      </c>
      <c r="R103" s="43">
        <f>VLOOKUP(Table3[[#This Row],[Failure due to TPI]],'TPI. Pa.'!$B$3:$C$52,2,0)</f>
        <v>4</v>
      </c>
      <c r="S103" s="43">
        <f>VLOOKUP(Table3[[#This Row],[Activity Level]],'TPI. Pa.'!$B$3:$C$52,2,0)</f>
        <v>10</v>
      </c>
      <c r="T103" s="43">
        <f>VLOOKUP(Table3[[#This Row],[Patrol frequency]],'TPI. Pa.'!$B$3:$C$52,2,0)</f>
        <v>1</v>
      </c>
      <c r="U103" s="43">
        <f>VLOOKUP(Table3[[#This Row],[Proxutil]],'TPI. Pa.'!$B$3:$C$52,2,0)</f>
        <v>5</v>
      </c>
      <c r="V103" s="43">
        <f>VLOOKUP(Table3[[#This Row],[ROW]],'TPI. Pa.'!$B$3:$C$52,2,0)</f>
        <v>10</v>
      </c>
      <c r="W103" s="43">
        <f>VLOOKUP(Table3[[#This Row],[ROW condition]],'TPI. Pa.'!$B$3:$C$52,2,0)</f>
        <v>3</v>
      </c>
      <c r="X10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4" spans="1:24" hidden="1">
      <c r="A104" s="80">
        <v>2</v>
      </c>
      <c r="B104" s="81">
        <v>6712105</v>
      </c>
      <c r="C104" s="82" t="s">
        <v>267</v>
      </c>
      <c r="D104" s="19"/>
      <c r="E104" s="19"/>
      <c r="F104" s="19"/>
      <c r="G104" s="19" t="s">
        <v>179</v>
      </c>
      <c r="H104" s="19" t="s">
        <v>185</v>
      </c>
      <c r="I104" s="19" t="s">
        <v>168</v>
      </c>
      <c r="J104" s="19" t="s">
        <v>183</v>
      </c>
      <c r="K104" s="19" t="s">
        <v>26</v>
      </c>
      <c r="L104" s="19" t="s">
        <v>217</v>
      </c>
      <c r="M104" s="19" t="s">
        <v>222</v>
      </c>
      <c r="N104" s="19" t="s">
        <v>228</v>
      </c>
      <c r="O104" s="38"/>
      <c r="P104" s="43">
        <f>VLOOKUP(Table3[[#This Row],[Depth of cover]],'TPI. Pa.'!$B$3:$C$52,2,0)</f>
        <v>2</v>
      </c>
      <c r="Q104" s="43">
        <f>VLOOKUP(Table3[[#This Row],[Additional protection]],'TPI. Pa.'!$B$3:$C$52,2,0)</f>
        <v>5</v>
      </c>
      <c r="R104" s="43">
        <f>VLOOKUP(Table3[[#This Row],[Failure due to TPI]],'TPI. Pa.'!$B$3:$C$52,2,0)</f>
        <v>4</v>
      </c>
      <c r="S104" s="43">
        <f>VLOOKUP(Table3[[#This Row],[Activity Level]],'TPI. Pa.'!$B$3:$C$52,2,0)</f>
        <v>10</v>
      </c>
      <c r="T104" s="43">
        <f>VLOOKUP(Table3[[#This Row],[Patrol frequency]],'TPI. Pa.'!$B$3:$C$52,2,0)</f>
        <v>1</v>
      </c>
      <c r="U104" s="43">
        <f>VLOOKUP(Table3[[#This Row],[Proxutil]],'TPI. Pa.'!$B$3:$C$52,2,0)</f>
        <v>5</v>
      </c>
      <c r="V104" s="43">
        <f>VLOOKUP(Table3[[#This Row],[ROW]],'TPI. Pa.'!$B$3:$C$52,2,0)</f>
        <v>10</v>
      </c>
      <c r="W104" s="43">
        <f>VLOOKUP(Table3[[#This Row],[ROW condition]],'TPI. Pa.'!$B$3:$C$52,2,0)</f>
        <v>3</v>
      </c>
      <c r="X10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5" spans="1:24" hidden="1">
      <c r="A105" s="80">
        <v>2</v>
      </c>
      <c r="B105" s="81">
        <v>67122</v>
      </c>
      <c r="C105" s="82" t="s">
        <v>672</v>
      </c>
      <c r="D105" s="19"/>
      <c r="E105" s="19"/>
      <c r="F105" s="19"/>
      <c r="G105" s="19" t="s">
        <v>179</v>
      </c>
      <c r="H105" s="19" t="s">
        <v>185</v>
      </c>
      <c r="I105" s="19" t="s">
        <v>168</v>
      </c>
      <c r="J105" s="19" t="s">
        <v>183</v>
      </c>
      <c r="K105" s="19" t="s">
        <v>26</v>
      </c>
      <c r="L105" s="19" t="s">
        <v>217</v>
      </c>
      <c r="M105" s="19" t="s">
        <v>222</v>
      </c>
      <c r="N105" s="19" t="s">
        <v>228</v>
      </c>
      <c r="O105" s="38"/>
      <c r="P105" s="43">
        <f>VLOOKUP(Table3[[#This Row],[Depth of cover]],'TPI. Pa.'!$B$3:$C$52,2,0)</f>
        <v>2</v>
      </c>
      <c r="Q105" s="43">
        <f>VLOOKUP(Table3[[#This Row],[Additional protection]],'TPI. Pa.'!$B$3:$C$52,2,0)</f>
        <v>5</v>
      </c>
      <c r="R105" s="43">
        <f>VLOOKUP(Table3[[#This Row],[Failure due to TPI]],'TPI. Pa.'!$B$3:$C$52,2,0)</f>
        <v>4</v>
      </c>
      <c r="S105" s="43">
        <f>VLOOKUP(Table3[[#This Row],[Activity Level]],'TPI. Pa.'!$B$3:$C$52,2,0)</f>
        <v>10</v>
      </c>
      <c r="T105" s="43">
        <f>VLOOKUP(Table3[[#This Row],[Patrol frequency]],'TPI. Pa.'!$B$3:$C$52,2,0)</f>
        <v>1</v>
      </c>
      <c r="U105" s="43">
        <f>VLOOKUP(Table3[[#This Row],[Proxutil]],'TPI. Pa.'!$B$3:$C$52,2,0)</f>
        <v>5</v>
      </c>
      <c r="V105" s="43">
        <f>VLOOKUP(Table3[[#This Row],[ROW]],'TPI. Pa.'!$B$3:$C$52,2,0)</f>
        <v>10</v>
      </c>
      <c r="W105" s="43">
        <f>VLOOKUP(Table3[[#This Row],[ROW condition]],'TPI. Pa.'!$B$3:$C$52,2,0)</f>
        <v>3</v>
      </c>
      <c r="X10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6" spans="1:24" hidden="1">
      <c r="A106" s="80">
        <v>2</v>
      </c>
      <c r="B106" s="81">
        <v>673010101</v>
      </c>
      <c r="C106" s="82" t="s">
        <v>718</v>
      </c>
      <c r="D106" s="19"/>
      <c r="E106" s="19"/>
      <c r="F106" s="19"/>
      <c r="G106" s="19" t="s">
        <v>179</v>
      </c>
      <c r="H106" s="19" t="s">
        <v>185</v>
      </c>
      <c r="I106" s="19" t="s">
        <v>168</v>
      </c>
      <c r="J106" s="19" t="s">
        <v>183</v>
      </c>
      <c r="K106" s="19" t="s">
        <v>26</v>
      </c>
      <c r="L106" s="19" t="s">
        <v>217</v>
      </c>
      <c r="M106" s="19" t="s">
        <v>222</v>
      </c>
      <c r="N106" s="19" t="s">
        <v>228</v>
      </c>
      <c r="O106" s="38"/>
      <c r="P106" s="43">
        <f>VLOOKUP(Table3[[#This Row],[Depth of cover]],'TPI. Pa.'!$B$3:$C$52,2,0)</f>
        <v>2</v>
      </c>
      <c r="Q106" s="43">
        <f>VLOOKUP(Table3[[#This Row],[Additional protection]],'TPI. Pa.'!$B$3:$C$52,2,0)</f>
        <v>5</v>
      </c>
      <c r="R106" s="43">
        <f>VLOOKUP(Table3[[#This Row],[Failure due to TPI]],'TPI. Pa.'!$B$3:$C$52,2,0)</f>
        <v>4</v>
      </c>
      <c r="S106" s="43">
        <f>VLOOKUP(Table3[[#This Row],[Activity Level]],'TPI. Pa.'!$B$3:$C$52,2,0)</f>
        <v>10</v>
      </c>
      <c r="T106" s="43">
        <f>VLOOKUP(Table3[[#This Row],[Patrol frequency]],'TPI. Pa.'!$B$3:$C$52,2,0)</f>
        <v>1</v>
      </c>
      <c r="U106" s="43">
        <f>VLOOKUP(Table3[[#This Row],[Proxutil]],'TPI. Pa.'!$B$3:$C$52,2,0)</f>
        <v>5</v>
      </c>
      <c r="V106" s="43">
        <f>VLOOKUP(Table3[[#This Row],[ROW]],'TPI. Pa.'!$B$3:$C$52,2,0)</f>
        <v>10</v>
      </c>
      <c r="W106" s="43">
        <f>VLOOKUP(Table3[[#This Row],[ROW condition]],'TPI. Pa.'!$B$3:$C$52,2,0)</f>
        <v>3</v>
      </c>
      <c r="X10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7" spans="1:24" hidden="1">
      <c r="A107" s="80">
        <v>2</v>
      </c>
      <c r="B107" s="81">
        <v>67303</v>
      </c>
      <c r="C107" s="82" t="s">
        <v>714</v>
      </c>
      <c r="D107" s="19"/>
      <c r="E107" s="19"/>
      <c r="F107" s="19"/>
      <c r="G107" s="19" t="s">
        <v>179</v>
      </c>
      <c r="H107" s="19" t="s">
        <v>185</v>
      </c>
      <c r="I107" s="19" t="s">
        <v>168</v>
      </c>
      <c r="J107" s="19" t="s">
        <v>183</v>
      </c>
      <c r="K107" s="19" t="s">
        <v>26</v>
      </c>
      <c r="L107" s="19" t="s">
        <v>217</v>
      </c>
      <c r="M107" s="19" t="s">
        <v>222</v>
      </c>
      <c r="N107" s="19" t="s">
        <v>228</v>
      </c>
      <c r="O107" s="38"/>
      <c r="P107" s="43">
        <f>VLOOKUP(Table3[[#This Row],[Depth of cover]],'TPI. Pa.'!$B$3:$C$52,2,0)</f>
        <v>2</v>
      </c>
      <c r="Q107" s="43">
        <f>VLOOKUP(Table3[[#This Row],[Additional protection]],'TPI. Pa.'!$B$3:$C$52,2,0)</f>
        <v>5</v>
      </c>
      <c r="R107" s="43">
        <f>VLOOKUP(Table3[[#This Row],[Failure due to TPI]],'TPI. Pa.'!$B$3:$C$52,2,0)</f>
        <v>4</v>
      </c>
      <c r="S107" s="43">
        <f>VLOOKUP(Table3[[#This Row],[Activity Level]],'TPI. Pa.'!$B$3:$C$52,2,0)</f>
        <v>10</v>
      </c>
      <c r="T107" s="43">
        <f>VLOOKUP(Table3[[#This Row],[Patrol frequency]],'TPI. Pa.'!$B$3:$C$52,2,0)</f>
        <v>1</v>
      </c>
      <c r="U107" s="43">
        <f>VLOOKUP(Table3[[#This Row],[Proxutil]],'TPI. Pa.'!$B$3:$C$52,2,0)</f>
        <v>5</v>
      </c>
      <c r="V107" s="43">
        <f>VLOOKUP(Table3[[#This Row],[ROW]],'TPI. Pa.'!$B$3:$C$52,2,0)</f>
        <v>10</v>
      </c>
      <c r="W107" s="43">
        <f>VLOOKUP(Table3[[#This Row],[ROW condition]],'TPI. Pa.'!$B$3:$C$52,2,0)</f>
        <v>3</v>
      </c>
      <c r="X10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8" spans="1:24" hidden="1">
      <c r="A108" s="84">
        <v>2</v>
      </c>
      <c r="B108" s="81">
        <v>67311</v>
      </c>
      <c r="C108" s="82" t="s">
        <v>261</v>
      </c>
      <c r="D108" s="19"/>
      <c r="E108" s="19"/>
      <c r="F108" s="19"/>
      <c r="G108" s="19" t="s">
        <v>179</v>
      </c>
      <c r="H108" s="19" t="s">
        <v>185</v>
      </c>
      <c r="I108" s="19" t="s">
        <v>168</v>
      </c>
      <c r="J108" s="19" t="s">
        <v>183</v>
      </c>
      <c r="K108" s="19" t="s">
        <v>26</v>
      </c>
      <c r="L108" s="19" t="s">
        <v>217</v>
      </c>
      <c r="M108" s="19" t="s">
        <v>222</v>
      </c>
      <c r="N108" s="19" t="s">
        <v>228</v>
      </c>
      <c r="O108" s="38"/>
      <c r="P108" s="43">
        <f>VLOOKUP(Table3[[#This Row],[Depth of cover]],'TPI. Pa.'!$B$3:$C$52,2,0)</f>
        <v>2</v>
      </c>
      <c r="Q108" s="43">
        <f>VLOOKUP(Table3[[#This Row],[Additional protection]],'TPI. Pa.'!$B$3:$C$52,2,0)</f>
        <v>5</v>
      </c>
      <c r="R108" s="43">
        <f>VLOOKUP(Table3[[#This Row],[Failure due to TPI]],'TPI. Pa.'!$B$3:$C$52,2,0)</f>
        <v>4</v>
      </c>
      <c r="S108" s="43">
        <f>VLOOKUP(Table3[[#This Row],[Activity Level]],'TPI. Pa.'!$B$3:$C$52,2,0)</f>
        <v>10</v>
      </c>
      <c r="T108" s="43">
        <f>VLOOKUP(Table3[[#This Row],[Patrol frequency]],'TPI. Pa.'!$B$3:$C$52,2,0)</f>
        <v>1</v>
      </c>
      <c r="U108" s="43">
        <f>VLOOKUP(Table3[[#This Row],[Proxutil]],'TPI. Pa.'!$B$3:$C$52,2,0)</f>
        <v>5</v>
      </c>
      <c r="V108" s="43">
        <f>VLOOKUP(Table3[[#This Row],[ROW]],'TPI. Pa.'!$B$3:$C$52,2,0)</f>
        <v>10</v>
      </c>
      <c r="W108" s="43">
        <f>VLOOKUP(Table3[[#This Row],[ROW condition]],'TPI. Pa.'!$B$3:$C$52,2,0)</f>
        <v>3</v>
      </c>
      <c r="X10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09" spans="1:24" hidden="1">
      <c r="A109" s="84">
        <v>2</v>
      </c>
      <c r="B109" s="81">
        <v>69211</v>
      </c>
      <c r="C109" s="82" t="s">
        <v>262</v>
      </c>
      <c r="D109" s="19"/>
      <c r="E109" s="19"/>
      <c r="F109" s="19"/>
      <c r="G109" s="19" t="s">
        <v>179</v>
      </c>
      <c r="H109" s="19" t="s">
        <v>185</v>
      </c>
      <c r="I109" s="19" t="s">
        <v>168</v>
      </c>
      <c r="J109" s="19" t="s">
        <v>183</v>
      </c>
      <c r="K109" s="19" t="s">
        <v>26</v>
      </c>
      <c r="L109" s="19" t="s">
        <v>217</v>
      </c>
      <c r="M109" s="19" t="s">
        <v>222</v>
      </c>
      <c r="N109" s="19" t="s">
        <v>228</v>
      </c>
      <c r="O109" s="38"/>
      <c r="P109" s="43">
        <f>VLOOKUP(Table3[[#This Row],[Depth of cover]],'TPI. Pa.'!$B$3:$C$52,2,0)</f>
        <v>2</v>
      </c>
      <c r="Q109" s="43">
        <f>VLOOKUP(Table3[[#This Row],[Additional protection]],'TPI. Pa.'!$B$3:$C$52,2,0)</f>
        <v>5</v>
      </c>
      <c r="R109" s="43">
        <f>VLOOKUP(Table3[[#This Row],[Failure due to TPI]],'TPI. Pa.'!$B$3:$C$52,2,0)</f>
        <v>4</v>
      </c>
      <c r="S109" s="43">
        <f>VLOOKUP(Table3[[#This Row],[Activity Level]],'TPI. Pa.'!$B$3:$C$52,2,0)</f>
        <v>10</v>
      </c>
      <c r="T109" s="43">
        <f>VLOOKUP(Table3[[#This Row],[Patrol frequency]],'TPI. Pa.'!$B$3:$C$52,2,0)</f>
        <v>1</v>
      </c>
      <c r="U109" s="43">
        <f>VLOOKUP(Table3[[#This Row],[Proxutil]],'TPI. Pa.'!$B$3:$C$52,2,0)</f>
        <v>5</v>
      </c>
      <c r="V109" s="43">
        <f>VLOOKUP(Table3[[#This Row],[ROW]],'TPI. Pa.'!$B$3:$C$52,2,0)</f>
        <v>10</v>
      </c>
      <c r="W109" s="43">
        <f>VLOOKUP(Table3[[#This Row],[ROW condition]],'TPI. Pa.'!$B$3:$C$52,2,0)</f>
        <v>3</v>
      </c>
      <c r="X10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0" spans="1:24" hidden="1">
      <c r="A110" s="84">
        <v>2</v>
      </c>
      <c r="B110" s="81">
        <v>671111</v>
      </c>
      <c r="C110" s="82" t="s">
        <v>263</v>
      </c>
      <c r="D110" s="19"/>
      <c r="E110" s="19"/>
      <c r="F110" s="19"/>
      <c r="G110" s="19" t="s">
        <v>179</v>
      </c>
      <c r="H110" s="19" t="s">
        <v>185</v>
      </c>
      <c r="I110" s="19" t="s">
        <v>168</v>
      </c>
      <c r="J110" s="19" t="s">
        <v>183</v>
      </c>
      <c r="K110" s="19" t="s">
        <v>26</v>
      </c>
      <c r="L110" s="19" t="s">
        <v>217</v>
      </c>
      <c r="M110" s="19" t="s">
        <v>222</v>
      </c>
      <c r="N110" s="19" t="s">
        <v>228</v>
      </c>
      <c r="O110" s="38"/>
      <c r="P110" s="43">
        <f>VLOOKUP(Table3[[#This Row],[Depth of cover]],'TPI. Pa.'!$B$3:$C$52,2,0)</f>
        <v>2</v>
      </c>
      <c r="Q110" s="43">
        <f>VLOOKUP(Table3[[#This Row],[Additional protection]],'TPI. Pa.'!$B$3:$C$52,2,0)</f>
        <v>5</v>
      </c>
      <c r="R110" s="43">
        <f>VLOOKUP(Table3[[#This Row],[Failure due to TPI]],'TPI. Pa.'!$B$3:$C$52,2,0)</f>
        <v>4</v>
      </c>
      <c r="S110" s="43">
        <f>VLOOKUP(Table3[[#This Row],[Activity Level]],'TPI. Pa.'!$B$3:$C$52,2,0)</f>
        <v>10</v>
      </c>
      <c r="T110" s="43">
        <f>VLOOKUP(Table3[[#This Row],[Patrol frequency]],'TPI. Pa.'!$B$3:$C$52,2,0)</f>
        <v>1</v>
      </c>
      <c r="U110" s="43">
        <f>VLOOKUP(Table3[[#This Row],[Proxutil]],'TPI. Pa.'!$B$3:$C$52,2,0)</f>
        <v>5</v>
      </c>
      <c r="V110" s="43">
        <f>VLOOKUP(Table3[[#This Row],[ROW]],'TPI. Pa.'!$B$3:$C$52,2,0)</f>
        <v>10</v>
      </c>
      <c r="W110" s="43">
        <f>VLOOKUP(Table3[[#This Row],[ROW condition]],'TPI. Pa.'!$B$3:$C$52,2,0)</f>
        <v>3</v>
      </c>
      <c r="X11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1" spans="1:24" hidden="1">
      <c r="A111" s="84">
        <v>2</v>
      </c>
      <c r="B111" s="81">
        <v>6360106</v>
      </c>
      <c r="C111" s="82" t="s">
        <v>264</v>
      </c>
      <c r="D111" s="19"/>
      <c r="E111" s="19"/>
      <c r="F111" s="19"/>
      <c r="G111" s="19" t="s">
        <v>179</v>
      </c>
      <c r="H111" s="19" t="s">
        <v>185</v>
      </c>
      <c r="I111" s="19" t="s">
        <v>168</v>
      </c>
      <c r="J111" s="19" t="s">
        <v>183</v>
      </c>
      <c r="K111" s="19" t="s">
        <v>26</v>
      </c>
      <c r="L111" s="19" t="s">
        <v>217</v>
      </c>
      <c r="M111" s="19" t="s">
        <v>222</v>
      </c>
      <c r="N111" s="19" t="s">
        <v>228</v>
      </c>
      <c r="O111" s="38"/>
      <c r="P111" s="43">
        <f>VLOOKUP(Table3[[#This Row],[Depth of cover]],'TPI. Pa.'!$B$3:$C$52,2,0)</f>
        <v>2</v>
      </c>
      <c r="Q111" s="43">
        <f>VLOOKUP(Table3[[#This Row],[Additional protection]],'TPI. Pa.'!$B$3:$C$52,2,0)</f>
        <v>5</v>
      </c>
      <c r="R111" s="43">
        <f>VLOOKUP(Table3[[#This Row],[Failure due to TPI]],'TPI. Pa.'!$B$3:$C$52,2,0)</f>
        <v>4</v>
      </c>
      <c r="S111" s="43">
        <f>VLOOKUP(Table3[[#This Row],[Activity Level]],'TPI. Pa.'!$B$3:$C$52,2,0)</f>
        <v>10</v>
      </c>
      <c r="T111" s="43">
        <f>VLOOKUP(Table3[[#This Row],[Patrol frequency]],'TPI. Pa.'!$B$3:$C$52,2,0)</f>
        <v>1</v>
      </c>
      <c r="U111" s="43">
        <f>VLOOKUP(Table3[[#This Row],[Proxutil]],'TPI. Pa.'!$B$3:$C$52,2,0)</f>
        <v>5</v>
      </c>
      <c r="V111" s="43">
        <f>VLOOKUP(Table3[[#This Row],[ROW]],'TPI. Pa.'!$B$3:$C$52,2,0)</f>
        <v>10</v>
      </c>
      <c r="W111" s="43">
        <f>VLOOKUP(Table3[[#This Row],[ROW condition]],'TPI. Pa.'!$B$3:$C$52,2,0)</f>
        <v>3</v>
      </c>
      <c r="X11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2" spans="1:24" hidden="1">
      <c r="A112" s="84">
        <v>2</v>
      </c>
      <c r="B112" s="81">
        <v>6582101</v>
      </c>
      <c r="C112" s="82" t="s">
        <v>265</v>
      </c>
      <c r="D112" s="19"/>
      <c r="E112" s="19"/>
      <c r="F112" s="19"/>
      <c r="G112" s="19" t="s">
        <v>179</v>
      </c>
      <c r="H112" s="19" t="s">
        <v>185</v>
      </c>
      <c r="I112" s="19" t="s">
        <v>168</v>
      </c>
      <c r="J112" s="19" t="s">
        <v>191</v>
      </c>
      <c r="K112" s="19" t="s">
        <v>26</v>
      </c>
      <c r="L112" s="19" t="s">
        <v>217</v>
      </c>
      <c r="M112" s="19" t="s">
        <v>222</v>
      </c>
      <c r="N112" s="19" t="s">
        <v>228</v>
      </c>
      <c r="O112" s="38"/>
      <c r="P112" s="43">
        <f>VLOOKUP(Table3[[#This Row],[Depth of cover]],'TPI. Pa.'!$B$3:$C$52,2,0)</f>
        <v>2</v>
      </c>
      <c r="Q112" s="43">
        <f>VLOOKUP(Table3[[#This Row],[Additional protection]],'TPI. Pa.'!$B$3:$C$52,2,0)</f>
        <v>5</v>
      </c>
      <c r="R112" s="43">
        <f>VLOOKUP(Table3[[#This Row],[Failure due to TPI]],'TPI. Pa.'!$B$3:$C$52,2,0)</f>
        <v>4</v>
      </c>
      <c r="S112" s="43">
        <f>VLOOKUP(Table3[[#This Row],[Activity Level]],'TPI. Pa.'!$B$3:$C$52,2,0)</f>
        <v>3</v>
      </c>
      <c r="T112" s="43">
        <f>VLOOKUP(Table3[[#This Row],[Patrol frequency]],'TPI. Pa.'!$B$3:$C$52,2,0)</f>
        <v>1</v>
      </c>
      <c r="U112" s="43">
        <f>VLOOKUP(Table3[[#This Row],[Proxutil]],'TPI. Pa.'!$B$3:$C$52,2,0)</f>
        <v>5</v>
      </c>
      <c r="V112" s="43">
        <f>VLOOKUP(Table3[[#This Row],[ROW]],'TPI. Pa.'!$B$3:$C$52,2,0)</f>
        <v>10</v>
      </c>
      <c r="W112" s="43">
        <f>VLOOKUP(Table3[[#This Row],[ROW condition]],'TPI. Pa.'!$B$3:$C$52,2,0)</f>
        <v>3</v>
      </c>
      <c r="X11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13" spans="1:24" hidden="1">
      <c r="A113" s="80">
        <v>2</v>
      </c>
      <c r="B113" s="81" t="s">
        <v>858</v>
      </c>
      <c r="C113" s="82" t="s">
        <v>622</v>
      </c>
      <c r="D113" s="19"/>
      <c r="E113" s="19"/>
      <c r="F113" s="19"/>
      <c r="G113" s="19" t="s">
        <v>179</v>
      </c>
      <c r="H113" s="19" t="s">
        <v>185</v>
      </c>
      <c r="I113" s="19" t="s">
        <v>168</v>
      </c>
      <c r="J113" s="19" t="s">
        <v>183</v>
      </c>
      <c r="K113" s="19" t="s">
        <v>26</v>
      </c>
      <c r="L113" s="19" t="s">
        <v>217</v>
      </c>
      <c r="M113" s="19" t="s">
        <v>222</v>
      </c>
      <c r="N113" s="19" t="s">
        <v>228</v>
      </c>
      <c r="O113" s="38"/>
      <c r="P113" s="43">
        <f>VLOOKUP(Table3[[#This Row],[Depth of cover]],'TPI. Pa.'!$B$3:$C$52,2,0)</f>
        <v>2</v>
      </c>
      <c r="Q113" s="43">
        <f>VLOOKUP(Table3[[#This Row],[Additional protection]],'TPI. Pa.'!$B$3:$C$52,2,0)</f>
        <v>5</v>
      </c>
      <c r="R113" s="43">
        <f>VLOOKUP(Table3[[#This Row],[Failure due to TPI]],'TPI. Pa.'!$B$3:$C$52,2,0)</f>
        <v>4</v>
      </c>
      <c r="S113" s="43">
        <f>VLOOKUP(Table3[[#This Row],[Activity Level]],'TPI. Pa.'!$B$3:$C$52,2,0)</f>
        <v>10</v>
      </c>
      <c r="T113" s="43">
        <f>VLOOKUP(Table3[[#This Row],[Patrol frequency]],'TPI. Pa.'!$B$3:$C$52,2,0)</f>
        <v>1</v>
      </c>
      <c r="U113" s="43">
        <f>VLOOKUP(Table3[[#This Row],[Proxutil]],'TPI. Pa.'!$B$3:$C$52,2,0)</f>
        <v>5</v>
      </c>
      <c r="V113" s="43">
        <f>VLOOKUP(Table3[[#This Row],[ROW]],'TPI. Pa.'!$B$3:$C$52,2,0)</f>
        <v>10</v>
      </c>
      <c r="W113" s="43">
        <f>VLOOKUP(Table3[[#This Row],[ROW condition]],'TPI. Pa.'!$B$3:$C$52,2,0)</f>
        <v>3</v>
      </c>
      <c r="X11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4" spans="1:24" hidden="1">
      <c r="A114" s="80">
        <v>2</v>
      </c>
      <c r="B114" s="81" t="s">
        <v>859</v>
      </c>
      <c r="C114" s="82" t="s">
        <v>624</v>
      </c>
      <c r="D114" s="19"/>
      <c r="E114" s="19"/>
      <c r="F114" s="19"/>
      <c r="G114" s="19" t="s">
        <v>179</v>
      </c>
      <c r="H114" s="19" t="s">
        <v>185</v>
      </c>
      <c r="I114" s="19" t="s">
        <v>168</v>
      </c>
      <c r="J114" s="19" t="s">
        <v>183</v>
      </c>
      <c r="K114" s="19" t="s">
        <v>26</v>
      </c>
      <c r="L114" s="19" t="s">
        <v>217</v>
      </c>
      <c r="M114" s="19" t="s">
        <v>222</v>
      </c>
      <c r="N114" s="19" t="s">
        <v>228</v>
      </c>
      <c r="O114" s="38"/>
      <c r="P114" s="43">
        <f>VLOOKUP(Table3[[#This Row],[Depth of cover]],'TPI. Pa.'!$B$3:$C$52,2,0)</f>
        <v>2</v>
      </c>
      <c r="Q114" s="43">
        <f>VLOOKUP(Table3[[#This Row],[Additional protection]],'TPI. Pa.'!$B$3:$C$52,2,0)</f>
        <v>5</v>
      </c>
      <c r="R114" s="43">
        <f>VLOOKUP(Table3[[#This Row],[Failure due to TPI]],'TPI. Pa.'!$B$3:$C$52,2,0)</f>
        <v>4</v>
      </c>
      <c r="S114" s="43">
        <f>VLOOKUP(Table3[[#This Row],[Activity Level]],'TPI. Pa.'!$B$3:$C$52,2,0)</f>
        <v>10</v>
      </c>
      <c r="T114" s="43">
        <f>VLOOKUP(Table3[[#This Row],[Patrol frequency]],'TPI. Pa.'!$B$3:$C$52,2,0)</f>
        <v>1</v>
      </c>
      <c r="U114" s="43">
        <f>VLOOKUP(Table3[[#This Row],[Proxutil]],'TPI. Pa.'!$B$3:$C$52,2,0)</f>
        <v>5</v>
      </c>
      <c r="V114" s="43">
        <f>VLOOKUP(Table3[[#This Row],[ROW]],'TPI. Pa.'!$B$3:$C$52,2,0)</f>
        <v>10</v>
      </c>
      <c r="W114" s="43">
        <f>VLOOKUP(Table3[[#This Row],[ROW condition]],'TPI. Pa.'!$B$3:$C$52,2,0)</f>
        <v>3</v>
      </c>
      <c r="X11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5" spans="1:24" hidden="1">
      <c r="A115" s="80">
        <v>2</v>
      </c>
      <c r="B115" s="81" t="s">
        <v>859</v>
      </c>
      <c r="C115" s="82"/>
      <c r="D115" s="19"/>
      <c r="E115" s="19"/>
      <c r="F115" s="19"/>
      <c r="G115" s="19" t="s">
        <v>179</v>
      </c>
      <c r="H115" s="19" t="s">
        <v>185</v>
      </c>
      <c r="I115" s="19" t="s">
        <v>168</v>
      </c>
      <c r="J115" s="19" t="s">
        <v>183</v>
      </c>
      <c r="K115" s="19" t="s">
        <v>26</v>
      </c>
      <c r="L115" s="19" t="s">
        <v>217</v>
      </c>
      <c r="M115" s="19" t="s">
        <v>222</v>
      </c>
      <c r="N115" s="19" t="s">
        <v>228</v>
      </c>
      <c r="O115" s="38"/>
      <c r="P115" s="43">
        <f>VLOOKUP(Table3[[#This Row],[Depth of cover]],'TPI. Pa.'!$B$3:$C$52,2,0)</f>
        <v>2</v>
      </c>
      <c r="Q115" s="43">
        <f>VLOOKUP(Table3[[#This Row],[Additional protection]],'TPI. Pa.'!$B$3:$C$52,2,0)</f>
        <v>5</v>
      </c>
      <c r="R115" s="43">
        <f>VLOOKUP(Table3[[#This Row],[Failure due to TPI]],'TPI. Pa.'!$B$3:$C$52,2,0)</f>
        <v>4</v>
      </c>
      <c r="S115" s="43">
        <f>VLOOKUP(Table3[[#This Row],[Activity Level]],'TPI. Pa.'!$B$3:$C$52,2,0)</f>
        <v>10</v>
      </c>
      <c r="T115" s="43">
        <f>VLOOKUP(Table3[[#This Row],[Patrol frequency]],'TPI. Pa.'!$B$3:$C$52,2,0)</f>
        <v>1</v>
      </c>
      <c r="U115" s="43">
        <f>VLOOKUP(Table3[[#This Row],[Proxutil]],'TPI. Pa.'!$B$3:$C$52,2,0)</f>
        <v>5</v>
      </c>
      <c r="V115" s="43">
        <f>VLOOKUP(Table3[[#This Row],[ROW]],'TPI. Pa.'!$B$3:$C$52,2,0)</f>
        <v>10</v>
      </c>
      <c r="W115" s="43">
        <f>VLOOKUP(Table3[[#This Row],[ROW condition]],'TPI. Pa.'!$B$3:$C$52,2,0)</f>
        <v>3</v>
      </c>
      <c r="X11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6" spans="1:24" hidden="1">
      <c r="A116" s="80">
        <v>2</v>
      </c>
      <c r="B116" s="81" t="s">
        <v>860</v>
      </c>
      <c r="C116" s="82" t="s">
        <v>628</v>
      </c>
      <c r="D116" s="19"/>
      <c r="E116" s="19"/>
      <c r="F116" s="19"/>
      <c r="G116" s="19" t="s">
        <v>179</v>
      </c>
      <c r="H116" s="19" t="s">
        <v>185</v>
      </c>
      <c r="I116" s="19" t="s">
        <v>168</v>
      </c>
      <c r="J116" s="19" t="s">
        <v>183</v>
      </c>
      <c r="K116" s="19" t="s">
        <v>26</v>
      </c>
      <c r="L116" s="19" t="s">
        <v>217</v>
      </c>
      <c r="M116" s="19" t="s">
        <v>222</v>
      </c>
      <c r="N116" s="19" t="s">
        <v>228</v>
      </c>
      <c r="O116" s="38"/>
      <c r="P116" s="43">
        <f>VLOOKUP(Table3[[#This Row],[Depth of cover]],'TPI. Pa.'!$B$3:$C$52,2,0)</f>
        <v>2</v>
      </c>
      <c r="Q116" s="43">
        <f>VLOOKUP(Table3[[#This Row],[Additional protection]],'TPI. Pa.'!$B$3:$C$52,2,0)</f>
        <v>5</v>
      </c>
      <c r="R116" s="43">
        <f>VLOOKUP(Table3[[#This Row],[Failure due to TPI]],'TPI. Pa.'!$B$3:$C$52,2,0)</f>
        <v>4</v>
      </c>
      <c r="S116" s="43">
        <f>VLOOKUP(Table3[[#This Row],[Activity Level]],'TPI. Pa.'!$B$3:$C$52,2,0)</f>
        <v>10</v>
      </c>
      <c r="T116" s="43">
        <f>VLOOKUP(Table3[[#This Row],[Patrol frequency]],'TPI. Pa.'!$B$3:$C$52,2,0)</f>
        <v>1</v>
      </c>
      <c r="U116" s="43">
        <f>VLOOKUP(Table3[[#This Row],[Proxutil]],'TPI. Pa.'!$B$3:$C$52,2,0)</f>
        <v>5</v>
      </c>
      <c r="V116" s="43">
        <f>VLOOKUP(Table3[[#This Row],[ROW]],'TPI. Pa.'!$B$3:$C$52,2,0)</f>
        <v>10</v>
      </c>
      <c r="W116" s="43">
        <f>VLOOKUP(Table3[[#This Row],[ROW condition]],'TPI. Pa.'!$B$3:$C$52,2,0)</f>
        <v>3</v>
      </c>
      <c r="X11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7" spans="1:24" hidden="1">
      <c r="A117" s="80">
        <v>2</v>
      </c>
      <c r="B117" s="81" t="s">
        <v>861</v>
      </c>
      <c r="C117" s="82" t="s">
        <v>630</v>
      </c>
      <c r="D117" s="19"/>
      <c r="E117" s="19"/>
      <c r="F117" s="19"/>
      <c r="G117" s="19" t="s">
        <v>179</v>
      </c>
      <c r="H117" s="19" t="s">
        <v>185</v>
      </c>
      <c r="I117" s="19" t="s">
        <v>168</v>
      </c>
      <c r="J117" s="19" t="s">
        <v>183</v>
      </c>
      <c r="K117" s="19" t="s">
        <v>26</v>
      </c>
      <c r="L117" s="19" t="s">
        <v>217</v>
      </c>
      <c r="M117" s="19" t="s">
        <v>222</v>
      </c>
      <c r="N117" s="19" t="s">
        <v>228</v>
      </c>
      <c r="O117" s="38"/>
      <c r="P117" s="43">
        <f>VLOOKUP(Table3[[#This Row],[Depth of cover]],'TPI. Pa.'!$B$3:$C$52,2,0)</f>
        <v>2</v>
      </c>
      <c r="Q117" s="43">
        <f>VLOOKUP(Table3[[#This Row],[Additional protection]],'TPI. Pa.'!$B$3:$C$52,2,0)</f>
        <v>5</v>
      </c>
      <c r="R117" s="43">
        <f>VLOOKUP(Table3[[#This Row],[Failure due to TPI]],'TPI. Pa.'!$B$3:$C$52,2,0)</f>
        <v>4</v>
      </c>
      <c r="S117" s="43">
        <f>VLOOKUP(Table3[[#This Row],[Activity Level]],'TPI. Pa.'!$B$3:$C$52,2,0)</f>
        <v>10</v>
      </c>
      <c r="T117" s="43">
        <f>VLOOKUP(Table3[[#This Row],[Patrol frequency]],'TPI. Pa.'!$B$3:$C$52,2,0)</f>
        <v>1</v>
      </c>
      <c r="U117" s="43">
        <f>VLOOKUP(Table3[[#This Row],[Proxutil]],'TPI. Pa.'!$B$3:$C$52,2,0)</f>
        <v>5</v>
      </c>
      <c r="V117" s="43">
        <f>VLOOKUP(Table3[[#This Row],[ROW]],'TPI. Pa.'!$B$3:$C$52,2,0)</f>
        <v>10</v>
      </c>
      <c r="W117" s="43">
        <f>VLOOKUP(Table3[[#This Row],[ROW condition]],'TPI. Pa.'!$B$3:$C$52,2,0)</f>
        <v>3</v>
      </c>
      <c r="X11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8" spans="1:24" hidden="1">
      <c r="A118" s="80">
        <v>2</v>
      </c>
      <c r="B118" s="81" t="s">
        <v>862</v>
      </c>
      <c r="C118" s="82" t="s">
        <v>632</v>
      </c>
      <c r="D118" s="19"/>
      <c r="E118" s="19"/>
      <c r="F118" s="19"/>
      <c r="G118" s="19" t="s">
        <v>179</v>
      </c>
      <c r="H118" s="19" t="s">
        <v>185</v>
      </c>
      <c r="I118" s="19" t="s">
        <v>168</v>
      </c>
      <c r="J118" s="19" t="s">
        <v>183</v>
      </c>
      <c r="K118" s="19" t="s">
        <v>26</v>
      </c>
      <c r="L118" s="19" t="s">
        <v>217</v>
      </c>
      <c r="M118" s="19" t="s">
        <v>222</v>
      </c>
      <c r="N118" s="19" t="s">
        <v>228</v>
      </c>
      <c r="O118" s="38"/>
      <c r="P118" s="43">
        <f>VLOOKUP(Table3[[#This Row],[Depth of cover]],'TPI. Pa.'!$B$3:$C$52,2,0)</f>
        <v>2</v>
      </c>
      <c r="Q118" s="43">
        <f>VLOOKUP(Table3[[#This Row],[Additional protection]],'TPI. Pa.'!$B$3:$C$52,2,0)</f>
        <v>5</v>
      </c>
      <c r="R118" s="43">
        <f>VLOOKUP(Table3[[#This Row],[Failure due to TPI]],'TPI. Pa.'!$B$3:$C$52,2,0)</f>
        <v>4</v>
      </c>
      <c r="S118" s="43">
        <f>VLOOKUP(Table3[[#This Row],[Activity Level]],'TPI. Pa.'!$B$3:$C$52,2,0)</f>
        <v>10</v>
      </c>
      <c r="T118" s="43">
        <f>VLOOKUP(Table3[[#This Row],[Patrol frequency]],'TPI. Pa.'!$B$3:$C$52,2,0)</f>
        <v>1</v>
      </c>
      <c r="U118" s="43">
        <f>VLOOKUP(Table3[[#This Row],[Proxutil]],'TPI. Pa.'!$B$3:$C$52,2,0)</f>
        <v>5</v>
      </c>
      <c r="V118" s="43">
        <f>VLOOKUP(Table3[[#This Row],[ROW]],'TPI. Pa.'!$B$3:$C$52,2,0)</f>
        <v>10</v>
      </c>
      <c r="W118" s="43">
        <f>VLOOKUP(Table3[[#This Row],[ROW condition]],'TPI. Pa.'!$B$3:$C$52,2,0)</f>
        <v>3</v>
      </c>
      <c r="X11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19" spans="1:24" hidden="1">
      <c r="A119" s="80">
        <v>2</v>
      </c>
      <c r="B119" s="81" t="s">
        <v>863</v>
      </c>
      <c r="C119" s="82" t="s">
        <v>634</v>
      </c>
      <c r="D119" s="19"/>
      <c r="E119" s="19"/>
      <c r="F119" s="19"/>
      <c r="G119" s="19" t="s">
        <v>179</v>
      </c>
      <c r="H119" s="19" t="s">
        <v>185</v>
      </c>
      <c r="I119" s="19" t="s">
        <v>168</v>
      </c>
      <c r="J119" s="19" t="s">
        <v>183</v>
      </c>
      <c r="K119" s="19" t="s">
        <v>26</v>
      </c>
      <c r="L119" s="19" t="s">
        <v>217</v>
      </c>
      <c r="M119" s="19" t="s">
        <v>222</v>
      </c>
      <c r="N119" s="19" t="s">
        <v>228</v>
      </c>
      <c r="O119" s="38"/>
      <c r="P119" s="43">
        <f>VLOOKUP(Table3[[#This Row],[Depth of cover]],'TPI. Pa.'!$B$3:$C$52,2,0)</f>
        <v>2</v>
      </c>
      <c r="Q119" s="43">
        <f>VLOOKUP(Table3[[#This Row],[Additional protection]],'TPI. Pa.'!$B$3:$C$52,2,0)</f>
        <v>5</v>
      </c>
      <c r="R119" s="43">
        <f>VLOOKUP(Table3[[#This Row],[Failure due to TPI]],'TPI. Pa.'!$B$3:$C$52,2,0)</f>
        <v>4</v>
      </c>
      <c r="S119" s="43">
        <f>VLOOKUP(Table3[[#This Row],[Activity Level]],'TPI. Pa.'!$B$3:$C$52,2,0)</f>
        <v>10</v>
      </c>
      <c r="T119" s="43">
        <f>VLOOKUP(Table3[[#This Row],[Patrol frequency]],'TPI. Pa.'!$B$3:$C$52,2,0)</f>
        <v>1</v>
      </c>
      <c r="U119" s="43">
        <f>VLOOKUP(Table3[[#This Row],[Proxutil]],'TPI. Pa.'!$B$3:$C$52,2,0)</f>
        <v>5</v>
      </c>
      <c r="V119" s="43">
        <f>VLOOKUP(Table3[[#This Row],[ROW]],'TPI. Pa.'!$B$3:$C$52,2,0)</f>
        <v>10</v>
      </c>
      <c r="W119" s="43">
        <f>VLOOKUP(Table3[[#This Row],[ROW condition]],'TPI. Pa.'!$B$3:$C$52,2,0)</f>
        <v>3</v>
      </c>
      <c r="X11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0" spans="1:24" hidden="1">
      <c r="A120" s="80">
        <v>2</v>
      </c>
      <c r="B120" s="81" t="s">
        <v>864</v>
      </c>
      <c r="C120" s="82" t="s">
        <v>636</v>
      </c>
      <c r="D120" s="19"/>
      <c r="E120" s="19"/>
      <c r="F120" s="19"/>
      <c r="G120" s="19" t="s">
        <v>179</v>
      </c>
      <c r="H120" s="19" t="s">
        <v>185</v>
      </c>
      <c r="I120" s="19" t="s">
        <v>168</v>
      </c>
      <c r="J120" s="19" t="s">
        <v>191</v>
      </c>
      <c r="K120" s="19" t="s">
        <v>26</v>
      </c>
      <c r="L120" s="19" t="s">
        <v>217</v>
      </c>
      <c r="M120" s="19" t="s">
        <v>222</v>
      </c>
      <c r="N120" s="19" t="s">
        <v>228</v>
      </c>
      <c r="O120" s="38"/>
      <c r="P120" s="43">
        <f>VLOOKUP(Table3[[#This Row],[Depth of cover]],'TPI. Pa.'!$B$3:$C$52,2,0)</f>
        <v>2</v>
      </c>
      <c r="Q120" s="43">
        <f>VLOOKUP(Table3[[#This Row],[Additional protection]],'TPI. Pa.'!$B$3:$C$52,2,0)</f>
        <v>5</v>
      </c>
      <c r="R120" s="43">
        <f>VLOOKUP(Table3[[#This Row],[Failure due to TPI]],'TPI. Pa.'!$B$3:$C$52,2,0)</f>
        <v>4</v>
      </c>
      <c r="S120" s="43">
        <f>VLOOKUP(Table3[[#This Row],[Activity Level]],'TPI. Pa.'!$B$3:$C$52,2,0)</f>
        <v>3</v>
      </c>
      <c r="T120" s="43">
        <f>VLOOKUP(Table3[[#This Row],[Patrol frequency]],'TPI. Pa.'!$B$3:$C$52,2,0)</f>
        <v>1</v>
      </c>
      <c r="U120" s="43">
        <f>VLOOKUP(Table3[[#This Row],[Proxutil]],'TPI. Pa.'!$B$3:$C$52,2,0)</f>
        <v>5</v>
      </c>
      <c r="V120" s="43">
        <f>VLOOKUP(Table3[[#This Row],[ROW]],'TPI. Pa.'!$B$3:$C$52,2,0)</f>
        <v>10</v>
      </c>
      <c r="W120" s="43">
        <f>VLOOKUP(Table3[[#This Row],[ROW condition]],'TPI. Pa.'!$B$3:$C$52,2,0)</f>
        <v>3</v>
      </c>
      <c r="X12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21" spans="1:24" hidden="1">
      <c r="A121" s="80">
        <v>2</v>
      </c>
      <c r="B121" s="81" t="s">
        <v>865</v>
      </c>
      <c r="C121" s="82" t="s">
        <v>638</v>
      </c>
      <c r="D121" s="19"/>
      <c r="E121" s="19"/>
      <c r="F121" s="19"/>
      <c r="G121" s="19" t="s">
        <v>179</v>
      </c>
      <c r="H121" s="19" t="s">
        <v>185</v>
      </c>
      <c r="I121" s="19" t="s">
        <v>168</v>
      </c>
      <c r="J121" s="19" t="s">
        <v>183</v>
      </c>
      <c r="K121" s="19" t="s">
        <v>26</v>
      </c>
      <c r="L121" s="19" t="s">
        <v>217</v>
      </c>
      <c r="M121" s="19" t="s">
        <v>222</v>
      </c>
      <c r="N121" s="19" t="s">
        <v>228</v>
      </c>
      <c r="O121" s="38"/>
      <c r="P121" s="43">
        <f>VLOOKUP(Table3[[#This Row],[Depth of cover]],'TPI. Pa.'!$B$3:$C$52,2,0)</f>
        <v>2</v>
      </c>
      <c r="Q121" s="43">
        <f>VLOOKUP(Table3[[#This Row],[Additional protection]],'TPI. Pa.'!$B$3:$C$52,2,0)</f>
        <v>5</v>
      </c>
      <c r="R121" s="43">
        <f>VLOOKUP(Table3[[#This Row],[Failure due to TPI]],'TPI. Pa.'!$B$3:$C$52,2,0)</f>
        <v>4</v>
      </c>
      <c r="S121" s="43">
        <f>VLOOKUP(Table3[[#This Row],[Activity Level]],'TPI. Pa.'!$B$3:$C$52,2,0)</f>
        <v>10</v>
      </c>
      <c r="T121" s="43">
        <f>VLOOKUP(Table3[[#This Row],[Patrol frequency]],'TPI. Pa.'!$B$3:$C$52,2,0)</f>
        <v>1</v>
      </c>
      <c r="U121" s="43">
        <f>VLOOKUP(Table3[[#This Row],[Proxutil]],'TPI. Pa.'!$B$3:$C$52,2,0)</f>
        <v>5</v>
      </c>
      <c r="V121" s="43">
        <f>VLOOKUP(Table3[[#This Row],[ROW]],'TPI. Pa.'!$B$3:$C$52,2,0)</f>
        <v>10</v>
      </c>
      <c r="W121" s="43">
        <f>VLOOKUP(Table3[[#This Row],[ROW condition]],'TPI. Pa.'!$B$3:$C$52,2,0)</f>
        <v>3</v>
      </c>
      <c r="X12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2" spans="1:24" hidden="1">
      <c r="A122" s="80">
        <v>2</v>
      </c>
      <c r="B122" s="81" t="s">
        <v>866</v>
      </c>
      <c r="C122" s="82"/>
      <c r="D122" s="19"/>
      <c r="E122" s="19"/>
      <c r="F122" s="19"/>
      <c r="G122" s="19" t="s">
        <v>179</v>
      </c>
      <c r="H122" s="19" t="s">
        <v>185</v>
      </c>
      <c r="I122" s="19" t="s">
        <v>168</v>
      </c>
      <c r="J122" s="19" t="s">
        <v>183</v>
      </c>
      <c r="K122" s="19" t="s">
        <v>26</v>
      </c>
      <c r="L122" s="19" t="s">
        <v>217</v>
      </c>
      <c r="M122" s="19" t="s">
        <v>222</v>
      </c>
      <c r="N122" s="19" t="s">
        <v>228</v>
      </c>
      <c r="O122" s="38"/>
      <c r="P122" s="43">
        <f>VLOOKUP(Table3[[#This Row],[Depth of cover]],'TPI. Pa.'!$B$3:$C$52,2,0)</f>
        <v>2</v>
      </c>
      <c r="Q122" s="43">
        <f>VLOOKUP(Table3[[#This Row],[Additional protection]],'TPI. Pa.'!$B$3:$C$52,2,0)</f>
        <v>5</v>
      </c>
      <c r="R122" s="43">
        <f>VLOOKUP(Table3[[#This Row],[Failure due to TPI]],'TPI. Pa.'!$B$3:$C$52,2,0)</f>
        <v>4</v>
      </c>
      <c r="S122" s="43">
        <f>VLOOKUP(Table3[[#This Row],[Activity Level]],'TPI. Pa.'!$B$3:$C$52,2,0)</f>
        <v>10</v>
      </c>
      <c r="T122" s="43">
        <f>VLOOKUP(Table3[[#This Row],[Patrol frequency]],'TPI. Pa.'!$B$3:$C$52,2,0)</f>
        <v>1</v>
      </c>
      <c r="U122" s="43">
        <f>VLOOKUP(Table3[[#This Row],[Proxutil]],'TPI. Pa.'!$B$3:$C$52,2,0)</f>
        <v>5</v>
      </c>
      <c r="V122" s="43">
        <f>VLOOKUP(Table3[[#This Row],[ROW]],'TPI. Pa.'!$B$3:$C$52,2,0)</f>
        <v>10</v>
      </c>
      <c r="W122" s="43">
        <f>VLOOKUP(Table3[[#This Row],[ROW condition]],'TPI. Pa.'!$B$3:$C$52,2,0)</f>
        <v>3</v>
      </c>
      <c r="X12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3" spans="1:24" hidden="1">
      <c r="A123" s="80">
        <v>2</v>
      </c>
      <c r="B123" s="81" t="s">
        <v>867</v>
      </c>
      <c r="C123" s="82" t="s">
        <v>640</v>
      </c>
      <c r="D123" s="19"/>
      <c r="E123" s="19"/>
      <c r="F123" s="19"/>
      <c r="G123" s="19" t="s">
        <v>179</v>
      </c>
      <c r="H123" s="19" t="s">
        <v>185</v>
      </c>
      <c r="I123" s="19" t="s">
        <v>168</v>
      </c>
      <c r="J123" s="19" t="s">
        <v>183</v>
      </c>
      <c r="K123" s="19" t="s">
        <v>26</v>
      </c>
      <c r="L123" s="19" t="s">
        <v>217</v>
      </c>
      <c r="M123" s="19" t="s">
        <v>222</v>
      </c>
      <c r="N123" s="19" t="s">
        <v>228</v>
      </c>
      <c r="O123" s="38"/>
      <c r="P123" s="43">
        <f>VLOOKUP(Table3[[#This Row],[Depth of cover]],'TPI. Pa.'!$B$3:$C$52,2,0)</f>
        <v>2</v>
      </c>
      <c r="Q123" s="43">
        <f>VLOOKUP(Table3[[#This Row],[Additional protection]],'TPI. Pa.'!$B$3:$C$52,2,0)</f>
        <v>5</v>
      </c>
      <c r="R123" s="43">
        <f>VLOOKUP(Table3[[#This Row],[Failure due to TPI]],'TPI. Pa.'!$B$3:$C$52,2,0)</f>
        <v>4</v>
      </c>
      <c r="S123" s="43">
        <f>VLOOKUP(Table3[[#This Row],[Activity Level]],'TPI. Pa.'!$B$3:$C$52,2,0)</f>
        <v>10</v>
      </c>
      <c r="T123" s="43">
        <f>VLOOKUP(Table3[[#This Row],[Patrol frequency]],'TPI. Pa.'!$B$3:$C$52,2,0)</f>
        <v>1</v>
      </c>
      <c r="U123" s="43">
        <f>VLOOKUP(Table3[[#This Row],[Proxutil]],'TPI. Pa.'!$B$3:$C$52,2,0)</f>
        <v>5</v>
      </c>
      <c r="V123" s="43">
        <f>VLOOKUP(Table3[[#This Row],[ROW]],'TPI. Pa.'!$B$3:$C$52,2,0)</f>
        <v>10</v>
      </c>
      <c r="W123" s="43">
        <f>VLOOKUP(Table3[[#This Row],[ROW condition]],'TPI. Pa.'!$B$3:$C$52,2,0)</f>
        <v>3</v>
      </c>
      <c r="X12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4" spans="1:24" hidden="1">
      <c r="A124" s="80">
        <v>2</v>
      </c>
      <c r="B124" s="81" t="s">
        <v>868</v>
      </c>
      <c r="C124" s="82" t="s">
        <v>642</v>
      </c>
      <c r="D124" s="19"/>
      <c r="E124" s="19"/>
      <c r="F124" s="19"/>
      <c r="G124" s="19" t="s">
        <v>179</v>
      </c>
      <c r="H124" s="19" t="s">
        <v>185</v>
      </c>
      <c r="I124" s="19" t="s">
        <v>168</v>
      </c>
      <c r="J124" s="19" t="s">
        <v>183</v>
      </c>
      <c r="K124" s="19" t="s">
        <v>26</v>
      </c>
      <c r="L124" s="19" t="s">
        <v>217</v>
      </c>
      <c r="M124" s="19" t="s">
        <v>222</v>
      </c>
      <c r="N124" s="19" t="s">
        <v>228</v>
      </c>
      <c r="O124" s="38"/>
      <c r="P124" s="43">
        <f>VLOOKUP(Table3[[#This Row],[Depth of cover]],'TPI. Pa.'!$B$3:$C$52,2,0)</f>
        <v>2</v>
      </c>
      <c r="Q124" s="43">
        <f>VLOOKUP(Table3[[#This Row],[Additional protection]],'TPI. Pa.'!$B$3:$C$52,2,0)</f>
        <v>5</v>
      </c>
      <c r="R124" s="43">
        <f>VLOOKUP(Table3[[#This Row],[Failure due to TPI]],'TPI. Pa.'!$B$3:$C$52,2,0)</f>
        <v>4</v>
      </c>
      <c r="S124" s="43">
        <f>VLOOKUP(Table3[[#This Row],[Activity Level]],'TPI. Pa.'!$B$3:$C$52,2,0)</f>
        <v>10</v>
      </c>
      <c r="T124" s="43">
        <f>VLOOKUP(Table3[[#This Row],[Patrol frequency]],'TPI. Pa.'!$B$3:$C$52,2,0)</f>
        <v>1</v>
      </c>
      <c r="U124" s="43">
        <f>VLOOKUP(Table3[[#This Row],[Proxutil]],'TPI. Pa.'!$B$3:$C$52,2,0)</f>
        <v>5</v>
      </c>
      <c r="V124" s="43">
        <f>VLOOKUP(Table3[[#This Row],[ROW]],'TPI. Pa.'!$B$3:$C$52,2,0)</f>
        <v>10</v>
      </c>
      <c r="W124" s="43">
        <f>VLOOKUP(Table3[[#This Row],[ROW condition]],'TPI. Pa.'!$B$3:$C$52,2,0)</f>
        <v>3</v>
      </c>
      <c r="X12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5" spans="1:24" hidden="1">
      <c r="A125" s="80">
        <v>2</v>
      </c>
      <c r="B125" s="81" t="s">
        <v>869</v>
      </c>
      <c r="C125" s="82" t="s">
        <v>644</v>
      </c>
      <c r="D125" s="19"/>
      <c r="E125" s="19"/>
      <c r="F125" s="19"/>
      <c r="G125" s="19" t="s">
        <v>179</v>
      </c>
      <c r="H125" s="19" t="s">
        <v>185</v>
      </c>
      <c r="I125" s="19" t="s">
        <v>168</v>
      </c>
      <c r="J125" s="19" t="s">
        <v>183</v>
      </c>
      <c r="K125" s="19" t="s">
        <v>26</v>
      </c>
      <c r="L125" s="19" t="s">
        <v>217</v>
      </c>
      <c r="M125" s="19" t="s">
        <v>222</v>
      </c>
      <c r="N125" s="19" t="s">
        <v>228</v>
      </c>
      <c r="O125" s="38"/>
      <c r="P125" s="43">
        <f>VLOOKUP(Table3[[#This Row],[Depth of cover]],'TPI. Pa.'!$B$3:$C$52,2,0)</f>
        <v>2</v>
      </c>
      <c r="Q125" s="43">
        <f>VLOOKUP(Table3[[#This Row],[Additional protection]],'TPI. Pa.'!$B$3:$C$52,2,0)</f>
        <v>5</v>
      </c>
      <c r="R125" s="43">
        <f>VLOOKUP(Table3[[#This Row],[Failure due to TPI]],'TPI. Pa.'!$B$3:$C$52,2,0)</f>
        <v>4</v>
      </c>
      <c r="S125" s="43">
        <f>VLOOKUP(Table3[[#This Row],[Activity Level]],'TPI. Pa.'!$B$3:$C$52,2,0)</f>
        <v>10</v>
      </c>
      <c r="T125" s="43">
        <f>VLOOKUP(Table3[[#This Row],[Patrol frequency]],'TPI. Pa.'!$B$3:$C$52,2,0)</f>
        <v>1</v>
      </c>
      <c r="U125" s="43">
        <f>VLOOKUP(Table3[[#This Row],[Proxutil]],'TPI. Pa.'!$B$3:$C$52,2,0)</f>
        <v>5</v>
      </c>
      <c r="V125" s="43">
        <f>VLOOKUP(Table3[[#This Row],[ROW]],'TPI. Pa.'!$B$3:$C$52,2,0)</f>
        <v>10</v>
      </c>
      <c r="W125" s="43">
        <f>VLOOKUP(Table3[[#This Row],[ROW condition]],'TPI. Pa.'!$B$3:$C$52,2,0)</f>
        <v>3</v>
      </c>
      <c r="X12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6" spans="1:24" hidden="1">
      <c r="A126" s="80">
        <v>2</v>
      </c>
      <c r="B126" s="81" t="s">
        <v>870</v>
      </c>
      <c r="C126" s="82" t="s">
        <v>646</v>
      </c>
      <c r="D126" s="19"/>
      <c r="E126" s="19"/>
      <c r="F126" s="19"/>
      <c r="G126" s="19" t="s">
        <v>179</v>
      </c>
      <c r="H126" s="19" t="s">
        <v>185</v>
      </c>
      <c r="I126" s="19" t="s">
        <v>168</v>
      </c>
      <c r="J126" s="19" t="s">
        <v>183</v>
      </c>
      <c r="K126" s="19" t="s">
        <v>26</v>
      </c>
      <c r="L126" s="19" t="s">
        <v>217</v>
      </c>
      <c r="M126" s="19" t="s">
        <v>222</v>
      </c>
      <c r="N126" s="19" t="s">
        <v>228</v>
      </c>
      <c r="O126" s="38"/>
      <c r="P126" s="43">
        <f>VLOOKUP(Table3[[#This Row],[Depth of cover]],'TPI. Pa.'!$B$3:$C$52,2,0)</f>
        <v>2</v>
      </c>
      <c r="Q126" s="43">
        <f>VLOOKUP(Table3[[#This Row],[Additional protection]],'TPI. Pa.'!$B$3:$C$52,2,0)</f>
        <v>5</v>
      </c>
      <c r="R126" s="43">
        <f>VLOOKUP(Table3[[#This Row],[Failure due to TPI]],'TPI. Pa.'!$B$3:$C$52,2,0)</f>
        <v>4</v>
      </c>
      <c r="S126" s="43">
        <f>VLOOKUP(Table3[[#This Row],[Activity Level]],'TPI. Pa.'!$B$3:$C$52,2,0)</f>
        <v>10</v>
      </c>
      <c r="T126" s="43">
        <f>VLOOKUP(Table3[[#This Row],[Patrol frequency]],'TPI. Pa.'!$B$3:$C$52,2,0)</f>
        <v>1</v>
      </c>
      <c r="U126" s="43">
        <f>VLOOKUP(Table3[[#This Row],[Proxutil]],'TPI. Pa.'!$B$3:$C$52,2,0)</f>
        <v>5</v>
      </c>
      <c r="V126" s="43">
        <f>VLOOKUP(Table3[[#This Row],[ROW]],'TPI. Pa.'!$B$3:$C$52,2,0)</f>
        <v>10</v>
      </c>
      <c r="W126" s="43">
        <f>VLOOKUP(Table3[[#This Row],[ROW condition]],'TPI. Pa.'!$B$3:$C$52,2,0)</f>
        <v>3</v>
      </c>
      <c r="X12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7" spans="1:24" hidden="1">
      <c r="A127" s="80">
        <v>2</v>
      </c>
      <c r="B127" s="81" t="s">
        <v>871</v>
      </c>
      <c r="C127" s="82" t="s">
        <v>648</v>
      </c>
      <c r="D127" s="19"/>
      <c r="E127" s="19"/>
      <c r="F127" s="19"/>
      <c r="G127" s="19" t="s">
        <v>179</v>
      </c>
      <c r="H127" s="19" t="s">
        <v>185</v>
      </c>
      <c r="I127" s="19" t="s">
        <v>168</v>
      </c>
      <c r="J127" s="19" t="s">
        <v>183</v>
      </c>
      <c r="K127" s="19" t="s">
        <v>26</v>
      </c>
      <c r="L127" s="19" t="s">
        <v>217</v>
      </c>
      <c r="M127" s="19" t="s">
        <v>222</v>
      </c>
      <c r="N127" s="19" t="s">
        <v>228</v>
      </c>
      <c r="O127" s="38"/>
      <c r="P127" s="43">
        <f>VLOOKUP(Table3[[#This Row],[Depth of cover]],'TPI. Pa.'!$B$3:$C$52,2,0)</f>
        <v>2</v>
      </c>
      <c r="Q127" s="43">
        <f>VLOOKUP(Table3[[#This Row],[Additional protection]],'TPI. Pa.'!$B$3:$C$52,2,0)</f>
        <v>5</v>
      </c>
      <c r="R127" s="43">
        <f>VLOOKUP(Table3[[#This Row],[Failure due to TPI]],'TPI. Pa.'!$B$3:$C$52,2,0)</f>
        <v>4</v>
      </c>
      <c r="S127" s="43">
        <f>VLOOKUP(Table3[[#This Row],[Activity Level]],'TPI. Pa.'!$B$3:$C$52,2,0)</f>
        <v>10</v>
      </c>
      <c r="T127" s="43">
        <f>VLOOKUP(Table3[[#This Row],[Patrol frequency]],'TPI. Pa.'!$B$3:$C$52,2,0)</f>
        <v>1</v>
      </c>
      <c r="U127" s="43">
        <f>VLOOKUP(Table3[[#This Row],[Proxutil]],'TPI. Pa.'!$B$3:$C$52,2,0)</f>
        <v>5</v>
      </c>
      <c r="V127" s="43">
        <f>VLOOKUP(Table3[[#This Row],[ROW]],'TPI. Pa.'!$B$3:$C$52,2,0)</f>
        <v>10</v>
      </c>
      <c r="W127" s="43">
        <f>VLOOKUP(Table3[[#This Row],[ROW condition]],'TPI. Pa.'!$B$3:$C$52,2,0)</f>
        <v>3</v>
      </c>
      <c r="X12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28" spans="1:24" hidden="1">
      <c r="A128" s="80">
        <v>2</v>
      </c>
      <c r="B128" s="81" t="s">
        <v>872</v>
      </c>
      <c r="C128" s="82" t="s">
        <v>650</v>
      </c>
      <c r="D128" s="19"/>
      <c r="E128" s="19"/>
      <c r="F128" s="19"/>
      <c r="G128" s="19" t="s">
        <v>179</v>
      </c>
      <c r="H128" s="19" t="s">
        <v>185</v>
      </c>
      <c r="I128" s="19" t="s">
        <v>168</v>
      </c>
      <c r="J128" s="19" t="s">
        <v>191</v>
      </c>
      <c r="K128" s="19" t="s">
        <v>26</v>
      </c>
      <c r="L128" s="19" t="s">
        <v>217</v>
      </c>
      <c r="M128" s="19" t="s">
        <v>222</v>
      </c>
      <c r="N128" s="19" t="s">
        <v>228</v>
      </c>
      <c r="O128" s="38"/>
      <c r="P128" s="43">
        <f>VLOOKUP(Table3[[#This Row],[Depth of cover]],'TPI. Pa.'!$B$3:$C$52,2,0)</f>
        <v>2</v>
      </c>
      <c r="Q128" s="43">
        <f>VLOOKUP(Table3[[#This Row],[Additional protection]],'TPI. Pa.'!$B$3:$C$52,2,0)</f>
        <v>5</v>
      </c>
      <c r="R128" s="43">
        <f>VLOOKUP(Table3[[#This Row],[Failure due to TPI]],'TPI. Pa.'!$B$3:$C$52,2,0)</f>
        <v>4</v>
      </c>
      <c r="S128" s="43">
        <f>VLOOKUP(Table3[[#This Row],[Activity Level]],'TPI. Pa.'!$B$3:$C$52,2,0)</f>
        <v>3</v>
      </c>
      <c r="T128" s="43">
        <f>VLOOKUP(Table3[[#This Row],[Patrol frequency]],'TPI. Pa.'!$B$3:$C$52,2,0)</f>
        <v>1</v>
      </c>
      <c r="U128" s="43">
        <f>VLOOKUP(Table3[[#This Row],[Proxutil]],'TPI. Pa.'!$B$3:$C$52,2,0)</f>
        <v>5</v>
      </c>
      <c r="V128" s="43">
        <f>VLOOKUP(Table3[[#This Row],[ROW]],'TPI. Pa.'!$B$3:$C$52,2,0)</f>
        <v>10</v>
      </c>
      <c r="W128" s="43">
        <f>VLOOKUP(Table3[[#This Row],[ROW condition]],'TPI. Pa.'!$B$3:$C$52,2,0)</f>
        <v>3</v>
      </c>
      <c r="X12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29" spans="1:24" hidden="1">
      <c r="A129" s="80">
        <v>2</v>
      </c>
      <c r="B129" s="81" t="s">
        <v>873</v>
      </c>
      <c r="C129" s="82" t="s">
        <v>652</v>
      </c>
      <c r="D129" s="19"/>
      <c r="E129" s="19"/>
      <c r="F129" s="19"/>
      <c r="G129" s="19" t="s">
        <v>179</v>
      </c>
      <c r="H129" s="19" t="s">
        <v>185</v>
      </c>
      <c r="I129" s="19" t="s">
        <v>168</v>
      </c>
      <c r="J129" s="19" t="s">
        <v>183</v>
      </c>
      <c r="K129" s="19" t="s">
        <v>26</v>
      </c>
      <c r="L129" s="19" t="s">
        <v>217</v>
      </c>
      <c r="M129" s="19" t="s">
        <v>222</v>
      </c>
      <c r="N129" s="19" t="s">
        <v>228</v>
      </c>
      <c r="O129" s="38"/>
      <c r="P129" s="43">
        <f>VLOOKUP(Table3[[#This Row],[Depth of cover]],'TPI. Pa.'!$B$3:$C$52,2,0)</f>
        <v>2</v>
      </c>
      <c r="Q129" s="43">
        <f>VLOOKUP(Table3[[#This Row],[Additional protection]],'TPI. Pa.'!$B$3:$C$52,2,0)</f>
        <v>5</v>
      </c>
      <c r="R129" s="43">
        <f>VLOOKUP(Table3[[#This Row],[Failure due to TPI]],'TPI. Pa.'!$B$3:$C$52,2,0)</f>
        <v>4</v>
      </c>
      <c r="S129" s="43">
        <f>VLOOKUP(Table3[[#This Row],[Activity Level]],'TPI. Pa.'!$B$3:$C$52,2,0)</f>
        <v>10</v>
      </c>
      <c r="T129" s="43">
        <f>VLOOKUP(Table3[[#This Row],[Patrol frequency]],'TPI. Pa.'!$B$3:$C$52,2,0)</f>
        <v>1</v>
      </c>
      <c r="U129" s="43">
        <f>VLOOKUP(Table3[[#This Row],[Proxutil]],'TPI. Pa.'!$B$3:$C$52,2,0)</f>
        <v>5</v>
      </c>
      <c r="V129" s="43">
        <f>VLOOKUP(Table3[[#This Row],[ROW]],'TPI. Pa.'!$B$3:$C$52,2,0)</f>
        <v>10</v>
      </c>
      <c r="W129" s="43">
        <f>VLOOKUP(Table3[[#This Row],[ROW condition]],'TPI. Pa.'!$B$3:$C$52,2,0)</f>
        <v>3</v>
      </c>
      <c r="X12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0" spans="1:24" hidden="1">
      <c r="A130" s="80">
        <v>2</v>
      </c>
      <c r="B130" s="81" t="s">
        <v>874</v>
      </c>
      <c r="C130" s="82" t="s">
        <v>723</v>
      </c>
      <c r="D130" s="19"/>
      <c r="E130" s="19"/>
      <c r="F130" s="19"/>
      <c r="G130" s="19" t="s">
        <v>179</v>
      </c>
      <c r="H130" s="19" t="s">
        <v>185</v>
      </c>
      <c r="I130" s="19" t="s">
        <v>168</v>
      </c>
      <c r="J130" s="19" t="s">
        <v>183</v>
      </c>
      <c r="K130" s="19" t="s">
        <v>26</v>
      </c>
      <c r="L130" s="19" t="s">
        <v>217</v>
      </c>
      <c r="M130" s="19" t="s">
        <v>222</v>
      </c>
      <c r="N130" s="19" t="s">
        <v>228</v>
      </c>
      <c r="O130" s="38"/>
      <c r="P130" s="43">
        <f>VLOOKUP(Table3[[#This Row],[Depth of cover]],'TPI. Pa.'!$B$3:$C$52,2,0)</f>
        <v>2</v>
      </c>
      <c r="Q130" s="43">
        <f>VLOOKUP(Table3[[#This Row],[Additional protection]],'TPI. Pa.'!$B$3:$C$52,2,0)</f>
        <v>5</v>
      </c>
      <c r="R130" s="43">
        <f>VLOOKUP(Table3[[#This Row],[Failure due to TPI]],'TPI. Pa.'!$B$3:$C$52,2,0)</f>
        <v>4</v>
      </c>
      <c r="S130" s="43">
        <f>VLOOKUP(Table3[[#This Row],[Activity Level]],'TPI. Pa.'!$B$3:$C$52,2,0)</f>
        <v>10</v>
      </c>
      <c r="T130" s="43">
        <f>VLOOKUP(Table3[[#This Row],[Patrol frequency]],'TPI. Pa.'!$B$3:$C$52,2,0)</f>
        <v>1</v>
      </c>
      <c r="U130" s="43">
        <f>VLOOKUP(Table3[[#This Row],[Proxutil]],'TPI. Pa.'!$B$3:$C$52,2,0)</f>
        <v>5</v>
      </c>
      <c r="V130" s="43">
        <f>VLOOKUP(Table3[[#This Row],[ROW]],'TPI. Pa.'!$B$3:$C$52,2,0)</f>
        <v>10</v>
      </c>
      <c r="W130" s="43">
        <f>VLOOKUP(Table3[[#This Row],[ROW condition]],'TPI. Pa.'!$B$3:$C$52,2,0)</f>
        <v>3</v>
      </c>
      <c r="X13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1" spans="1:24" hidden="1">
      <c r="A131" s="80">
        <v>2</v>
      </c>
      <c r="B131" s="81" t="s">
        <v>875</v>
      </c>
      <c r="C131" s="82" t="s">
        <v>654</v>
      </c>
      <c r="D131" s="19"/>
      <c r="E131" s="19"/>
      <c r="F131" s="19"/>
      <c r="G131" s="19" t="s">
        <v>179</v>
      </c>
      <c r="H131" s="19" t="s">
        <v>185</v>
      </c>
      <c r="I131" s="19" t="s">
        <v>168</v>
      </c>
      <c r="J131" s="19" t="s">
        <v>183</v>
      </c>
      <c r="K131" s="19" t="s">
        <v>26</v>
      </c>
      <c r="L131" s="19" t="s">
        <v>217</v>
      </c>
      <c r="M131" s="19" t="s">
        <v>222</v>
      </c>
      <c r="N131" s="19" t="s">
        <v>228</v>
      </c>
      <c r="O131" s="38"/>
      <c r="P131" s="43">
        <f>VLOOKUP(Table3[[#This Row],[Depth of cover]],'TPI. Pa.'!$B$3:$C$52,2,0)</f>
        <v>2</v>
      </c>
      <c r="Q131" s="43">
        <f>VLOOKUP(Table3[[#This Row],[Additional protection]],'TPI. Pa.'!$B$3:$C$52,2,0)</f>
        <v>5</v>
      </c>
      <c r="R131" s="43">
        <f>VLOOKUP(Table3[[#This Row],[Failure due to TPI]],'TPI. Pa.'!$B$3:$C$52,2,0)</f>
        <v>4</v>
      </c>
      <c r="S131" s="43">
        <f>VLOOKUP(Table3[[#This Row],[Activity Level]],'TPI. Pa.'!$B$3:$C$52,2,0)</f>
        <v>10</v>
      </c>
      <c r="T131" s="43">
        <f>VLOOKUP(Table3[[#This Row],[Patrol frequency]],'TPI. Pa.'!$B$3:$C$52,2,0)</f>
        <v>1</v>
      </c>
      <c r="U131" s="43">
        <f>VLOOKUP(Table3[[#This Row],[Proxutil]],'TPI. Pa.'!$B$3:$C$52,2,0)</f>
        <v>5</v>
      </c>
      <c r="V131" s="43">
        <f>VLOOKUP(Table3[[#This Row],[ROW]],'TPI. Pa.'!$B$3:$C$52,2,0)</f>
        <v>10</v>
      </c>
      <c r="W131" s="43">
        <f>VLOOKUP(Table3[[#This Row],[ROW condition]],'TPI. Pa.'!$B$3:$C$52,2,0)</f>
        <v>3</v>
      </c>
      <c r="X13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2" spans="1:24" hidden="1">
      <c r="A132" s="80">
        <v>2</v>
      </c>
      <c r="B132" s="81" t="s">
        <v>876</v>
      </c>
      <c r="C132" s="82"/>
      <c r="D132" s="19"/>
      <c r="E132" s="19"/>
      <c r="F132" s="19"/>
      <c r="G132" s="19" t="s">
        <v>179</v>
      </c>
      <c r="H132" s="19" t="s">
        <v>185</v>
      </c>
      <c r="I132" s="19" t="s">
        <v>168</v>
      </c>
      <c r="J132" s="19" t="s">
        <v>183</v>
      </c>
      <c r="K132" s="19" t="s">
        <v>26</v>
      </c>
      <c r="L132" s="19" t="s">
        <v>217</v>
      </c>
      <c r="M132" s="19" t="s">
        <v>222</v>
      </c>
      <c r="N132" s="19" t="s">
        <v>228</v>
      </c>
      <c r="O132" s="38"/>
      <c r="P132" s="43">
        <f>VLOOKUP(Table3[[#This Row],[Depth of cover]],'TPI. Pa.'!$B$3:$C$52,2,0)</f>
        <v>2</v>
      </c>
      <c r="Q132" s="43">
        <f>VLOOKUP(Table3[[#This Row],[Additional protection]],'TPI. Pa.'!$B$3:$C$52,2,0)</f>
        <v>5</v>
      </c>
      <c r="R132" s="43">
        <f>VLOOKUP(Table3[[#This Row],[Failure due to TPI]],'TPI. Pa.'!$B$3:$C$52,2,0)</f>
        <v>4</v>
      </c>
      <c r="S132" s="43">
        <f>VLOOKUP(Table3[[#This Row],[Activity Level]],'TPI. Pa.'!$B$3:$C$52,2,0)</f>
        <v>10</v>
      </c>
      <c r="T132" s="43">
        <f>VLOOKUP(Table3[[#This Row],[Patrol frequency]],'TPI. Pa.'!$B$3:$C$52,2,0)</f>
        <v>1</v>
      </c>
      <c r="U132" s="43">
        <f>VLOOKUP(Table3[[#This Row],[Proxutil]],'TPI. Pa.'!$B$3:$C$52,2,0)</f>
        <v>5</v>
      </c>
      <c r="V132" s="43">
        <f>VLOOKUP(Table3[[#This Row],[ROW]],'TPI. Pa.'!$B$3:$C$52,2,0)</f>
        <v>10</v>
      </c>
      <c r="W132" s="43">
        <f>VLOOKUP(Table3[[#This Row],[ROW condition]],'TPI. Pa.'!$B$3:$C$52,2,0)</f>
        <v>3</v>
      </c>
      <c r="X13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3" spans="1:24" hidden="1">
      <c r="A133" s="80">
        <v>2</v>
      </c>
      <c r="B133" s="81" t="s">
        <v>877</v>
      </c>
      <c r="C133" s="82" t="s">
        <v>656</v>
      </c>
      <c r="D133" s="19"/>
      <c r="E133" s="19"/>
      <c r="F133" s="19"/>
      <c r="G133" s="19" t="s">
        <v>179</v>
      </c>
      <c r="H133" s="19" t="s">
        <v>185</v>
      </c>
      <c r="I133" s="19" t="s">
        <v>168</v>
      </c>
      <c r="J133" s="19" t="s">
        <v>183</v>
      </c>
      <c r="K133" s="19" t="s">
        <v>26</v>
      </c>
      <c r="L133" s="19" t="s">
        <v>217</v>
      </c>
      <c r="M133" s="19" t="s">
        <v>222</v>
      </c>
      <c r="N133" s="19" t="s">
        <v>228</v>
      </c>
      <c r="O133" s="38"/>
      <c r="P133" s="43">
        <f>VLOOKUP(Table3[[#This Row],[Depth of cover]],'TPI. Pa.'!$B$3:$C$52,2,0)</f>
        <v>2</v>
      </c>
      <c r="Q133" s="43">
        <f>VLOOKUP(Table3[[#This Row],[Additional protection]],'TPI. Pa.'!$B$3:$C$52,2,0)</f>
        <v>5</v>
      </c>
      <c r="R133" s="43">
        <f>VLOOKUP(Table3[[#This Row],[Failure due to TPI]],'TPI. Pa.'!$B$3:$C$52,2,0)</f>
        <v>4</v>
      </c>
      <c r="S133" s="43">
        <f>VLOOKUP(Table3[[#This Row],[Activity Level]],'TPI. Pa.'!$B$3:$C$52,2,0)</f>
        <v>10</v>
      </c>
      <c r="T133" s="43">
        <f>VLOOKUP(Table3[[#This Row],[Patrol frequency]],'TPI. Pa.'!$B$3:$C$52,2,0)</f>
        <v>1</v>
      </c>
      <c r="U133" s="43">
        <f>VLOOKUP(Table3[[#This Row],[Proxutil]],'TPI. Pa.'!$B$3:$C$52,2,0)</f>
        <v>5</v>
      </c>
      <c r="V133" s="43">
        <f>VLOOKUP(Table3[[#This Row],[ROW]],'TPI. Pa.'!$B$3:$C$52,2,0)</f>
        <v>10</v>
      </c>
      <c r="W133" s="43">
        <f>VLOOKUP(Table3[[#This Row],[ROW condition]],'TPI. Pa.'!$B$3:$C$52,2,0)</f>
        <v>3</v>
      </c>
      <c r="X13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4" spans="1:24" hidden="1">
      <c r="A134" s="80">
        <v>2</v>
      </c>
      <c r="B134" s="81" t="s">
        <v>878</v>
      </c>
      <c r="C134" s="82" t="s">
        <v>720</v>
      </c>
      <c r="D134" s="19"/>
      <c r="E134" s="19"/>
      <c r="F134" s="19"/>
      <c r="G134" s="19" t="s">
        <v>179</v>
      </c>
      <c r="H134" s="19" t="s">
        <v>185</v>
      </c>
      <c r="I134" s="19" t="s">
        <v>168</v>
      </c>
      <c r="J134" s="19" t="s">
        <v>183</v>
      </c>
      <c r="K134" s="19" t="s">
        <v>26</v>
      </c>
      <c r="L134" s="19" t="s">
        <v>217</v>
      </c>
      <c r="M134" s="19" t="s">
        <v>222</v>
      </c>
      <c r="N134" s="19" t="s">
        <v>228</v>
      </c>
      <c r="O134" s="38"/>
      <c r="P134" s="43">
        <f>VLOOKUP(Table3[[#This Row],[Depth of cover]],'TPI. Pa.'!$B$3:$C$52,2,0)</f>
        <v>2</v>
      </c>
      <c r="Q134" s="43">
        <f>VLOOKUP(Table3[[#This Row],[Additional protection]],'TPI. Pa.'!$B$3:$C$52,2,0)</f>
        <v>5</v>
      </c>
      <c r="R134" s="43">
        <f>VLOOKUP(Table3[[#This Row],[Failure due to TPI]],'TPI. Pa.'!$B$3:$C$52,2,0)</f>
        <v>4</v>
      </c>
      <c r="S134" s="43">
        <f>VLOOKUP(Table3[[#This Row],[Activity Level]],'TPI. Pa.'!$B$3:$C$52,2,0)</f>
        <v>10</v>
      </c>
      <c r="T134" s="43">
        <f>VLOOKUP(Table3[[#This Row],[Patrol frequency]],'TPI. Pa.'!$B$3:$C$52,2,0)</f>
        <v>1</v>
      </c>
      <c r="U134" s="43">
        <f>VLOOKUP(Table3[[#This Row],[Proxutil]],'TPI. Pa.'!$B$3:$C$52,2,0)</f>
        <v>5</v>
      </c>
      <c r="V134" s="43">
        <f>VLOOKUP(Table3[[#This Row],[ROW]],'TPI. Pa.'!$B$3:$C$52,2,0)</f>
        <v>10</v>
      </c>
      <c r="W134" s="43">
        <f>VLOOKUP(Table3[[#This Row],[ROW condition]],'TPI. Pa.'!$B$3:$C$52,2,0)</f>
        <v>3</v>
      </c>
      <c r="X13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5" spans="1:24" hidden="1">
      <c r="A135" s="80">
        <v>2</v>
      </c>
      <c r="B135" s="81" t="s">
        <v>879</v>
      </c>
      <c r="C135" s="82" t="s">
        <v>658</v>
      </c>
      <c r="D135" s="19"/>
      <c r="E135" s="19"/>
      <c r="F135" s="19"/>
      <c r="G135" s="19" t="s">
        <v>179</v>
      </c>
      <c r="H135" s="19" t="s">
        <v>185</v>
      </c>
      <c r="I135" s="19" t="s">
        <v>168</v>
      </c>
      <c r="J135" s="19" t="s">
        <v>183</v>
      </c>
      <c r="K135" s="19" t="s">
        <v>26</v>
      </c>
      <c r="L135" s="19" t="s">
        <v>217</v>
      </c>
      <c r="M135" s="19" t="s">
        <v>222</v>
      </c>
      <c r="N135" s="19" t="s">
        <v>228</v>
      </c>
      <c r="O135" s="38"/>
      <c r="P135" s="43">
        <f>VLOOKUP(Table3[[#This Row],[Depth of cover]],'TPI. Pa.'!$B$3:$C$52,2,0)</f>
        <v>2</v>
      </c>
      <c r="Q135" s="43">
        <f>VLOOKUP(Table3[[#This Row],[Additional protection]],'TPI. Pa.'!$B$3:$C$52,2,0)</f>
        <v>5</v>
      </c>
      <c r="R135" s="43">
        <f>VLOOKUP(Table3[[#This Row],[Failure due to TPI]],'TPI. Pa.'!$B$3:$C$52,2,0)</f>
        <v>4</v>
      </c>
      <c r="S135" s="43">
        <f>VLOOKUP(Table3[[#This Row],[Activity Level]],'TPI. Pa.'!$B$3:$C$52,2,0)</f>
        <v>10</v>
      </c>
      <c r="T135" s="43">
        <f>VLOOKUP(Table3[[#This Row],[Patrol frequency]],'TPI. Pa.'!$B$3:$C$52,2,0)</f>
        <v>1</v>
      </c>
      <c r="U135" s="43">
        <f>VLOOKUP(Table3[[#This Row],[Proxutil]],'TPI. Pa.'!$B$3:$C$52,2,0)</f>
        <v>5</v>
      </c>
      <c r="V135" s="43">
        <f>VLOOKUP(Table3[[#This Row],[ROW]],'TPI. Pa.'!$B$3:$C$52,2,0)</f>
        <v>10</v>
      </c>
      <c r="W135" s="43">
        <f>VLOOKUP(Table3[[#This Row],[ROW condition]],'TPI. Pa.'!$B$3:$C$52,2,0)</f>
        <v>3</v>
      </c>
      <c r="X13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6" spans="1:24" hidden="1">
      <c r="A136" s="80">
        <v>2</v>
      </c>
      <c r="B136" s="81" t="s">
        <v>880</v>
      </c>
      <c r="C136" s="82" t="s">
        <v>724</v>
      </c>
      <c r="D136" s="19"/>
      <c r="E136" s="19"/>
      <c r="F136" s="19"/>
      <c r="G136" s="19" t="s">
        <v>179</v>
      </c>
      <c r="H136" s="19" t="s">
        <v>185</v>
      </c>
      <c r="I136" s="19" t="s">
        <v>168</v>
      </c>
      <c r="J136" s="19" t="s">
        <v>183</v>
      </c>
      <c r="K136" s="19" t="s">
        <v>26</v>
      </c>
      <c r="L136" s="19" t="s">
        <v>217</v>
      </c>
      <c r="M136" s="19" t="s">
        <v>222</v>
      </c>
      <c r="N136" s="19" t="s">
        <v>228</v>
      </c>
      <c r="O136" s="38"/>
      <c r="P136" s="43">
        <f>VLOOKUP(Table3[[#This Row],[Depth of cover]],'TPI. Pa.'!$B$3:$C$52,2,0)</f>
        <v>2</v>
      </c>
      <c r="Q136" s="43">
        <f>VLOOKUP(Table3[[#This Row],[Additional protection]],'TPI. Pa.'!$B$3:$C$52,2,0)</f>
        <v>5</v>
      </c>
      <c r="R136" s="43">
        <f>VLOOKUP(Table3[[#This Row],[Failure due to TPI]],'TPI. Pa.'!$B$3:$C$52,2,0)</f>
        <v>4</v>
      </c>
      <c r="S136" s="43">
        <f>VLOOKUP(Table3[[#This Row],[Activity Level]],'TPI. Pa.'!$B$3:$C$52,2,0)</f>
        <v>10</v>
      </c>
      <c r="T136" s="43">
        <f>VLOOKUP(Table3[[#This Row],[Patrol frequency]],'TPI. Pa.'!$B$3:$C$52,2,0)</f>
        <v>1</v>
      </c>
      <c r="U136" s="43">
        <f>VLOOKUP(Table3[[#This Row],[Proxutil]],'TPI. Pa.'!$B$3:$C$52,2,0)</f>
        <v>5</v>
      </c>
      <c r="V136" s="43">
        <f>VLOOKUP(Table3[[#This Row],[ROW]],'TPI. Pa.'!$B$3:$C$52,2,0)</f>
        <v>10</v>
      </c>
      <c r="W136" s="43">
        <f>VLOOKUP(Table3[[#This Row],[ROW condition]],'TPI. Pa.'!$B$3:$C$52,2,0)</f>
        <v>3</v>
      </c>
      <c r="X13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7" spans="1:24" hidden="1">
      <c r="A137" s="84">
        <v>2</v>
      </c>
      <c r="B137" s="81" t="s">
        <v>881</v>
      </c>
      <c r="C137" s="82" t="s">
        <v>266</v>
      </c>
      <c r="D137" s="19"/>
      <c r="E137" s="19"/>
      <c r="F137" s="19"/>
      <c r="G137" s="19" t="s">
        <v>179</v>
      </c>
      <c r="H137" s="19" t="s">
        <v>185</v>
      </c>
      <c r="I137" s="19" t="s">
        <v>168</v>
      </c>
      <c r="J137" s="19" t="s">
        <v>183</v>
      </c>
      <c r="K137" s="19" t="s">
        <v>26</v>
      </c>
      <c r="L137" s="19" t="s">
        <v>217</v>
      </c>
      <c r="M137" s="19" t="s">
        <v>222</v>
      </c>
      <c r="N137" s="19" t="s">
        <v>228</v>
      </c>
      <c r="O137" s="38"/>
      <c r="P137" s="43">
        <f>VLOOKUP(Table3[[#This Row],[Depth of cover]],'TPI. Pa.'!$B$3:$C$52,2,0)</f>
        <v>2</v>
      </c>
      <c r="Q137" s="43">
        <f>VLOOKUP(Table3[[#This Row],[Additional protection]],'TPI. Pa.'!$B$3:$C$52,2,0)</f>
        <v>5</v>
      </c>
      <c r="R137" s="43">
        <f>VLOOKUP(Table3[[#This Row],[Failure due to TPI]],'TPI. Pa.'!$B$3:$C$52,2,0)</f>
        <v>4</v>
      </c>
      <c r="S137" s="43">
        <f>VLOOKUP(Table3[[#This Row],[Activity Level]],'TPI. Pa.'!$B$3:$C$52,2,0)</f>
        <v>10</v>
      </c>
      <c r="T137" s="43">
        <f>VLOOKUP(Table3[[#This Row],[Patrol frequency]],'TPI. Pa.'!$B$3:$C$52,2,0)</f>
        <v>1</v>
      </c>
      <c r="U137" s="43">
        <f>VLOOKUP(Table3[[#This Row],[Proxutil]],'TPI. Pa.'!$B$3:$C$52,2,0)</f>
        <v>5</v>
      </c>
      <c r="V137" s="43">
        <f>VLOOKUP(Table3[[#This Row],[ROW]],'TPI. Pa.'!$B$3:$C$52,2,0)</f>
        <v>10</v>
      </c>
      <c r="W137" s="43">
        <f>VLOOKUP(Table3[[#This Row],[ROW condition]],'TPI. Pa.'!$B$3:$C$52,2,0)</f>
        <v>3</v>
      </c>
      <c r="X13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8" spans="1:24" hidden="1">
      <c r="A138" s="80">
        <v>2</v>
      </c>
      <c r="B138" s="81" t="s">
        <v>882</v>
      </c>
      <c r="C138" s="82" t="s">
        <v>660</v>
      </c>
      <c r="D138" s="19"/>
      <c r="E138" s="19"/>
      <c r="F138" s="19"/>
      <c r="G138" s="19" t="s">
        <v>179</v>
      </c>
      <c r="H138" s="19" t="s">
        <v>185</v>
      </c>
      <c r="I138" s="19" t="s">
        <v>168</v>
      </c>
      <c r="J138" s="19" t="s">
        <v>183</v>
      </c>
      <c r="K138" s="19" t="s">
        <v>26</v>
      </c>
      <c r="L138" s="19" t="s">
        <v>217</v>
      </c>
      <c r="M138" s="19" t="s">
        <v>222</v>
      </c>
      <c r="N138" s="19" t="s">
        <v>228</v>
      </c>
      <c r="O138" s="38"/>
      <c r="P138" s="43">
        <f>VLOOKUP(Table3[[#This Row],[Depth of cover]],'TPI. Pa.'!$B$3:$C$52,2,0)</f>
        <v>2</v>
      </c>
      <c r="Q138" s="43">
        <f>VLOOKUP(Table3[[#This Row],[Additional protection]],'TPI. Pa.'!$B$3:$C$52,2,0)</f>
        <v>5</v>
      </c>
      <c r="R138" s="43">
        <f>VLOOKUP(Table3[[#This Row],[Failure due to TPI]],'TPI. Pa.'!$B$3:$C$52,2,0)</f>
        <v>4</v>
      </c>
      <c r="S138" s="43">
        <f>VLOOKUP(Table3[[#This Row],[Activity Level]],'TPI. Pa.'!$B$3:$C$52,2,0)</f>
        <v>10</v>
      </c>
      <c r="T138" s="43">
        <f>VLOOKUP(Table3[[#This Row],[Patrol frequency]],'TPI. Pa.'!$B$3:$C$52,2,0)</f>
        <v>1</v>
      </c>
      <c r="U138" s="43">
        <f>VLOOKUP(Table3[[#This Row],[Proxutil]],'TPI. Pa.'!$B$3:$C$52,2,0)</f>
        <v>5</v>
      </c>
      <c r="V138" s="43">
        <f>VLOOKUP(Table3[[#This Row],[ROW]],'TPI. Pa.'!$B$3:$C$52,2,0)</f>
        <v>10</v>
      </c>
      <c r="W138" s="43">
        <f>VLOOKUP(Table3[[#This Row],[ROW condition]],'TPI. Pa.'!$B$3:$C$52,2,0)</f>
        <v>3</v>
      </c>
      <c r="X13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39" spans="1:24" hidden="1">
      <c r="A139" s="80">
        <v>2</v>
      </c>
      <c r="B139" s="81" t="s">
        <v>883</v>
      </c>
      <c r="C139" s="82" t="s">
        <v>662</v>
      </c>
      <c r="D139" s="19"/>
      <c r="E139" s="19"/>
      <c r="F139" s="19"/>
      <c r="G139" s="19" t="s">
        <v>179</v>
      </c>
      <c r="H139" s="19" t="s">
        <v>185</v>
      </c>
      <c r="I139" s="19" t="s">
        <v>168</v>
      </c>
      <c r="J139" s="19" t="s">
        <v>183</v>
      </c>
      <c r="K139" s="19" t="s">
        <v>26</v>
      </c>
      <c r="L139" s="19" t="s">
        <v>217</v>
      </c>
      <c r="M139" s="19" t="s">
        <v>222</v>
      </c>
      <c r="N139" s="19" t="s">
        <v>228</v>
      </c>
      <c r="O139" s="38"/>
      <c r="P139" s="43">
        <f>VLOOKUP(Table3[[#This Row],[Depth of cover]],'TPI. Pa.'!$B$3:$C$52,2,0)</f>
        <v>2</v>
      </c>
      <c r="Q139" s="43">
        <f>VLOOKUP(Table3[[#This Row],[Additional protection]],'TPI. Pa.'!$B$3:$C$52,2,0)</f>
        <v>5</v>
      </c>
      <c r="R139" s="43">
        <f>VLOOKUP(Table3[[#This Row],[Failure due to TPI]],'TPI. Pa.'!$B$3:$C$52,2,0)</f>
        <v>4</v>
      </c>
      <c r="S139" s="43">
        <f>VLOOKUP(Table3[[#This Row],[Activity Level]],'TPI. Pa.'!$B$3:$C$52,2,0)</f>
        <v>10</v>
      </c>
      <c r="T139" s="43">
        <f>VLOOKUP(Table3[[#This Row],[Patrol frequency]],'TPI. Pa.'!$B$3:$C$52,2,0)</f>
        <v>1</v>
      </c>
      <c r="U139" s="43">
        <f>VLOOKUP(Table3[[#This Row],[Proxutil]],'TPI. Pa.'!$B$3:$C$52,2,0)</f>
        <v>5</v>
      </c>
      <c r="V139" s="43">
        <f>VLOOKUP(Table3[[#This Row],[ROW]],'TPI. Pa.'!$B$3:$C$52,2,0)</f>
        <v>10</v>
      </c>
      <c r="W139" s="43">
        <f>VLOOKUP(Table3[[#This Row],[ROW condition]],'TPI. Pa.'!$B$3:$C$52,2,0)</f>
        <v>3</v>
      </c>
      <c r="X13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0" spans="1:24" hidden="1">
      <c r="A140" s="80">
        <v>2</v>
      </c>
      <c r="B140" s="81" t="s">
        <v>884</v>
      </c>
      <c r="C140" s="82" t="s">
        <v>722</v>
      </c>
      <c r="D140" s="19"/>
      <c r="E140" s="19"/>
      <c r="F140" s="19"/>
      <c r="G140" s="19" t="s">
        <v>179</v>
      </c>
      <c r="H140" s="19" t="s">
        <v>185</v>
      </c>
      <c r="I140" s="19" t="s">
        <v>168</v>
      </c>
      <c r="J140" s="19" t="s">
        <v>183</v>
      </c>
      <c r="K140" s="19" t="s">
        <v>26</v>
      </c>
      <c r="L140" s="19" t="s">
        <v>217</v>
      </c>
      <c r="M140" s="19" t="s">
        <v>222</v>
      </c>
      <c r="N140" s="19" t="s">
        <v>228</v>
      </c>
      <c r="O140" s="38"/>
      <c r="P140" s="43">
        <f>VLOOKUP(Table3[[#This Row],[Depth of cover]],'TPI. Pa.'!$B$3:$C$52,2,0)</f>
        <v>2</v>
      </c>
      <c r="Q140" s="43">
        <f>VLOOKUP(Table3[[#This Row],[Additional protection]],'TPI. Pa.'!$B$3:$C$52,2,0)</f>
        <v>5</v>
      </c>
      <c r="R140" s="43">
        <f>VLOOKUP(Table3[[#This Row],[Failure due to TPI]],'TPI. Pa.'!$B$3:$C$52,2,0)</f>
        <v>4</v>
      </c>
      <c r="S140" s="43">
        <f>VLOOKUP(Table3[[#This Row],[Activity Level]],'TPI. Pa.'!$B$3:$C$52,2,0)</f>
        <v>10</v>
      </c>
      <c r="T140" s="43">
        <f>VLOOKUP(Table3[[#This Row],[Patrol frequency]],'TPI. Pa.'!$B$3:$C$52,2,0)</f>
        <v>1</v>
      </c>
      <c r="U140" s="43">
        <f>VLOOKUP(Table3[[#This Row],[Proxutil]],'TPI. Pa.'!$B$3:$C$52,2,0)</f>
        <v>5</v>
      </c>
      <c r="V140" s="43">
        <f>VLOOKUP(Table3[[#This Row],[ROW]],'TPI. Pa.'!$B$3:$C$52,2,0)</f>
        <v>10</v>
      </c>
      <c r="W140" s="43">
        <f>VLOOKUP(Table3[[#This Row],[ROW condition]],'TPI. Pa.'!$B$3:$C$52,2,0)</f>
        <v>3</v>
      </c>
      <c r="X14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1" spans="1:24" hidden="1">
      <c r="A141" s="80">
        <v>2</v>
      </c>
      <c r="B141" s="81" t="s">
        <v>885</v>
      </c>
      <c r="C141" s="82" t="s">
        <v>664</v>
      </c>
      <c r="D141" s="19"/>
      <c r="E141" s="19"/>
      <c r="F141" s="19"/>
      <c r="G141" s="19" t="s">
        <v>179</v>
      </c>
      <c r="H141" s="19" t="s">
        <v>185</v>
      </c>
      <c r="I141" s="19" t="s">
        <v>168</v>
      </c>
      <c r="J141" s="19" t="s">
        <v>183</v>
      </c>
      <c r="K141" s="19" t="s">
        <v>26</v>
      </c>
      <c r="L141" s="19" t="s">
        <v>217</v>
      </c>
      <c r="M141" s="19" t="s">
        <v>222</v>
      </c>
      <c r="N141" s="19" t="s">
        <v>228</v>
      </c>
      <c r="O141" s="38"/>
      <c r="P141" s="43">
        <f>VLOOKUP(Table3[[#This Row],[Depth of cover]],'TPI. Pa.'!$B$3:$C$52,2,0)</f>
        <v>2</v>
      </c>
      <c r="Q141" s="43">
        <f>VLOOKUP(Table3[[#This Row],[Additional protection]],'TPI. Pa.'!$B$3:$C$52,2,0)</f>
        <v>5</v>
      </c>
      <c r="R141" s="43">
        <f>VLOOKUP(Table3[[#This Row],[Failure due to TPI]],'TPI. Pa.'!$B$3:$C$52,2,0)</f>
        <v>4</v>
      </c>
      <c r="S141" s="43">
        <f>VLOOKUP(Table3[[#This Row],[Activity Level]],'TPI. Pa.'!$B$3:$C$52,2,0)</f>
        <v>10</v>
      </c>
      <c r="T141" s="43">
        <f>VLOOKUP(Table3[[#This Row],[Patrol frequency]],'TPI. Pa.'!$B$3:$C$52,2,0)</f>
        <v>1</v>
      </c>
      <c r="U141" s="43">
        <f>VLOOKUP(Table3[[#This Row],[Proxutil]],'TPI. Pa.'!$B$3:$C$52,2,0)</f>
        <v>5</v>
      </c>
      <c r="V141" s="43">
        <f>VLOOKUP(Table3[[#This Row],[ROW]],'TPI. Pa.'!$B$3:$C$52,2,0)</f>
        <v>10</v>
      </c>
      <c r="W141" s="43">
        <f>VLOOKUP(Table3[[#This Row],[ROW condition]],'TPI. Pa.'!$B$3:$C$52,2,0)</f>
        <v>3</v>
      </c>
      <c r="X14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2" spans="1:24" hidden="1">
      <c r="A142" s="80">
        <v>2</v>
      </c>
      <c r="B142" s="81" t="s">
        <v>885</v>
      </c>
      <c r="C142" s="82" t="s">
        <v>665</v>
      </c>
      <c r="D142" s="19"/>
      <c r="E142" s="19"/>
      <c r="F142" s="19"/>
      <c r="G142" s="19" t="s">
        <v>179</v>
      </c>
      <c r="H142" s="19" t="s">
        <v>185</v>
      </c>
      <c r="I142" s="19" t="s">
        <v>168</v>
      </c>
      <c r="J142" s="19" t="s">
        <v>183</v>
      </c>
      <c r="K142" s="19" t="s">
        <v>26</v>
      </c>
      <c r="L142" s="19" t="s">
        <v>217</v>
      </c>
      <c r="M142" s="19" t="s">
        <v>222</v>
      </c>
      <c r="N142" s="19" t="s">
        <v>228</v>
      </c>
      <c r="O142" s="38"/>
      <c r="P142" s="43">
        <f>VLOOKUP(Table3[[#This Row],[Depth of cover]],'TPI. Pa.'!$B$3:$C$52,2,0)</f>
        <v>2</v>
      </c>
      <c r="Q142" s="43">
        <f>VLOOKUP(Table3[[#This Row],[Additional protection]],'TPI. Pa.'!$B$3:$C$52,2,0)</f>
        <v>5</v>
      </c>
      <c r="R142" s="43">
        <f>VLOOKUP(Table3[[#This Row],[Failure due to TPI]],'TPI. Pa.'!$B$3:$C$52,2,0)</f>
        <v>4</v>
      </c>
      <c r="S142" s="43">
        <f>VLOOKUP(Table3[[#This Row],[Activity Level]],'TPI. Pa.'!$B$3:$C$52,2,0)</f>
        <v>10</v>
      </c>
      <c r="T142" s="43">
        <f>VLOOKUP(Table3[[#This Row],[Patrol frequency]],'TPI. Pa.'!$B$3:$C$52,2,0)</f>
        <v>1</v>
      </c>
      <c r="U142" s="43">
        <f>VLOOKUP(Table3[[#This Row],[Proxutil]],'TPI. Pa.'!$B$3:$C$52,2,0)</f>
        <v>5</v>
      </c>
      <c r="V142" s="43">
        <f>VLOOKUP(Table3[[#This Row],[ROW]],'TPI. Pa.'!$B$3:$C$52,2,0)</f>
        <v>10</v>
      </c>
      <c r="W142" s="43">
        <f>VLOOKUP(Table3[[#This Row],[ROW condition]],'TPI. Pa.'!$B$3:$C$52,2,0)</f>
        <v>3</v>
      </c>
      <c r="X14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3" spans="1:24" hidden="1">
      <c r="A143" s="80">
        <v>2</v>
      </c>
      <c r="B143" s="81" t="s">
        <v>886</v>
      </c>
      <c r="C143" s="82" t="s">
        <v>250</v>
      </c>
      <c r="D143" s="19"/>
      <c r="E143" s="19"/>
      <c r="F143" s="19"/>
      <c r="G143" s="19" t="s">
        <v>179</v>
      </c>
      <c r="H143" s="19" t="s">
        <v>185</v>
      </c>
      <c r="I143" s="19" t="s">
        <v>168</v>
      </c>
      <c r="J143" s="19" t="s">
        <v>183</v>
      </c>
      <c r="K143" s="19" t="s">
        <v>26</v>
      </c>
      <c r="L143" s="19" t="s">
        <v>217</v>
      </c>
      <c r="M143" s="19" t="s">
        <v>222</v>
      </c>
      <c r="N143" s="19" t="s">
        <v>228</v>
      </c>
      <c r="O143" s="38"/>
      <c r="P143" s="43">
        <f>VLOOKUP(Table3[[#This Row],[Depth of cover]],'TPI. Pa.'!$B$3:$C$52,2,0)</f>
        <v>2</v>
      </c>
      <c r="Q143" s="43">
        <f>VLOOKUP(Table3[[#This Row],[Additional protection]],'TPI. Pa.'!$B$3:$C$52,2,0)</f>
        <v>5</v>
      </c>
      <c r="R143" s="43">
        <f>VLOOKUP(Table3[[#This Row],[Failure due to TPI]],'TPI. Pa.'!$B$3:$C$52,2,0)</f>
        <v>4</v>
      </c>
      <c r="S143" s="43">
        <f>VLOOKUP(Table3[[#This Row],[Activity Level]],'TPI. Pa.'!$B$3:$C$52,2,0)</f>
        <v>10</v>
      </c>
      <c r="T143" s="43">
        <f>VLOOKUP(Table3[[#This Row],[Patrol frequency]],'TPI. Pa.'!$B$3:$C$52,2,0)</f>
        <v>1</v>
      </c>
      <c r="U143" s="43">
        <f>VLOOKUP(Table3[[#This Row],[Proxutil]],'TPI. Pa.'!$B$3:$C$52,2,0)</f>
        <v>5</v>
      </c>
      <c r="V143" s="43">
        <f>VLOOKUP(Table3[[#This Row],[ROW]],'TPI. Pa.'!$B$3:$C$52,2,0)</f>
        <v>10</v>
      </c>
      <c r="W143" s="43">
        <f>VLOOKUP(Table3[[#This Row],[ROW condition]],'TPI. Pa.'!$B$3:$C$52,2,0)</f>
        <v>3</v>
      </c>
      <c r="X14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4" spans="1:24" hidden="1">
      <c r="A144" s="80">
        <v>2</v>
      </c>
      <c r="B144" s="81" t="s">
        <v>887</v>
      </c>
      <c r="C144" s="82" t="s">
        <v>716</v>
      </c>
      <c r="D144" s="19"/>
      <c r="E144" s="19"/>
      <c r="F144" s="19"/>
      <c r="G144" s="19" t="s">
        <v>179</v>
      </c>
      <c r="H144" s="19" t="s">
        <v>185</v>
      </c>
      <c r="I144" s="19" t="s">
        <v>168</v>
      </c>
      <c r="J144" s="19" t="s">
        <v>183</v>
      </c>
      <c r="K144" s="19" t="s">
        <v>26</v>
      </c>
      <c r="L144" s="19" t="s">
        <v>217</v>
      </c>
      <c r="M144" s="19" t="s">
        <v>222</v>
      </c>
      <c r="N144" s="19" t="s">
        <v>228</v>
      </c>
      <c r="O144" s="38"/>
      <c r="P144" s="43">
        <f>VLOOKUP(Table3[[#This Row],[Depth of cover]],'TPI. Pa.'!$B$3:$C$52,2,0)</f>
        <v>2</v>
      </c>
      <c r="Q144" s="43">
        <f>VLOOKUP(Table3[[#This Row],[Additional protection]],'TPI. Pa.'!$B$3:$C$52,2,0)</f>
        <v>5</v>
      </c>
      <c r="R144" s="43">
        <f>VLOOKUP(Table3[[#This Row],[Failure due to TPI]],'TPI. Pa.'!$B$3:$C$52,2,0)</f>
        <v>4</v>
      </c>
      <c r="S144" s="43">
        <f>VLOOKUP(Table3[[#This Row],[Activity Level]],'TPI. Pa.'!$B$3:$C$52,2,0)</f>
        <v>10</v>
      </c>
      <c r="T144" s="43">
        <f>VLOOKUP(Table3[[#This Row],[Patrol frequency]],'TPI. Pa.'!$B$3:$C$52,2,0)</f>
        <v>1</v>
      </c>
      <c r="U144" s="43">
        <f>VLOOKUP(Table3[[#This Row],[Proxutil]],'TPI. Pa.'!$B$3:$C$52,2,0)</f>
        <v>5</v>
      </c>
      <c r="V144" s="43">
        <f>VLOOKUP(Table3[[#This Row],[ROW]],'TPI. Pa.'!$B$3:$C$52,2,0)</f>
        <v>10</v>
      </c>
      <c r="W144" s="43">
        <f>VLOOKUP(Table3[[#This Row],[ROW condition]],'TPI. Pa.'!$B$3:$C$52,2,0)</f>
        <v>3</v>
      </c>
      <c r="X14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5" spans="1:24" hidden="1">
      <c r="A145" s="84">
        <v>2</v>
      </c>
      <c r="B145" s="81">
        <v>6731101</v>
      </c>
      <c r="C145" s="82" t="s">
        <v>268</v>
      </c>
      <c r="D145" s="19"/>
      <c r="E145" s="19"/>
      <c r="F145" s="19"/>
      <c r="G145" s="19" t="s">
        <v>179</v>
      </c>
      <c r="H145" s="19" t="s">
        <v>185</v>
      </c>
      <c r="I145" s="19" t="s">
        <v>168</v>
      </c>
      <c r="J145" s="19" t="s">
        <v>183</v>
      </c>
      <c r="K145" s="19" t="s">
        <v>26</v>
      </c>
      <c r="L145" s="19" t="s">
        <v>217</v>
      </c>
      <c r="M145" s="19" t="s">
        <v>222</v>
      </c>
      <c r="N145" s="19" t="s">
        <v>228</v>
      </c>
      <c r="O145" s="38"/>
      <c r="P145" s="43">
        <f>VLOOKUP(Table3[[#This Row],[Depth of cover]],'TPI. Pa.'!$B$3:$C$52,2,0)</f>
        <v>2</v>
      </c>
      <c r="Q145" s="43">
        <f>VLOOKUP(Table3[[#This Row],[Additional protection]],'TPI. Pa.'!$B$3:$C$52,2,0)</f>
        <v>5</v>
      </c>
      <c r="R145" s="43">
        <f>VLOOKUP(Table3[[#This Row],[Failure due to TPI]],'TPI. Pa.'!$B$3:$C$52,2,0)</f>
        <v>4</v>
      </c>
      <c r="S145" s="43">
        <f>VLOOKUP(Table3[[#This Row],[Activity Level]],'TPI. Pa.'!$B$3:$C$52,2,0)</f>
        <v>10</v>
      </c>
      <c r="T145" s="43">
        <f>VLOOKUP(Table3[[#This Row],[Patrol frequency]],'TPI. Pa.'!$B$3:$C$52,2,0)</f>
        <v>1</v>
      </c>
      <c r="U145" s="43">
        <f>VLOOKUP(Table3[[#This Row],[Proxutil]],'TPI. Pa.'!$B$3:$C$52,2,0)</f>
        <v>5</v>
      </c>
      <c r="V145" s="43">
        <f>VLOOKUP(Table3[[#This Row],[ROW]],'TPI. Pa.'!$B$3:$C$52,2,0)</f>
        <v>10</v>
      </c>
      <c r="W145" s="43">
        <f>VLOOKUP(Table3[[#This Row],[ROW condition]],'TPI. Pa.'!$B$3:$C$52,2,0)</f>
        <v>3</v>
      </c>
      <c r="X14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6" spans="1:24" hidden="1">
      <c r="A146" s="84">
        <v>2</v>
      </c>
      <c r="B146" s="81">
        <v>6921101</v>
      </c>
      <c r="C146" s="82" t="s">
        <v>269</v>
      </c>
      <c r="D146" s="19"/>
      <c r="E146" s="19"/>
      <c r="F146" s="19"/>
      <c r="G146" s="19" t="s">
        <v>179</v>
      </c>
      <c r="H146" s="19" t="s">
        <v>185</v>
      </c>
      <c r="I146" s="19" t="s">
        <v>168</v>
      </c>
      <c r="J146" s="19" t="s">
        <v>183</v>
      </c>
      <c r="K146" s="19" t="s">
        <v>26</v>
      </c>
      <c r="L146" s="19" t="s">
        <v>217</v>
      </c>
      <c r="M146" s="19" t="s">
        <v>222</v>
      </c>
      <c r="N146" s="19" t="s">
        <v>228</v>
      </c>
      <c r="O146" s="38"/>
      <c r="P146" s="43">
        <f>VLOOKUP(Table3[[#This Row],[Depth of cover]],'TPI. Pa.'!$B$3:$C$52,2,0)</f>
        <v>2</v>
      </c>
      <c r="Q146" s="43">
        <f>VLOOKUP(Table3[[#This Row],[Additional protection]],'TPI. Pa.'!$B$3:$C$52,2,0)</f>
        <v>5</v>
      </c>
      <c r="R146" s="43">
        <f>VLOOKUP(Table3[[#This Row],[Failure due to TPI]],'TPI. Pa.'!$B$3:$C$52,2,0)</f>
        <v>4</v>
      </c>
      <c r="S146" s="43">
        <f>VLOOKUP(Table3[[#This Row],[Activity Level]],'TPI. Pa.'!$B$3:$C$52,2,0)</f>
        <v>10</v>
      </c>
      <c r="T146" s="43">
        <f>VLOOKUP(Table3[[#This Row],[Patrol frequency]],'TPI. Pa.'!$B$3:$C$52,2,0)</f>
        <v>1</v>
      </c>
      <c r="U146" s="43">
        <f>VLOOKUP(Table3[[#This Row],[Proxutil]],'TPI. Pa.'!$B$3:$C$52,2,0)</f>
        <v>5</v>
      </c>
      <c r="V146" s="43">
        <f>VLOOKUP(Table3[[#This Row],[ROW]],'TPI. Pa.'!$B$3:$C$52,2,0)</f>
        <v>10</v>
      </c>
      <c r="W146" s="43">
        <f>VLOOKUP(Table3[[#This Row],[ROW condition]],'TPI. Pa.'!$B$3:$C$52,2,0)</f>
        <v>3</v>
      </c>
      <c r="X14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7" spans="1:24" hidden="1">
      <c r="A147" s="84">
        <v>2</v>
      </c>
      <c r="B147" s="81">
        <v>67210001</v>
      </c>
      <c r="C147" s="82" t="s">
        <v>270</v>
      </c>
      <c r="D147" s="19"/>
      <c r="E147" s="19"/>
      <c r="F147" s="19"/>
      <c r="G147" s="19" t="s">
        <v>179</v>
      </c>
      <c r="H147" s="19" t="s">
        <v>185</v>
      </c>
      <c r="I147" s="19" t="s">
        <v>168</v>
      </c>
      <c r="J147" s="19" t="s">
        <v>183</v>
      </c>
      <c r="K147" s="19" t="s">
        <v>26</v>
      </c>
      <c r="L147" s="19" t="s">
        <v>217</v>
      </c>
      <c r="M147" s="19" t="s">
        <v>222</v>
      </c>
      <c r="N147" s="19" t="s">
        <v>228</v>
      </c>
      <c r="O147" s="38"/>
      <c r="P147" s="43">
        <f>VLOOKUP(Table3[[#This Row],[Depth of cover]],'TPI. Pa.'!$B$3:$C$52,2,0)</f>
        <v>2</v>
      </c>
      <c r="Q147" s="43">
        <f>VLOOKUP(Table3[[#This Row],[Additional protection]],'TPI. Pa.'!$B$3:$C$52,2,0)</f>
        <v>5</v>
      </c>
      <c r="R147" s="43">
        <f>VLOOKUP(Table3[[#This Row],[Failure due to TPI]],'TPI. Pa.'!$B$3:$C$52,2,0)</f>
        <v>4</v>
      </c>
      <c r="S147" s="43">
        <f>VLOOKUP(Table3[[#This Row],[Activity Level]],'TPI. Pa.'!$B$3:$C$52,2,0)</f>
        <v>10</v>
      </c>
      <c r="T147" s="43">
        <f>VLOOKUP(Table3[[#This Row],[Patrol frequency]],'TPI. Pa.'!$B$3:$C$52,2,0)</f>
        <v>1</v>
      </c>
      <c r="U147" s="43">
        <f>VLOOKUP(Table3[[#This Row],[Proxutil]],'TPI. Pa.'!$B$3:$C$52,2,0)</f>
        <v>5</v>
      </c>
      <c r="V147" s="43">
        <f>VLOOKUP(Table3[[#This Row],[ROW]],'TPI. Pa.'!$B$3:$C$52,2,0)</f>
        <v>10</v>
      </c>
      <c r="W147" s="43">
        <f>VLOOKUP(Table3[[#This Row],[ROW condition]],'TPI. Pa.'!$B$3:$C$52,2,0)</f>
        <v>3</v>
      </c>
      <c r="X14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8" spans="1:24" hidden="1">
      <c r="A148" s="84">
        <v>2</v>
      </c>
      <c r="B148" s="81">
        <v>67210002</v>
      </c>
      <c r="C148" s="82" t="s">
        <v>271</v>
      </c>
      <c r="D148" s="19"/>
      <c r="E148" s="19"/>
      <c r="F148" s="19"/>
      <c r="G148" s="19" t="s">
        <v>179</v>
      </c>
      <c r="H148" s="19" t="s">
        <v>185</v>
      </c>
      <c r="I148" s="19" t="s">
        <v>168</v>
      </c>
      <c r="J148" s="19" t="s">
        <v>183</v>
      </c>
      <c r="K148" s="19" t="s">
        <v>26</v>
      </c>
      <c r="L148" s="19" t="s">
        <v>217</v>
      </c>
      <c r="M148" s="19" t="s">
        <v>222</v>
      </c>
      <c r="N148" s="19" t="s">
        <v>228</v>
      </c>
      <c r="O148" s="38"/>
      <c r="P148" s="43">
        <f>VLOOKUP(Table3[[#This Row],[Depth of cover]],'TPI. Pa.'!$B$3:$C$52,2,0)</f>
        <v>2</v>
      </c>
      <c r="Q148" s="43">
        <f>VLOOKUP(Table3[[#This Row],[Additional protection]],'TPI. Pa.'!$B$3:$C$52,2,0)</f>
        <v>5</v>
      </c>
      <c r="R148" s="43">
        <f>VLOOKUP(Table3[[#This Row],[Failure due to TPI]],'TPI. Pa.'!$B$3:$C$52,2,0)</f>
        <v>4</v>
      </c>
      <c r="S148" s="43">
        <f>VLOOKUP(Table3[[#This Row],[Activity Level]],'TPI. Pa.'!$B$3:$C$52,2,0)</f>
        <v>10</v>
      </c>
      <c r="T148" s="43">
        <f>VLOOKUP(Table3[[#This Row],[Patrol frequency]],'TPI. Pa.'!$B$3:$C$52,2,0)</f>
        <v>1</v>
      </c>
      <c r="U148" s="43">
        <f>VLOOKUP(Table3[[#This Row],[Proxutil]],'TPI. Pa.'!$B$3:$C$52,2,0)</f>
        <v>5</v>
      </c>
      <c r="V148" s="43">
        <f>VLOOKUP(Table3[[#This Row],[ROW]],'TPI. Pa.'!$B$3:$C$52,2,0)</f>
        <v>10</v>
      </c>
      <c r="W148" s="43">
        <f>VLOOKUP(Table3[[#This Row],[ROW condition]],'TPI. Pa.'!$B$3:$C$52,2,0)</f>
        <v>3</v>
      </c>
      <c r="X14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49" spans="1:24" hidden="1">
      <c r="A149" s="84">
        <v>2</v>
      </c>
      <c r="B149" s="81">
        <v>658110001</v>
      </c>
      <c r="C149" s="82" t="s">
        <v>272</v>
      </c>
      <c r="D149" s="19"/>
      <c r="E149" s="19"/>
      <c r="F149" s="19"/>
      <c r="G149" s="19" t="s">
        <v>179</v>
      </c>
      <c r="H149" s="19" t="s">
        <v>185</v>
      </c>
      <c r="I149" s="19" t="s">
        <v>168</v>
      </c>
      <c r="J149" s="19" t="s">
        <v>183</v>
      </c>
      <c r="K149" s="19" t="s">
        <v>26</v>
      </c>
      <c r="L149" s="19" t="s">
        <v>217</v>
      </c>
      <c r="M149" s="19" t="s">
        <v>222</v>
      </c>
      <c r="N149" s="19" t="s">
        <v>228</v>
      </c>
      <c r="O149" s="38"/>
      <c r="P149" s="43">
        <f>VLOOKUP(Table3[[#This Row],[Depth of cover]],'TPI. Pa.'!$B$3:$C$52,2,0)</f>
        <v>2</v>
      </c>
      <c r="Q149" s="43">
        <f>VLOOKUP(Table3[[#This Row],[Additional protection]],'TPI. Pa.'!$B$3:$C$52,2,0)</f>
        <v>5</v>
      </c>
      <c r="R149" s="43">
        <f>VLOOKUP(Table3[[#This Row],[Failure due to TPI]],'TPI. Pa.'!$B$3:$C$52,2,0)</f>
        <v>4</v>
      </c>
      <c r="S149" s="43">
        <f>VLOOKUP(Table3[[#This Row],[Activity Level]],'TPI. Pa.'!$B$3:$C$52,2,0)</f>
        <v>10</v>
      </c>
      <c r="T149" s="43">
        <f>VLOOKUP(Table3[[#This Row],[Patrol frequency]],'TPI. Pa.'!$B$3:$C$52,2,0)</f>
        <v>1</v>
      </c>
      <c r="U149" s="43">
        <f>VLOOKUP(Table3[[#This Row],[Proxutil]],'TPI. Pa.'!$B$3:$C$52,2,0)</f>
        <v>5</v>
      </c>
      <c r="V149" s="43">
        <f>VLOOKUP(Table3[[#This Row],[ROW]],'TPI. Pa.'!$B$3:$C$52,2,0)</f>
        <v>10</v>
      </c>
      <c r="W149" s="43">
        <f>VLOOKUP(Table3[[#This Row],[ROW condition]],'TPI. Pa.'!$B$3:$C$52,2,0)</f>
        <v>3</v>
      </c>
      <c r="X14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0" spans="1:24" hidden="1">
      <c r="A150" s="84">
        <v>2</v>
      </c>
      <c r="B150" s="81">
        <v>658110002</v>
      </c>
      <c r="C150" s="82" t="s">
        <v>273</v>
      </c>
      <c r="D150" s="19"/>
      <c r="E150" s="19"/>
      <c r="F150" s="19"/>
      <c r="G150" s="19" t="s">
        <v>179</v>
      </c>
      <c r="H150" s="19" t="s">
        <v>185</v>
      </c>
      <c r="I150" s="19" t="s">
        <v>168</v>
      </c>
      <c r="J150" s="19" t="s">
        <v>183</v>
      </c>
      <c r="K150" s="19" t="s">
        <v>26</v>
      </c>
      <c r="L150" s="19" t="s">
        <v>217</v>
      </c>
      <c r="M150" s="19" t="s">
        <v>222</v>
      </c>
      <c r="N150" s="19" t="s">
        <v>228</v>
      </c>
      <c r="O150" s="38"/>
      <c r="P150" s="43">
        <f>VLOOKUP(Table3[[#This Row],[Depth of cover]],'TPI. Pa.'!$B$3:$C$52,2,0)</f>
        <v>2</v>
      </c>
      <c r="Q150" s="43">
        <f>VLOOKUP(Table3[[#This Row],[Additional protection]],'TPI. Pa.'!$B$3:$C$52,2,0)</f>
        <v>5</v>
      </c>
      <c r="R150" s="43">
        <f>VLOOKUP(Table3[[#This Row],[Failure due to TPI]],'TPI. Pa.'!$B$3:$C$52,2,0)</f>
        <v>4</v>
      </c>
      <c r="S150" s="43">
        <f>VLOOKUP(Table3[[#This Row],[Activity Level]],'TPI. Pa.'!$B$3:$C$52,2,0)</f>
        <v>10</v>
      </c>
      <c r="T150" s="43">
        <f>VLOOKUP(Table3[[#This Row],[Patrol frequency]],'TPI. Pa.'!$B$3:$C$52,2,0)</f>
        <v>1</v>
      </c>
      <c r="U150" s="43">
        <f>VLOOKUP(Table3[[#This Row],[Proxutil]],'TPI. Pa.'!$B$3:$C$52,2,0)</f>
        <v>5</v>
      </c>
      <c r="V150" s="43">
        <f>VLOOKUP(Table3[[#This Row],[ROW]],'TPI. Pa.'!$B$3:$C$52,2,0)</f>
        <v>10</v>
      </c>
      <c r="W150" s="43">
        <f>VLOOKUP(Table3[[#This Row],[ROW condition]],'TPI. Pa.'!$B$3:$C$52,2,0)</f>
        <v>3</v>
      </c>
      <c r="X15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1" spans="1:24" hidden="1">
      <c r="A151" s="84">
        <v>2</v>
      </c>
      <c r="B151" s="81">
        <v>661110201</v>
      </c>
      <c r="C151" s="82" t="s">
        <v>274</v>
      </c>
      <c r="D151" s="19"/>
      <c r="E151" s="19"/>
      <c r="F151" s="19"/>
      <c r="G151" s="19" t="s">
        <v>179</v>
      </c>
      <c r="H151" s="19" t="s">
        <v>185</v>
      </c>
      <c r="I151" s="19" t="s">
        <v>168</v>
      </c>
      <c r="J151" s="19" t="s">
        <v>183</v>
      </c>
      <c r="K151" s="19" t="s">
        <v>26</v>
      </c>
      <c r="L151" s="19" t="s">
        <v>217</v>
      </c>
      <c r="M151" s="19" t="s">
        <v>222</v>
      </c>
      <c r="N151" s="19" t="s">
        <v>228</v>
      </c>
      <c r="O151" s="38"/>
      <c r="P151" s="43">
        <f>VLOOKUP(Table3[[#This Row],[Depth of cover]],'TPI. Pa.'!$B$3:$C$52,2,0)</f>
        <v>2</v>
      </c>
      <c r="Q151" s="43">
        <f>VLOOKUP(Table3[[#This Row],[Additional protection]],'TPI. Pa.'!$B$3:$C$52,2,0)</f>
        <v>5</v>
      </c>
      <c r="R151" s="43">
        <f>VLOOKUP(Table3[[#This Row],[Failure due to TPI]],'TPI. Pa.'!$B$3:$C$52,2,0)</f>
        <v>4</v>
      </c>
      <c r="S151" s="43">
        <f>VLOOKUP(Table3[[#This Row],[Activity Level]],'TPI. Pa.'!$B$3:$C$52,2,0)</f>
        <v>10</v>
      </c>
      <c r="T151" s="43">
        <f>VLOOKUP(Table3[[#This Row],[Patrol frequency]],'TPI. Pa.'!$B$3:$C$52,2,0)</f>
        <v>1</v>
      </c>
      <c r="U151" s="43">
        <f>VLOOKUP(Table3[[#This Row],[Proxutil]],'TPI. Pa.'!$B$3:$C$52,2,0)</f>
        <v>5</v>
      </c>
      <c r="V151" s="43">
        <f>VLOOKUP(Table3[[#This Row],[ROW]],'TPI. Pa.'!$B$3:$C$52,2,0)</f>
        <v>10</v>
      </c>
      <c r="W151" s="43">
        <f>VLOOKUP(Table3[[#This Row],[ROW condition]],'TPI. Pa.'!$B$3:$C$52,2,0)</f>
        <v>3</v>
      </c>
      <c r="X15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2" spans="1:24" hidden="1">
      <c r="A152" s="84">
        <v>2</v>
      </c>
      <c r="B152" s="81">
        <v>671200001</v>
      </c>
      <c r="C152" s="82" t="s">
        <v>275</v>
      </c>
      <c r="D152" s="19"/>
      <c r="E152" s="19"/>
      <c r="F152" s="19"/>
      <c r="G152" s="19" t="s">
        <v>179</v>
      </c>
      <c r="H152" s="19" t="s">
        <v>185</v>
      </c>
      <c r="I152" s="19" t="s">
        <v>168</v>
      </c>
      <c r="J152" s="167" t="s">
        <v>191</v>
      </c>
      <c r="K152" s="19" t="s">
        <v>26</v>
      </c>
      <c r="L152" s="19" t="s">
        <v>217</v>
      </c>
      <c r="M152" s="19" t="s">
        <v>222</v>
      </c>
      <c r="N152" s="19" t="s">
        <v>228</v>
      </c>
      <c r="O152" s="38"/>
      <c r="P152" s="43">
        <f>VLOOKUP(Table3[[#This Row],[Depth of cover]],'TPI. Pa.'!$B$3:$C$52,2,0)</f>
        <v>2</v>
      </c>
      <c r="Q152" s="43">
        <f>VLOOKUP(Table3[[#This Row],[Additional protection]],'TPI. Pa.'!$B$3:$C$52,2,0)</f>
        <v>5</v>
      </c>
      <c r="R152" s="43">
        <f>VLOOKUP(Table3[[#This Row],[Failure due to TPI]],'TPI. Pa.'!$B$3:$C$52,2,0)</f>
        <v>4</v>
      </c>
      <c r="S152" s="43">
        <f>VLOOKUP(Table3[[#This Row],[Activity Level]],'TPI. Pa.'!$B$3:$C$52,2,0)</f>
        <v>3</v>
      </c>
      <c r="T152" s="43">
        <f>VLOOKUP(Table3[[#This Row],[Patrol frequency]],'TPI. Pa.'!$B$3:$C$52,2,0)</f>
        <v>1</v>
      </c>
      <c r="U152" s="43">
        <f>VLOOKUP(Table3[[#This Row],[Proxutil]],'TPI. Pa.'!$B$3:$C$52,2,0)</f>
        <v>5</v>
      </c>
      <c r="V152" s="43">
        <f>VLOOKUP(Table3[[#This Row],[ROW]],'TPI. Pa.'!$B$3:$C$52,2,0)</f>
        <v>10</v>
      </c>
      <c r="W152" s="43">
        <f>VLOOKUP(Table3[[#This Row],[ROW condition]],'TPI. Pa.'!$B$3:$C$52,2,0)</f>
        <v>3</v>
      </c>
      <c r="X15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53" spans="1:24" hidden="1">
      <c r="A153" s="80">
        <v>2</v>
      </c>
      <c r="B153" s="81">
        <v>671210001</v>
      </c>
      <c r="C153" s="82" t="s">
        <v>688</v>
      </c>
      <c r="D153" s="19"/>
      <c r="E153" s="19"/>
      <c r="F153" s="19"/>
      <c r="G153" s="19" t="s">
        <v>179</v>
      </c>
      <c r="H153" s="19" t="s">
        <v>185</v>
      </c>
      <c r="I153" s="19" t="s">
        <v>168</v>
      </c>
      <c r="J153" s="19" t="s">
        <v>183</v>
      </c>
      <c r="K153" s="19" t="s">
        <v>26</v>
      </c>
      <c r="L153" s="19" t="s">
        <v>217</v>
      </c>
      <c r="M153" s="19" t="s">
        <v>222</v>
      </c>
      <c r="N153" s="19" t="s">
        <v>228</v>
      </c>
      <c r="O153" s="38"/>
      <c r="P153" s="43">
        <f>VLOOKUP(Table3[[#This Row],[Depth of cover]],'TPI. Pa.'!$B$3:$C$52,2,0)</f>
        <v>2</v>
      </c>
      <c r="Q153" s="43">
        <f>VLOOKUP(Table3[[#This Row],[Additional protection]],'TPI. Pa.'!$B$3:$C$52,2,0)</f>
        <v>5</v>
      </c>
      <c r="R153" s="43">
        <f>VLOOKUP(Table3[[#This Row],[Failure due to TPI]],'TPI. Pa.'!$B$3:$C$52,2,0)</f>
        <v>4</v>
      </c>
      <c r="S153" s="43">
        <f>VLOOKUP(Table3[[#This Row],[Activity Level]],'TPI. Pa.'!$B$3:$C$52,2,0)</f>
        <v>10</v>
      </c>
      <c r="T153" s="43">
        <f>VLOOKUP(Table3[[#This Row],[Patrol frequency]],'TPI. Pa.'!$B$3:$C$52,2,0)</f>
        <v>1</v>
      </c>
      <c r="U153" s="43">
        <f>VLOOKUP(Table3[[#This Row],[Proxutil]],'TPI. Pa.'!$B$3:$C$52,2,0)</f>
        <v>5</v>
      </c>
      <c r="V153" s="43">
        <f>VLOOKUP(Table3[[#This Row],[ROW]],'TPI. Pa.'!$B$3:$C$52,2,0)</f>
        <v>10</v>
      </c>
      <c r="W153" s="43">
        <f>VLOOKUP(Table3[[#This Row],[ROW condition]],'TPI. Pa.'!$B$3:$C$52,2,0)</f>
        <v>3</v>
      </c>
      <c r="X15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4" spans="1:24" hidden="1">
      <c r="A154" s="80">
        <v>2</v>
      </c>
      <c r="B154" s="81">
        <v>671210002</v>
      </c>
      <c r="C154" s="82" t="s">
        <v>690</v>
      </c>
      <c r="D154" s="19"/>
      <c r="E154" s="19"/>
      <c r="F154" s="19"/>
      <c r="G154" s="19" t="s">
        <v>179</v>
      </c>
      <c r="H154" s="19" t="s">
        <v>185</v>
      </c>
      <c r="I154" s="19" t="s">
        <v>168</v>
      </c>
      <c r="J154" s="19" t="s">
        <v>183</v>
      </c>
      <c r="K154" s="19" t="s">
        <v>26</v>
      </c>
      <c r="L154" s="19" t="s">
        <v>217</v>
      </c>
      <c r="M154" s="19" t="s">
        <v>222</v>
      </c>
      <c r="N154" s="19" t="s">
        <v>228</v>
      </c>
      <c r="O154" s="38"/>
      <c r="P154" s="43">
        <f>VLOOKUP(Table3[[#This Row],[Depth of cover]],'TPI. Pa.'!$B$3:$C$52,2,0)</f>
        <v>2</v>
      </c>
      <c r="Q154" s="43">
        <f>VLOOKUP(Table3[[#This Row],[Additional protection]],'TPI. Pa.'!$B$3:$C$52,2,0)</f>
        <v>5</v>
      </c>
      <c r="R154" s="43">
        <f>VLOOKUP(Table3[[#This Row],[Failure due to TPI]],'TPI. Pa.'!$B$3:$C$52,2,0)</f>
        <v>4</v>
      </c>
      <c r="S154" s="43">
        <f>VLOOKUP(Table3[[#This Row],[Activity Level]],'TPI. Pa.'!$B$3:$C$52,2,0)</f>
        <v>10</v>
      </c>
      <c r="T154" s="43">
        <f>VLOOKUP(Table3[[#This Row],[Patrol frequency]],'TPI. Pa.'!$B$3:$C$52,2,0)</f>
        <v>1</v>
      </c>
      <c r="U154" s="43">
        <f>VLOOKUP(Table3[[#This Row],[Proxutil]],'TPI. Pa.'!$B$3:$C$52,2,0)</f>
        <v>5</v>
      </c>
      <c r="V154" s="43">
        <f>VLOOKUP(Table3[[#This Row],[ROW]],'TPI. Pa.'!$B$3:$C$52,2,0)</f>
        <v>10</v>
      </c>
      <c r="W154" s="43">
        <f>VLOOKUP(Table3[[#This Row],[ROW condition]],'TPI. Pa.'!$B$3:$C$52,2,0)</f>
        <v>3</v>
      </c>
      <c r="X15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5" spans="1:24" hidden="1">
      <c r="A155" s="84">
        <v>2</v>
      </c>
      <c r="B155" s="81">
        <v>671210101</v>
      </c>
      <c r="C155" s="82" t="s">
        <v>276</v>
      </c>
      <c r="D155" s="19"/>
      <c r="E155" s="19"/>
      <c r="F155" s="19"/>
      <c r="G155" s="19" t="s">
        <v>179</v>
      </c>
      <c r="H155" s="19" t="s">
        <v>185</v>
      </c>
      <c r="I155" s="19" t="s">
        <v>168</v>
      </c>
      <c r="J155" s="19" t="s">
        <v>183</v>
      </c>
      <c r="K155" s="19" t="s">
        <v>26</v>
      </c>
      <c r="L155" s="19" t="s">
        <v>217</v>
      </c>
      <c r="M155" s="19" t="s">
        <v>222</v>
      </c>
      <c r="N155" s="19" t="s">
        <v>228</v>
      </c>
      <c r="O155" s="38"/>
      <c r="P155" s="43">
        <f>VLOOKUP(Table3[[#This Row],[Depth of cover]],'TPI. Pa.'!$B$3:$C$52,2,0)</f>
        <v>2</v>
      </c>
      <c r="Q155" s="43">
        <f>VLOOKUP(Table3[[#This Row],[Additional protection]],'TPI. Pa.'!$B$3:$C$52,2,0)</f>
        <v>5</v>
      </c>
      <c r="R155" s="43">
        <f>VLOOKUP(Table3[[#This Row],[Failure due to TPI]],'TPI. Pa.'!$B$3:$C$52,2,0)</f>
        <v>4</v>
      </c>
      <c r="S155" s="43">
        <f>VLOOKUP(Table3[[#This Row],[Activity Level]],'TPI. Pa.'!$B$3:$C$52,2,0)</f>
        <v>10</v>
      </c>
      <c r="T155" s="43">
        <f>VLOOKUP(Table3[[#This Row],[Patrol frequency]],'TPI. Pa.'!$B$3:$C$52,2,0)</f>
        <v>1</v>
      </c>
      <c r="U155" s="43">
        <f>VLOOKUP(Table3[[#This Row],[Proxutil]],'TPI. Pa.'!$B$3:$C$52,2,0)</f>
        <v>5</v>
      </c>
      <c r="V155" s="43">
        <f>VLOOKUP(Table3[[#This Row],[ROW]],'TPI. Pa.'!$B$3:$C$52,2,0)</f>
        <v>10</v>
      </c>
      <c r="W155" s="43">
        <f>VLOOKUP(Table3[[#This Row],[ROW condition]],'TPI. Pa.'!$B$3:$C$52,2,0)</f>
        <v>3</v>
      </c>
      <c r="X15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6" spans="1:24" hidden="1">
      <c r="A156" s="80">
        <v>2</v>
      </c>
      <c r="B156" s="81">
        <v>671210102</v>
      </c>
      <c r="C156" s="82" t="s">
        <v>692</v>
      </c>
      <c r="D156" s="19"/>
      <c r="E156" s="19"/>
      <c r="F156" s="19"/>
      <c r="G156" s="19" t="s">
        <v>179</v>
      </c>
      <c r="H156" s="19" t="s">
        <v>185</v>
      </c>
      <c r="I156" s="19" t="s">
        <v>168</v>
      </c>
      <c r="J156" s="19" t="s">
        <v>183</v>
      </c>
      <c r="K156" s="19" t="s">
        <v>26</v>
      </c>
      <c r="L156" s="19" t="s">
        <v>217</v>
      </c>
      <c r="M156" s="19" t="s">
        <v>222</v>
      </c>
      <c r="N156" s="19" t="s">
        <v>228</v>
      </c>
      <c r="O156" s="38"/>
      <c r="P156" s="43">
        <f>VLOOKUP(Table3[[#This Row],[Depth of cover]],'TPI. Pa.'!$B$3:$C$52,2,0)</f>
        <v>2</v>
      </c>
      <c r="Q156" s="43">
        <f>VLOOKUP(Table3[[#This Row],[Additional protection]],'TPI. Pa.'!$B$3:$C$52,2,0)</f>
        <v>5</v>
      </c>
      <c r="R156" s="43">
        <f>VLOOKUP(Table3[[#This Row],[Failure due to TPI]],'TPI. Pa.'!$B$3:$C$52,2,0)</f>
        <v>4</v>
      </c>
      <c r="S156" s="43">
        <f>VLOOKUP(Table3[[#This Row],[Activity Level]],'TPI. Pa.'!$B$3:$C$52,2,0)</f>
        <v>10</v>
      </c>
      <c r="T156" s="43">
        <f>VLOOKUP(Table3[[#This Row],[Patrol frequency]],'TPI. Pa.'!$B$3:$C$52,2,0)</f>
        <v>1</v>
      </c>
      <c r="U156" s="43">
        <f>VLOOKUP(Table3[[#This Row],[Proxutil]],'TPI. Pa.'!$B$3:$C$52,2,0)</f>
        <v>5</v>
      </c>
      <c r="V156" s="43">
        <f>VLOOKUP(Table3[[#This Row],[ROW]],'TPI. Pa.'!$B$3:$C$52,2,0)</f>
        <v>10</v>
      </c>
      <c r="W156" s="43">
        <f>VLOOKUP(Table3[[#This Row],[ROW condition]],'TPI. Pa.'!$B$3:$C$52,2,0)</f>
        <v>3</v>
      </c>
      <c r="X15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7" spans="1:24" hidden="1">
      <c r="A157" s="84">
        <v>2</v>
      </c>
      <c r="B157" s="81">
        <v>671500001</v>
      </c>
      <c r="C157" s="82" t="s">
        <v>725</v>
      </c>
      <c r="D157" s="19"/>
      <c r="E157" s="19"/>
      <c r="F157" s="19"/>
      <c r="G157" s="19" t="s">
        <v>179</v>
      </c>
      <c r="H157" s="19" t="s">
        <v>185</v>
      </c>
      <c r="I157" s="19" t="s">
        <v>168</v>
      </c>
      <c r="J157" s="19" t="s">
        <v>183</v>
      </c>
      <c r="K157" s="19" t="s">
        <v>26</v>
      </c>
      <c r="L157" s="19" t="s">
        <v>217</v>
      </c>
      <c r="M157" s="19" t="s">
        <v>222</v>
      </c>
      <c r="N157" s="19" t="s">
        <v>228</v>
      </c>
      <c r="O157" s="38"/>
      <c r="P157" s="43">
        <f>VLOOKUP(Table3[[#This Row],[Depth of cover]],'TPI. Pa.'!$B$3:$C$52,2,0)</f>
        <v>2</v>
      </c>
      <c r="Q157" s="43">
        <f>VLOOKUP(Table3[[#This Row],[Additional protection]],'TPI. Pa.'!$B$3:$C$52,2,0)</f>
        <v>5</v>
      </c>
      <c r="R157" s="43">
        <f>VLOOKUP(Table3[[#This Row],[Failure due to TPI]],'TPI. Pa.'!$B$3:$C$52,2,0)</f>
        <v>4</v>
      </c>
      <c r="S157" s="43">
        <f>VLOOKUP(Table3[[#This Row],[Activity Level]],'TPI. Pa.'!$B$3:$C$52,2,0)</f>
        <v>10</v>
      </c>
      <c r="T157" s="43">
        <f>VLOOKUP(Table3[[#This Row],[Patrol frequency]],'TPI. Pa.'!$B$3:$C$52,2,0)</f>
        <v>1</v>
      </c>
      <c r="U157" s="43">
        <f>VLOOKUP(Table3[[#This Row],[Proxutil]],'TPI. Pa.'!$B$3:$C$52,2,0)</f>
        <v>5</v>
      </c>
      <c r="V157" s="43">
        <f>VLOOKUP(Table3[[#This Row],[ROW]],'TPI. Pa.'!$B$3:$C$52,2,0)</f>
        <v>10</v>
      </c>
      <c r="W157" s="43">
        <f>VLOOKUP(Table3[[#This Row],[ROW condition]],'TPI. Pa.'!$B$3:$C$52,2,0)</f>
        <v>3</v>
      </c>
      <c r="X15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8" spans="1:24" hidden="1">
      <c r="A158" s="84">
        <v>2</v>
      </c>
      <c r="B158" s="81">
        <v>673110001</v>
      </c>
      <c r="C158" s="82" t="s">
        <v>277</v>
      </c>
      <c r="D158" s="19"/>
      <c r="E158" s="19"/>
      <c r="F158" s="19"/>
      <c r="G158" s="19" t="s">
        <v>179</v>
      </c>
      <c r="H158" s="19" t="s">
        <v>185</v>
      </c>
      <c r="I158" s="19" t="s">
        <v>168</v>
      </c>
      <c r="J158" s="19" t="s">
        <v>183</v>
      </c>
      <c r="K158" s="19" t="s">
        <v>26</v>
      </c>
      <c r="L158" s="19" t="s">
        <v>217</v>
      </c>
      <c r="M158" s="19" t="s">
        <v>222</v>
      </c>
      <c r="N158" s="19" t="s">
        <v>228</v>
      </c>
      <c r="O158" s="38"/>
      <c r="P158" s="43">
        <f>VLOOKUP(Table3[[#This Row],[Depth of cover]],'TPI. Pa.'!$B$3:$C$52,2,0)</f>
        <v>2</v>
      </c>
      <c r="Q158" s="43">
        <f>VLOOKUP(Table3[[#This Row],[Additional protection]],'TPI. Pa.'!$B$3:$C$52,2,0)</f>
        <v>5</v>
      </c>
      <c r="R158" s="43">
        <f>VLOOKUP(Table3[[#This Row],[Failure due to TPI]],'TPI. Pa.'!$B$3:$C$52,2,0)</f>
        <v>4</v>
      </c>
      <c r="S158" s="43">
        <f>VLOOKUP(Table3[[#This Row],[Activity Level]],'TPI. Pa.'!$B$3:$C$52,2,0)</f>
        <v>10</v>
      </c>
      <c r="T158" s="43">
        <f>VLOOKUP(Table3[[#This Row],[Patrol frequency]],'TPI. Pa.'!$B$3:$C$52,2,0)</f>
        <v>1</v>
      </c>
      <c r="U158" s="43">
        <f>VLOOKUP(Table3[[#This Row],[Proxutil]],'TPI. Pa.'!$B$3:$C$52,2,0)</f>
        <v>5</v>
      </c>
      <c r="V158" s="43">
        <f>VLOOKUP(Table3[[#This Row],[ROW]],'TPI. Pa.'!$B$3:$C$52,2,0)</f>
        <v>10</v>
      </c>
      <c r="W158" s="43">
        <f>VLOOKUP(Table3[[#This Row],[ROW condition]],'TPI. Pa.'!$B$3:$C$52,2,0)</f>
        <v>3</v>
      </c>
      <c r="X15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59" spans="1:24" hidden="1">
      <c r="A159" s="84">
        <v>2</v>
      </c>
      <c r="B159" s="81">
        <v>673110002</v>
      </c>
      <c r="C159" s="82" t="s">
        <v>278</v>
      </c>
      <c r="D159" s="19"/>
      <c r="E159" s="19"/>
      <c r="F159" s="19"/>
      <c r="G159" s="19" t="s">
        <v>179</v>
      </c>
      <c r="H159" s="19" t="s">
        <v>185</v>
      </c>
      <c r="I159" s="19" t="s">
        <v>168</v>
      </c>
      <c r="J159" s="19" t="s">
        <v>183</v>
      </c>
      <c r="K159" s="19" t="s">
        <v>26</v>
      </c>
      <c r="L159" s="19" t="s">
        <v>217</v>
      </c>
      <c r="M159" s="19" t="s">
        <v>222</v>
      </c>
      <c r="N159" s="19" t="s">
        <v>228</v>
      </c>
      <c r="O159" s="38"/>
      <c r="P159" s="43">
        <f>VLOOKUP(Table3[[#This Row],[Depth of cover]],'TPI. Pa.'!$B$3:$C$52,2,0)</f>
        <v>2</v>
      </c>
      <c r="Q159" s="43">
        <f>VLOOKUP(Table3[[#This Row],[Additional protection]],'TPI. Pa.'!$B$3:$C$52,2,0)</f>
        <v>5</v>
      </c>
      <c r="R159" s="43">
        <f>VLOOKUP(Table3[[#This Row],[Failure due to TPI]],'TPI. Pa.'!$B$3:$C$52,2,0)</f>
        <v>4</v>
      </c>
      <c r="S159" s="43">
        <f>VLOOKUP(Table3[[#This Row],[Activity Level]],'TPI. Pa.'!$B$3:$C$52,2,0)</f>
        <v>10</v>
      </c>
      <c r="T159" s="43">
        <f>VLOOKUP(Table3[[#This Row],[Patrol frequency]],'TPI. Pa.'!$B$3:$C$52,2,0)</f>
        <v>1</v>
      </c>
      <c r="U159" s="43">
        <f>VLOOKUP(Table3[[#This Row],[Proxutil]],'TPI. Pa.'!$B$3:$C$52,2,0)</f>
        <v>5</v>
      </c>
      <c r="V159" s="43">
        <f>VLOOKUP(Table3[[#This Row],[ROW]],'TPI. Pa.'!$B$3:$C$52,2,0)</f>
        <v>10</v>
      </c>
      <c r="W159" s="43">
        <f>VLOOKUP(Table3[[#This Row],[ROW condition]],'TPI. Pa.'!$B$3:$C$52,2,0)</f>
        <v>3</v>
      </c>
      <c r="X15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0" spans="1:24" hidden="1">
      <c r="A160" s="84">
        <v>2</v>
      </c>
      <c r="B160" s="81">
        <v>673110003</v>
      </c>
      <c r="C160" s="82" t="s">
        <v>279</v>
      </c>
      <c r="D160" s="19"/>
      <c r="E160" s="19"/>
      <c r="F160" s="19"/>
      <c r="G160" s="19" t="s">
        <v>179</v>
      </c>
      <c r="H160" s="19" t="s">
        <v>185</v>
      </c>
      <c r="I160" s="19" t="s">
        <v>168</v>
      </c>
      <c r="J160" s="19" t="s">
        <v>183</v>
      </c>
      <c r="K160" s="19" t="s">
        <v>26</v>
      </c>
      <c r="L160" s="19" t="s">
        <v>217</v>
      </c>
      <c r="M160" s="19" t="s">
        <v>222</v>
      </c>
      <c r="N160" s="19" t="s">
        <v>228</v>
      </c>
      <c r="O160" s="38"/>
      <c r="P160" s="43">
        <f>VLOOKUP(Table3[[#This Row],[Depth of cover]],'TPI. Pa.'!$B$3:$C$52,2,0)</f>
        <v>2</v>
      </c>
      <c r="Q160" s="43">
        <f>VLOOKUP(Table3[[#This Row],[Additional protection]],'TPI. Pa.'!$B$3:$C$52,2,0)</f>
        <v>5</v>
      </c>
      <c r="R160" s="43">
        <f>VLOOKUP(Table3[[#This Row],[Failure due to TPI]],'TPI. Pa.'!$B$3:$C$52,2,0)</f>
        <v>4</v>
      </c>
      <c r="S160" s="43">
        <f>VLOOKUP(Table3[[#This Row],[Activity Level]],'TPI. Pa.'!$B$3:$C$52,2,0)</f>
        <v>10</v>
      </c>
      <c r="T160" s="43">
        <f>VLOOKUP(Table3[[#This Row],[Patrol frequency]],'TPI. Pa.'!$B$3:$C$52,2,0)</f>
        <v>1</v>
      </c>
      <c r="U160" s="43">
        <f>VLOOKUP(Table3[[#This Row],[Proxutil]],'TPI. Pa.'!$B$3:$C$52,2,0)</f>
        <v>5</v>
      </c>
      <c r="V160" s="43">
        <f>VLOOKUP(Table3[[#This Row],[ROW]],'TPI. Pa.'!$B$3:$C$52,2,0)</f>
        <v>10</v>
      </c>
      <c r="W160" s="43">
        <f>VLOOKUP(Table3[[#This Row],[ROW condition]],'TPI. Pa.'!$B$3:$C$52,2,0)</f>
        <v>3</v>
      </c>
      <c r="X16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1" spans="1:24" hidden="1">
      <c r="A161" s="84">
        <v>2</v>
      </c>
      <c r="B161" s="81">
        <v>673110004</v>
      </c>
      <c r="C161" s="82" t="s">
        <v>280</v>
      </c>
      <c r="D161" s="19"/>
      <c r="E161" s="19"/>
      <c r="F161" s="19"/>
      <c r="G161" s="19" t="s">
        <v>179</v>
      </c>
      <c r="H161" s="19" t="s">
        <v>185</v>
      </c>
      <c r="I161" s="19" t="s">
        <v>168</v>
      </c>
      <c r="J161" s="167" t="s">
        <v>191</v>
      </c>
      <c r="K161" s="19" t="s">
        <v>26</v>
      </c>
      <c r="L161" s="19" t="s">
        <v>217</v>
      </c>
      <c r="M161" s="19" t="s">
        <v>222</v>
      </c>
      <c r="N161" s="19" t="s">
        <v>228</v>
      </c>
      <c r="O161" s="38"/>
      <c r="P161" s="43">
        <f>VLOOKUP(Table3[[#This Row],[Depth of cover]],'TPI. Pa.'!$B$3:$C$52,2,0)</f>
        <v>2</v>
      </c>
      <c r="Q161" s="43">
        <f>VLOOKUP(Table3[[#This Row],[Additional protection]],'TPI. Pa.'!$B$3:$C$52,2,0)</f>
        <v>5</v>
      </c>
      <c r="R161" s="43">
        <f>VLOOKUP(Table3[[#This Row],[Failure due to TPI]],'TPI. Pa.'!$B$3:$C$52,2,0)</f>
        <v>4</v>
      </c>
      <c r="S161" s="43">
        <f>VLOOKUP(Table3[[#This Row],[Activity Level]],'TPI. Pa.'!$B$3:$C$52,2,0)</f>
        <v>3</v>
      </c>
      <c r="T161" s="43">
        <f>VLOOKUP(Table3[[#This Row],[Patrol frequency]],'TPI. Pa.'!$B$3:$C$52,2,0)</f>
        <v>1</v>
      </c>
      <c r="U161" s="43">
        <f>VLOOKUP(Table3[[#This Row],[Proxutil]],'TPI. Pa.'!$B$3:$C$52,2,0)</f>
        <v>5</v>
      </c>
      <c r="V161" s="43">
        <f>VLOOKUP(Table3[[#This Row],[ROW]],'TPI. Pa.'!$B$3:$C$52,2,0)</f>
        <v>10</v>
      </c>
      <c r="W161" s="43">
        <f>VLOOKUP(Table3[[#This Row],[ROW condition]],'TPI. Pa.'!$B$3:$C$52,2,0)</f>
        <v>3</v>
      </c>
      <c r="X16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62" spans="1:24" hidden="1">
      <c r="A162" s="84">
        <v>2</v>
      </c>
      <c r="B162" s="81">
        <v>673110005</v>
      </c>
      <c r="C162" s="82" t="s">
        <v>281</v>
      </c>
      <c r="D162" s="19"/>
      <c r="E162" s="19"/>
      <c r="F162" s="19"/>
      <c r="G162" s="19" t="s">
        <v>179</v>
      </c>
      <c r="H162" s="19" t="s">
        <v>185</v>
      </c>
      <c r="I162" s="19" t="s">
        <v>168</v>
      </c>
      <c r="J162" s="19" t="s">
        <v>183</v>
      </c>
      <c r="K162" s="19" t="s">
        <v>26</v>
      </c>
      <c r="L162" s="19" t="s">
        <v>217</v>
      </c>
      <c r="M162" s="19" t="s">
        <v>222</v>
      </c>
      <c r="N162" s="19" t="s">
        <v>228</v>
      </c>
      <c r="O162" s="38"/>
      <c r="P162" s="43">
        <f>VLOOKUP(Table3[[#This Row],[Depth of cover]],'TPI. Pa.'!$B$3:$C$52,2,0)</f>
        <v>2</v>
      </c>
      <c r="Q162" s="43">
        <f>VLOOKUP(Table3[[#This Row],[Additional protection]],'TPI. Pa.'!$B$3:$C$52,2,0)</f>
        <v>5</v>
      </c>
      <c r="R162" s="43">
        <f>VLOOKUP(Table3[[#This Row],[Failure due to TPI]],'TPI. Pa.'!$B$3:$C$52,2,0)</f>
        <v>4</v>
      </c>
      <c r="S162" s="43">
        <f>VLOOKUP(Table3[[#This Row],[Activity Level]],'TPI. Pa.'!$B$3:$C$52,2,0)</f>
        <v>10</v>
      </c>
      <c r="T162" s="43">
        <f>VLOOKUP(Table3[[#This Row],[Patrol frequency]],'TPI. Pa.'!$B$3:$C$52,2,0)</f>
        <v>1</v>
      </c>
      <c r="U162" s="43">
        <f>VLOOKUP(Table3[[#This Row],[Proxutil]],'TPI. Pa.'!$B$3:$C$52,2,0)</f>
        <v>5</v>
      </c>
      <c r="V162" s="43">
        <f>VLOOKUP(Table3[[#This Row],[ROW]],'TPI. Pa.'!$B$3:$C$52,2,0)</f>
        <v>10</v>
      </c>
      <c r="W162" s="43">
        <f>VLOOKUP(Table3[[#This Row],[ROW condition]],'TPI. Pa.'!$B$3:$C$52,2,0)</f>
        <v>3</v>
      </c>
      <c r="X16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3" spans="1:24" hidden="1">
      <c r="A163" s="84">
        <v>2</v>
      </c>
      <c r="B163" s="81">
        <v>673110103</v>
      </c>
      <c r="C163" s="82" t="s">
        <v>282</v>
      </c>
      <c r="D163" s="19"/>
      <c r="E163" s="19"/>
      <c r="F163" s="19"/>
      <c r="G163" s="19" t="s">
        <v>179</v>
      </c>
      <c r="H163" s="19" t="s">
        <v>185</v>
      </c>
      <c r="I163" s="19" t="s">
        <v>168</v>
      </c>
      <c r="J163" s="19" t="s">
        <v>183</v>
      </c>
      <c r="K163" s="19" t="s">
        <v>26</v>
      </c>
      <c r="L163" s="19" t="s">
        <v>217</v>
      </c>
      <c r="M163" s="19" t="s">
        <v>222</v>
      </c>
      <c r="N163" s="19" t="s">
        <v>228</v>
      </c>
      <c r="O163" s="38"/>
      <c r="P163" s="43">
        <f>VLOOKUP(Table3[[#This Row],[Depth of cover]],'TPI. Pa.'!$B$3:$C$52,2,0)</f>
        <v>2</v>
      </c>
      <c r="Q163" s="43">
        <f>VLOOKUP(Table3[[#This Row],[Additional protection]],'TPI. Pa.'!$B$3:$C$52,2,0)</f>
        <v>5</v>
      </c>
      <c r="R163" s="43">
        <f>VLOOKUP(Table3[[#This Row],[Failure due to TPI]],'TPI. Pa.'!$B$3:$C$52,2,0)</f>
        <v>4</v>
      </c>
      <c r="S163" s="43">
        <f>VLOOKUP(Table3[[#This Row],[Activity Level]],'TPI. Pa.'!$B$3:$C$52,2,0)</f>
        <v>10</v>
      </c>
      <c r="T163" s="43">
        <f>VLOOKUP(Table3[[#This Row],[Patrol frequency]],'TPI. Pa.'!$B$3:$C$52,2,0)</f>
        <v>1</v>
      </c>
      <c r="U163" s="43">
        <f>VLOOKUP(Table3[[#This Row],[Proxutil]],'TPI. Pa.'!$B$3:$C$52,2,0)</f>
        <v>5</v>
      </c>
      <c r="V163" s="43">
        <f>VLOOKUP(Table3[[#This Row],[ROW]],'TPI. Pa.'!$B$3:$C$52,2,0)</f>
        <v>10</v>
      </c>
      <c r="W163" s="43">
        <f>VLOOKUP(Table3[[#This Row],[ROW condition]],'TPI. Pa.'!$B$3:$C$52,2,0)</f>
        <v>3</v>
      </c>
      <c r="X16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4" spans="1:24" hidden="1">
      <c r="A164" s="84">
        <v>2</v>
      </c>
      <c r="B164" s="81">
        <v>673200001</v>
      </c>
      <c r="C164" s="82" t="s">
        <v>283</v>
      </c>
      <c r="D164" s="19"/>
      <c r="E164" s="19"/>
      <c r="F164" s="19"/>
      <c r="G164" s="19" t="s">
        <v>179</v>
      </c>
      <c r="H164" s="19" t="s">
        <v>185</v>
      </c>
      <c r="I164" s="19" t="s">
        <v>168</v>
      </c>
      <c r="J164" s="19" t="s">
        <v>183</v>
      </c>
      <c r="K164" s="19" t="s">
        <v>26</v>
      </c>
      <c r="L164" s="19" t="s">
        <v>217</v>
      </c>
      <c r="M164" s="19" t="s">
        <v>222</v>
      </c>
      <c r="N164" s="19" t="s">
        <v>228</v>
      </c>
      <c r="O164" s="38"/>
      <c r="P164" s="43">
        <f>VLOOKUP(Table3[[#This Row],[Depth of cover]],'TPI. Pa.'!$B$3:$C$52,2,0)</f>
        <v>2</v>
      </c>
      <c r="Q164" s="43">
        <f>VLOOKUP(Table3[[#This Row],[Additional protection]],'TPI. Pa.'!$B$3:$C$52,2,0)</f>
        <v>5</v>
      </c>
      <c r="R164" s="43">
        <f>VLOOKUP(Table3[[#This Row],[Failure due to TPI]],'TPI. Pa.'!$B$3:$C$52,2,0)</f>
        <v>4</v>
      </c>
      <c r="S164" s="43">
        <f>VLOOKUP(Table3[[#This Row],[Activity Level]],'TPI. Pa.'!$B$3:$C$52,2,0)</f>
        <v>10</v>
      </c>
      <c r="T164" s="43">
        <f>VLOOKUP(Table3[[#This Row],[Patrol frequency]],'TPI. Pa.'!$B$3:$C$52,2,0)</f>
        <v>1</v>
      </c>
      <c r="U164" s="43">
        <f>VLOOKUP(Table3[[#This Row],[Proxutil]],'TPI. Pa.'!$B$3:$C$52,2,0)</f>
        <v>5</v>
      </c>
      <c r="V164" s="43">
        <f>VLOOKUP(Table3[[#This Row],[ROW]],'TPI. Pa.'!$B$3:$C$52,2,0)</f>
        <v>10</v>
      </c>
      <c r="W164" s="43">
        <f>VLOOKUP(Table3[[#This Row],[ROW condition]],'TPI. Pa.'!$B$3:$C$52,2,0)</f>
        <v>3</v>
      </c>
      <c r="X16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5" spans="1:24" hidden="1">
      <c r="A165" s="84">
        <v>2</v>
      </c>
      <c r="B165" s="81">
        <v>673200002</v>
      </c>
      <c r="C165" s="82" t="s">
        <v>284</v>
      </c>
      <c r="D165" s="19"/>
      <c r="E165" s="19"/>
      <c r="F165" s="19"/>
      <c r="G165" s="19" t="s">
        <v>179</v>
      </c>
      <c r="H165" s="19" t="s">
        <v>185</v>
      </c>
      <c r="I165" s="19" t="s">
        <v>168</v>
      </c>
      <c r="J165" s="19" t="s">
        <v>183</v>
      </c>
      <c r="K165" s="19" t="s">
        <v>26</v>
      </c>
      <c r="L165" s="19" t="s">
        <v>217</v>
      </c>
      <c r="M165" s="19" t="s">
        <v>222</v>
      </c>
      <c r="N165" s="19" t="s">
        <v>228</v>
      </c>
      <c r="O165" s="38"/>
      <c r="P165" s="43">
        <f>VLOOKUP(Table3[[#This Row],[Depth of cover]],'TPI. Pa.'!$B$3:$C$52,2,0)</f>
        <v>2</v>
      </c>
      <c r="Q165" s="43">
        <f>VLOOKUP(Table3[[#This Row],[Additional protection]],'TPI. Pa.'!$B$3:$C$52,2,0)</f>
        <v>5</v>
      </c>
      <c r="R165" s="43">
        <f>VLOOKUP(Table3[[#This Row],[Failure due to TPI]],'TPI. Pa.'!$B$3:$C$52,2,0)</f>
        <v>4</v>
      </c>
      <c r="S165" s="43">
        <f>VLOOKUP(Table3[[#This Row],[Activity Level]],'TPI. Pa.'!$B$3:$C$52,2,0)</f>
        <v>10</v>
      </c>
      <c r="T165" s="43">
        <f>VLOOKUP(Table3[[#This Row],[Patrol frequency]],'TPI. Pa.'!$B$3:$C$52,2,0)</f>
        <v>1</v>
      </c>
      <c r="U165" s="43">
        <f>VLOOKUP(Table3[[#This Row],[Proxutil]],'TPI. Pa.'!$B$3:$C$52,2,0)</f>
        <v>5</v>
      </c>
      <c r="V165" s="43">
        <f>VLOOKUP(Table3[[#This Row],[ROW]],'TPI. Pa.'!$B$3:$C$52,2,0)</f>
        <v>10</v>
      </c>
      <c r="W165" s="43">
        <f>VLOOKUP(Table3[[#This Row],[ROW condition]],'TPI. Pa.'!$B$3:$C$52,2,0)</f>
        <v>3</v>
      </c>
      <c r="X16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6" spans="1:24" hidden="1">
      <c r="A166" s="84">
        <v>2</v>
      </c>
      <c r="B166" s="81">
        <v>673500001</v>
      </c>
      <c r="C166" s="82" t="s">
        <v>285</v>
      </c>
      <c r="D166" s="19"/>
      <c r="E166" s="19"/>
      <c r="F166" s="19"/>
      <c r="G166" s="19" t="s">
        <v>179</v>
      </c>
      <c r="H166" s="19" t="s">
        <v>185</v>
      </c>
      <c r="I166" s="19" t="s">
        <v>168</v>
      </c>
      <c r="J166" s="19" t="s">
        <v>183</v>
      </c>
      <c r="K166" s="19" t="s">
        <v>26</v>
      </c>
      <c r="L166" s="19" t="s">
        <v>217</v>
      </c>
      <c r="M166" s="19" t="s">
        <v>222</v>
      </c>
      <c r="N166" s="19" t="s">
        <v>228</v>
      </c>
      <c r="O166" s="38"/>
      <c r="P166" s="43">
        <f>VLOOKUP(Table3[[#This Row],[Depth of cover]],'TPI. Pa.'!$B$3:$C$52,2,0)</f>
        <v>2</v>
      </c>
      <c r="Q166" s="43">
        <f>VLOOKUP(Table3[[#This Row],[Additional protection]],'TPI. Pa.'!$B$3:$C$52,2,0)</f>
        <v>5</v>
      </c>
      <c r="R166" s="43">
        <f>VLOOKUP(Table3[[#This Row],[Failure due to TPI]],'TPI. Pa.'!$B$3:$C$52,2,0)</f>
        <v>4</v>
      </c>
      <c r="S166" s="43">
        <f>VLOOKUP(Table3[[#This Row],[Activity Level]],'TPI. Pa.'!$B$3:$C$52,2,0)</f>
        <v>10</v>
      </c>
      <c r="T166" s="43">
        <f>VLOOKUP(Table3[[#This Row],[Patrol frequency]],'TPI. Pa.'!$B$3:$C$52,2,0)</f>
        <v>1</v>
      </c>
      <c r="U166" s="43">
        <f>VLOOKUP(Table3[[#This Row],[Proxutil]],'TPI. Pa.'!$B$3:$C$52,2,0)</f>
        <v>5</v>
      </c>
      <c r="V166" s="43">
        <f>VLOOKUP(Table3[[#This Row],[ROW]],'TPI. Pa.'!$B$3:$C$52,2,0)</f>
        <v>10</v>
      </c>
      <c r="W166" s="43">
        <f>VLOOKUP(Table3[[#This Row],[ROW condition]],'TPI. Pa.'!$B$3:$C$52,2,0)</f>
        <v>3</v>
      </c>
      <c r="X16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7" spans="1:24" hidden="1">
      <c r="A167" s="84">
        <v>2</v>
      </c>
      <c r="B167" s="81">
        <v>673600001</v>
      </c>
      <c r="C167" s="82" t="s">
        <v>286</v>
      </c>
      <c r="D167" s="19"/>
      <c r="E167" s="19"/>
      <c r="F167" s="19"/>
      <c r="G167" s="19" t="s">
        <v>179</v>
      </c>
      <c r="H167" s="19" t="s">
        <v>185</v>
      </c>
      <c r="I167" s="19" t="s">
        <v>168</v>
      </c>
      <c r="J167" s="19" t="s">
        <v>183</v>
      </c>
      <c r="K167" s="19" t="s">
        <v>26</v>
      </c>
      <c r="L167" s="19" t="s">
        <v>217</v>
      </c>
      <c r="M167" s="19" t="s">
        <v>222</v>
      </c>
      <c r="N167" s="19" t="s">
        <v>228</v>
      </c>
      <c r="O167" s="38"/>
      <c r="P167" s="43">
        <f>VLOOKUP(Table3[[#This Row],[Depth of cover]],'TPI. Pa.'!$B$3:$C$52,2,0)</f>
        <v>2</v>
      </c>
      <c r="Q167" s="43">
        <f>VLOOKUP(Table3[[#This Row],[Additional protection]],'TPI. Pa.'!$B$3:$C$52,2,0)</f>
        <v>5</v>
      </c>
      <c r="R167" s="43">
        <f>VLOOKUP(Table3[[#This Row],[Failure due to TPI]],'TPI. Pa.'!$B$3:$C$52,2,0)</f>
        <v>4</v>
      </c>
      <c r="S167" s="43">
        <f>VLOOKUP(Table3[[#This Row],[Activity Level]],'TPI. Pa.'!$B$3:$C$52,2,0)</f>
        <v>10</v>
      </c>
      <c r="T167" s="43">
        <f>VLOOKUP(Table3[[#This Row],[Patrol frequency]],'TPI. Pa.'!$B$3:$C$52,2,0)</f>
        <v>1</v>
      </c>
      <c r="U167" s="43">
        <f>VLOOKUP(Table3[[#This Row],[Proxutil]],'TPI. Pa.'!$B$3:$C$52,2,0)</f>
        <v>5</v>
      </c>
      <c r="V167" s="43">
        <f>VLOOKUP(Table3[[#This Row],[ROW]],'TPI. Pa.'!$B$3:$C$52,2,0)</f>
        <v>10</v>
      </c>
      <c r="W167" s="43">
        <f>VLOOKUP(Table3[[#This Row],[ROW condition]],'TPI. Pa.'!$B$3:$C$52,2,0)</f>
        <v>3</v>
      </c>
      <c r="X16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8" spans="1:24" hidden="1">
      <c r="A168" s="84">
        <v>2</v>
      </c>
      <c r="B168" s="81">
        <v>673700001</v>
      </c>
      <c r="C168" s="82" t="s">
        <v>287</v>
      </c>
      <c r="D168" s="19"/>
      <c r="E168" s="19"/>
      <c r="F168" s="19"/>
      <c r="G168" s="19" t="s">
        <v>179</v>
      </c>
      <c r="H168" s="19" t="s">
        <v>185</v>
      </c>
      <c r="I168" s="19" t="s">
        <v>168</v>
      </c>
      <c r="J168" s="19" t="s">
        <v>183</v>
      </c>
      <c r="K168" s="19" t="s">
        <v>26</v>
      </c>
      <c r="L168" s="19" t="s">
        <v>217</v>
      </c>
      <c r="M168" s="19" t="s">
        <v>222</v>
      </c>
      <c r="N168" s="19" t="s">
        <v>228</v>
      </c>
      <c r="O168" s="38"/>
      <c r="P168" s="43">
        <f>VLOOKUP(Table3[[#This Row],[Depth of cover]],'TPI. Pa.'!$B$3:$C$52,2,0)</f>
        <v>2</v>
      </c>
      <c r="Q168" s="43">
        <f>VLOOKUP(Table3[[#This Row],[Additional protection]],'TPI. Pa.'!$B$3:$C$52,2,0)</f>
        <v>5</v>
      </c>
      <c r="R168" s="43">
        <f>VLOOKUP(Table3[[#This Row],[Failure due to TPI]],'TPI. Pa.'!$B$3:$C$52,2,0)</f>
        <v>4</v>
      </c>
      <c r="S168" s="43">
        <f>VLOOKUP(Table3[[#This Row],[Activity Level]],'TPI. Pa.'!$B$3:$C$52,2,0)</f>
        <v>10</v>
      </c>
      <c r="T168" s="43">
        <f>VLOOKUP(Table3[[#This Row],[Patrol frequency]],'TPI. Pa.'!$B$3:$C$52,2,0)</f>
        <v>1</v>
      </c>
      <c r="U168" s="43">
        <f>VLOOKUP(Table3[[#This Row],[Proxutil]],'TPI. Pa.'!$B$3:$C$52,2,0)</f>
        <v>5</v>
      </c>
      <c r="V168" s="43">
        <f>VLOOKUP(Table3[[#This Row],[ROW]],'TPI. Pa.'!$B$3:$C$52,2,0)</f>
        <v>10</v>
      </c>
      <c r="W168" s="43">
        <f>VLOOKUP(Table3[[#This Row],[ROW condition]],'TPI. Pa.'!$B$3:$C$52,2,0)</f>
        <v>3</v>
      </c>
      <c r="X16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69" spans="1:24" hidden="1">
      <c r="A169" s="84">
        <v>2</v>
      </c>
      <c r="B169" s="81">
        <v>674100001</v>
      </c>
      <c r="C169" s="82" t="s">
        <v>288</v>
      </c>
      <c r="D169" s="19"/>
      <c r="E169" s="19"/>
      <c r="F169" s="19"/>
      <c r="G169" s="19" t="s">
        <v>179</v>
      </c>
      <c r="H169" s="19" t="s">
        <v>185</v>
      </c>
      <c r="I169" s="19" t="s">
        <v>168</v>
      </c>
      <c r="J169" s="19" t="s">
        <v>183</v>
      </c>
      <c r="K169" s="19" t="s">
        <v>26</v>
      </c>
      <c r="L169" s="19" t="s">
        <v>217</v>
      </c>
      <c r="M169" s="19" t="s">
        <v>222</v>
      </c>
      <c r="N169" s="19" t="s">
        <v>228</v>
      </c>
      <c r="O169" s="38"/>
      <c r="P169" s="43">
        <f>VLOOKUP(Table3[[#This Row],[Depth of cover]],'TPI. Pa.'!$B$3:$C$52,2,0)</f>
        <v>2</v>
      </c>
      <c r="Q169" s="43">
        <f>VLOOKUP(Table3[[#This Row],[Additional protection]],'TPI. Pa.'!$B$3:$C$52,2,0)</f>
        <v>5</v>
      </c>
      <c r="R169" s="43">
        <f>VLOOKUP(Table3[[#This Row],[Failure due to TPI]],'TPI. Pa.'!$B$3:$C$52,2,0)</f>
        <v>4</v>
      </c>
      <c r="S169" s="43">
        <f>VLOOKUP(Table3[[#This Row],[Activity Level]],'TPI. Pa.'!$B$3:$C$52,2,0)</f>
        <v>10</v>
      </c>
      <c r="T169" s="43">
        <f>VLOOKUP(Table3[[#This Row],[Patrol frequency]],'TPI. Pa.'!$B$3:$C$52,2,0)</f>
        <v>1</v>
      </c>
      <c r="U169" s="43">
        <f>VLOOKUP(Table3[[#This Row],[Proxutil]],'TPI. Pa.'!$B$3:$C$52,2,0)</f>
        <v>5</v>
      </c>
      <c r="V169" s="43">
        <f>VLOOKUP(Table3[[#This Row],[ROW]],'TPI. Pa.'!$B$3:$C$52,2,0)</f>
        <v>10</v>
      </c>
      <c r="W169" s="43">
        <f>VLOOKUP(Table3[[#This Row],[ROW condition]],'TPI. Pa.'!$B$3:$C$52,2,0)</f>
        <v>3</v>
      </c>
      <c r="X169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0" spans="1:24" hidden="1">
      <c r="A170" s="84">
        <v>2</v>
      </c>
      <c r="B170" s="81">
        <v>692110101</v>
      </c>
      <c r="C170" s="82" t="s">
        <v>712</v>
      </c>
      <c r="D170" s="19"/>
      <c r="E170" s="19"/>
      <c r="F170" s="19"/>
      <c r="G170" s="19" t="s">
        <v>179</v>
      </c>
      <c r="H170" s="19" t="s">
        <v>185</v>
      </c>
      <c r="I170" s="19" t="s">
        <v>168</v>
      </c>
      <c r="J170" s="19" t="s">
        <v>183</v>
      </c>
      <c r="K170" s="19" t="s">
        <v>26</v>
      </c>
      <c r="L170" s="19" t="s">
        <v>217</v>
      </c>
      <c r="M170" s="19" t="s">
        <v>222</v>
      </c>
      <c r="N170" s="19" t="s">
        <v>228</v>
      </c>
      <c r="O170" s="38"/>
      <c r="P170" s="43">
        <f>VLOOKUP(Table3[[#This Row],[Depth of cover]],'TPI. Pa.'!$B$3:$C$52,2,0)</f>
        <v>2</v>
      </c>
      <c r="Q170" s="43">
        <f>VLOOKUP(Table3[[#This Row],[Additional protection]],'TPI. Pa.'!$B$3:$C$52,2,0)</f>
        <v>5</v>
      </c>
      <c r="R170" s="43">
        <f>VLOOKUP(Table3[[#This Row],[Failure due to TPI]],'TPI. Pa.'!$B$3:$C$52,2,0)</f>
        <v>4</v>
      </c>
      <c r="S170" s="43">
        <f>VLOOKUP(Table3[[#This Row],[Activity Level]],'TPI. Pa.'!$B$3:$C$52,2,0)</f>
        <v>10</v>
      </c>
      <c r="T170" s="43">
        <f>VLOOKUP(Table3[[#This Row],[Patrol frequency]],'TPI. Pa.'!$B$3:$C$52,2,0)</f>
        <v>1</v>
      </c>
      <c r="U170" s="43">
        <f>VLOOKUP(Table3[[#This Row],[Proxutil]],'TPI. Pa.'!$B$3:$C$52,2,0)</f>
        <v>5</v>
      </c>
      <c r="V170" s="43">
        <f>VLOOKUP(Table3[[#This Row],[ROW]],'TPI. Pa.'!$B$3:$C$52,2,0)</f>
        <v>10</v>
      </c>
      <c r="W170" s="43">
        <f>VLOOKUP(Table3[[#This Row],[ROW condition]],'TPI. Pa.'!$B$3:$C$52,2,0)</f>
        <v>3</v>
      </c>
      <c r="X170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1" spans="1:24" hidden="1">
      <c r="A171" s="84">
        <v>2</v>
      </c>
      <c r="B171" s="81">
        <v>692110103</v>
      </c>
      <c r="C171" s="82" t="s">
        <v>289</v>
      </c>
      <c r="D171" s="19"/>
      <c r="E171" s="19"/>
      <c r="F171" s="19"/>
      <c r="G171" s="19" t="s">
        <v>179</v>
      </c>
      <c r="H171" s="19" t="s">
        <v>185</v>
      </c>
      <c r="I171" s="19" t="s">
        <v>168</v>
      </c>
      <c r="J171" s="19" t="s">
        <v>183</v>
      </c>
      <c r="K171" s="19" t="s">
        <v>26</v>
      </c>
      <c r="L171" s="19" t="s">
        <v>217</v>
      </c>
      <c r="M171" s="19" t="s">
        <v>222</v>
      </c>
      <c r="N171" s="19" t="s">
        <v>228</v>
      </c>
      <c r="O171" s="38"/>
      <c r="P171" s="43">
        <f>VLOOKUP(Table3[[#This Row],[Depth of cover]],'TPI. Pa.'!$B$3:$C$52,2,0)</f>
        <v>2</v>
      </c>
      <c r="Q171" s="43">
        <f>VLOOKUP(Table3[[#This Row],[Additional protection]],'TPI. Pa.'!$B$3:$C$52,2,0)</f>
        <v>5</v>
      </c>
      <c r="R171" s="43">
        <f>VLOOKUP(Table3[[#This Row],[Failure due to TPI]],'TPI. Pa.'!$B$3:$C$52,2,0)</f>
        <v>4</v>
      </c>
      <c r="S171" s="43">
        <f>VLOOKUP(Table3[[#This Row],[Activity Level]],'TPI. Pa.'!$B$3:$C$52,2,0)</f>
        <v>10</v>
      </c>
      <c r="T171" s="43">
        <f>VLOOKUP(Table3[[#This Row],[Patrol frequency]],'TPI. Pa.'!$B$3:$C$52,2,0)</f>
        <v>1</v>
      </c>
      <c r="U171" s="43">
        <f>VLOOKUP(Table3[[#This Row],[Proxutil]],'TPI. Pa.'!$B$3:$C$52,2,0)</f>
        <v>5</v>
      </c>
      <c r="V171" s="43">
        <f>VLOOKUP(Table3[[#This Row],[ROW]],'TPI. Pa.'!$B$3:$C$52,2,0)</f>
        <v>10</v>
      </c>
      <c r="W171" s="43">
        <f>VLOOKUP(Table3[[#This Row],[ROW condition]],'TPI. Pa.'!$B$3:$C$52,2,0)</f>
        <v>3</v>
      </c>
      <c r="X171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2" spans="1:24" hidden="1">
      <c r="A172" s="84">
        <v>3</v>
      </c>
      <c r="B172" s="81">
        <v>330</v>
      </c>
      <c r="C172" s="82" t="s">
        <v>290</v>
      </c>
      <c r="D172" s="19"/>
      <c r="E172" s="19"/>
      <c r="F172" s="19"/>
      <c r="G172" s="19" t="s">
        <v>179</v>
      </c>
      <c r="H172" s="19" t="s">
        <v>185</v>
      </c>
      <c r="I172" s="19" t="s">
        <v>168</v>
      </c>
      <c r="J172" s="19" t="s">
        <v>183</v>
      </c>
      <c r="K172" s="19" t="s">
        <v>26</v>
      </c>
      <c r="L172" s="19" t="s">
        <v>217</v>
      </c>
      <c r="M172" s="19" t="s">
        <v>222</v>
      </c>
      <c r="N172" s="19" t="s">
        <v>228</v>
      </c>
      <c r="O172" s="38"/>
      <c r="P172" s="43">
        <f>VLOOKUP(Table3[[#This Row],[Depth of cover]],'TPI. Pa.'!$B$3:$C$52,2,0)</f>
        <v>2</v>
      </c>
      <c r="Q172" s="43">
        <f>VLOOKUP(Table3[[#This Row],[Additional protection]],'TPI. Pa.'!$B$3:$C$52,2,0)</f>
        <v>5</v>
      </c>
      <c r="R172" s="43">
        <f>VLOOKUP(Table3[[#This Row],[Failure due to TPI]],'TPI. Pa.'!$B$3:$C$52,2,0)</f>
        <v>4</v>
      </c>
      <c r="S172" s="43">
        <f>VLOOKUP(Table3[[#This Row],[Activity Level]],'TPI. Pa.'!$B$3:$C$52,2,0)</f>
        <v>10</v>
      </c>
      <c r="T172" s="43">
        <f>VLOOKUP(Table3[[#This Row],[Patrol frequency]],'TPI. Pa.'!$B$3:$C$52,2,0)</f>
        <v>1</v>
      </c>
      <c r="U172" s="43">
        <f>VLOOKUP(Table3[[#This Row],[Proxutil]],'TPI. Pa.'!$B$3:$C$52,2,0)</f>
        <v>5</v>
      </c>
      <c r="V172" s="43">
        <f>VLOOKUP(Table3[[#This Row],[ROW]],'TPI. Pa.'!$B$3:$C$52,2,0)</f>
        <v>10</v>
      </c>
      <c r="W172" s="43">
        <f>VLOOKUP(Table3[[#This Row],[ROW condition]],'TPI. Pa.'!$B$3:$C$52,2,0)</f>
        <v>3</v>
      </c>
      <c r="X172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3" spans="1:24" hidden="1">
      <c r="A173" s="80">
        <v>3</v>
      </c>
      <c r="B173" s="81">
        <v>330100002</v>
      </c>
      <c r="C173" s="82" t="s">
        <v>742</v>
      </c>
      <c r="D173" s="19"/>
      <c r="E173" s="19"/>
      <c r="F173" s="19"/>
      <c r="G173" s="19" t="s">
        <v>179</v>
      </c>
      <c r="H173" s="19" t="s">
        <v>185</v>
      </c>
      <c r="I173" s="19" t="s">
        <v>168</v>
      </c>
      <c r="J173" s="19" t="s">
        <v>183</v>
      </c>
      <c r="K173" s="19" t="s">
        <v>26</v>
      </c>
      <c r="L173" s="19" t="s">
        <v>217</v>
      </c>
      <c r="M173" s="19" t="s">
        <v>222</v>
      </c>
      <c r="N173" s="19" t="s">
        <v>228</v>
      </c>
      <c r="O173" s="38"/>
      <c r="P173" s="43">
        <f>VLOOKUP(Table3[[#This Row],[Depth of cover]],'TPI. Pa.'!$B$3:$C$52,2,0)</f>
        <v>2</v>
      </c>
      <c r="Q173" s="43">
        <f>VLOOKUP(Table3[[#This Row],[Additional protection]],'TPI. Pa.'!$B$3:$C$52,2,0)</f>
        <v>5</v>
      </c>
      <c r="R173" s="43">
        <f>VLOOKUP(Table3[[#This Row],[Failure due to TPI]],'TPI. Pa.'!$B$3:$C$52,2,0)</f>
        <v>4</v>
      </c>
      <c r="S173" s="43">
        <f>VLOOKUP(Table3[[#This Row],[Activity Level]],'TPI. Pa.'!$B$3:$C$52,2,0)</f>
        <v>10</v>
      </c>
      <c r="T173" s="43">
        <f>VLOOKUP(Table3[[#This Row],[Patrol frequency]],'TPI. Pa.'!$B$3:$C$52,2,0)</f>
        <v>1</v>
      </c>
      <c r="U173" s="43">
        <f>VLOOKUP(Table3[[#This Row],[Proxutil]],'TPI. Pa.'!$B$3:$C$52,2,0)</f>
        <v>5</v>
      </c>
      <c r="V173" s="43">
        <f>VLOOKUP(Table3[[#This Row],[ROW]],'TPI. Pa.'!$B$3:$C$52,2,0)</f>
        <v>10</v>
      </c>
      <c r="W173" s="43">
        <f>VLOOKUP(Table3[[#This Row],[ROW condition]],'TPI. Pa.'!$B$3:$C$52,2,0)</f>
        <v>3</v>
      </c>
      <c r="X173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4" spans="1:24" hidden="1">
      <c r="A174" s="80">
        <v>3</v>
      </c>
      <c r="B174" s="81">
        <v>330100003</v>
      </c>
      <c r="C174" s="82" t="s">
        <v>750</v>
      </c>
      <c r="D174" s="19"/>
      <c r="E174" s="19"/>
      <c r="F174" s="19"/>
      <c r="G174" s="19" t="s">
        <v>179</v>
      </c>
      <c r="H174" s="19" t="s">
        <v>185</v>
      </c>
      <c r="I174" s="19" t="s">
        <v>168</v>
      </c>
      <c r="J174" s="167" t="s">
        <v>183</v>
      </c>
      <c r="K174" s="19" t="s">
        <v>26</v>
      </c>
      <c r="L174" s="19" t="s">
        <v>217</v>
      </c>
      <c r="M174" s="19" t="s">
        <v>222</v>
      </c>
      <c r="N174" s="19" t="s">
        <v>228</v>
      </c>
      <c r="O174" s="38"/>
      <c r="P174" s="43">
        <f>VLOOKUP(Table3[[#This Row],[Depth of cover]],'TPI. Pa.'!$B$3:$C$52,2,0)</f>
        <v>2</v>
      </c>
      <c r="Q174" s="43">
        <f>VLOOKUP(Table3[[#This Row],[Additional protection]],'TPI. Pa.'!$B$3:$C$52,2,0)</f>
        <v>5</v>
      </c>
      <c r="R174" s="43">
        <f>VLOOKUP(Table3[[#This Row],[Failure due to TPI]],'TPI. Pa.'!$B$3:$C$52,2,0)</f>
        <v>4</v>
      </c>
      <c r="S174" s="43">
        <f>VLOOKUP(Table3[[#This Row],[Activity Level]],'TPI. Pa.'!$B$3:$C$52,2,0)</f>
        <v>10</v>
      </c>
      <c r="T174" s="43">
        <f>VLOOKUP(Table3[[#This Row],[Patrol frequency]],'TPI. Pa.'!$B$3:$C$52,2,0)</f>
        <v>1</v>
      </c>
      <c r="U174" s="43">
        <f>VLOOKUP(Table3[[#This Row],[Proxutil]],'TPI. Pa.'!$B$3:$C$52,2,0)</f>
        <v>5</v>
      </c>
      <c r="V174" s="43">
        <f>VLOOKUP(Table3[[#This Row],[ROW]],'TPI. Pa.'!$B$3:$C$52,2,0)</f>
        <v>10</v>
      </c>
      <c r="W174" s="43">
        <f>VLOOKUP(Table3[[#This Row],[ROW condition]],'TPI. Pa.'!$B$3:$C$52,2,0)</f>
        <v>3</v>
      </c>
      <c r="X174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5" spans="1:24" hidden="1">
      <c r="A175" s="80">
        <v>3</v>
      </c>
      <c r="B175" s="81">
        <v>33010009</v>
      </c>
      <c r="C175" s="82" t="s">
        <v>769</v>
      </c>
      <c r="D175" s="19"/>
      <c r="E175" s="19"/>
      <c r="F175" s="19"/>
      <c r="G175" s="19" t="s">
        <v>179</v>
      </c>
      <c r="H175" s="19" t="s">
        <v>185</v>
      </c>
      <c r="I175" s="19" t="s">
        <v>168</v>
      </c>
      <c r="J175" s="19" t="s">
        <v>183</v>
      </c>
      <c r="K175" s="19" t="s">
        <v>26</v>
      </c>
      <c r="L175" s="19" t="s">
        <v>217</v>
      </c>
      <c r="M175" s="19" t="s">
        <v>222</v>
      </c>
      <c r="N175" s="19" t="s">
        <v>228</v>
      </c>
      <c r="O175" s="38"/>
      <c r="P175" s="43">
        <f>VLOOKUP(Table3[[#This Row],[Depth of cover]],'TPI. Pa.'!$B$3:$C$52,2,0)</f>
        <v>2</v>
      </c>
      <c r="Q175" s="43">
        <f>VLOOKUP(Table3[[#This Row],[Additional protection]],'TPI. Pa.'!$B$3:$C$52,2,0)</f>
        <v>5</v>
      </c>
      <c r="R175" s="43">
        <f>VLOOKUP(Table3[[#This Row],[Failure due to TPI]],'TPI. Pa.'!$B$3:$C$52,2,0)</f>
        <v>4</v>
      </c>
      <c r="S175" s="43">
        <f>VLOOKUP(Table3[[#This Row],[Activity Level]],'TPI. Pa.'!$B$3:$C$52,2,0)</f>
        <v>10</v>
      </c>
      <c r="T175" s="43">
        <f>VLOOKUP(Table3[[#This Row],[Patrol frequency]],'TPI. Pa.'!$B$3:$C$52,2,0)</f>
        <v>1</v>
      </c>
      <c r="U175" s="43">
        <f>VLOOKUP(Table3[[#This Row],[Proxutil]],'TPI. Pa.'!$B$3:$C$52,2,0)</f>
        <v>5</v>
      </c>
      <c r="V175" s="43">
        <f>VLOOKUP(Table3[[#This Row],[ROW]],'TPI. Pa.'!$B$3:$C$52,2,0)</f>
        <v>10</v>
      </c>
      <c r="W175" s="43">
        <f>VLOOKUP(Table3[[#This Row],[ROW condition]],'TPI. Pa.'!$B$3:$C$52,2,0)</f>
        <v>3</v>
      </c>
      <c r="X175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6" spans="1:24" hidden="1">
      <c r="A176" s="80">
        <v>3</v>
      </c>
      <c r="B176" s="81">
        <v>330200002</v>
      </c>
      <c r="C176" s="82" t="s">
        <v>727</v>
      </c>
      <c r="D176" s="19"/>
      <c r="E176" s="19"/>
      <c r="F176" s="19"/>
      <c r="G176" s="19" t="s">
        <v>179</v>
      </c>
      <c r="H176" s="19" t="s">
        <v>185</v>
      </c>
      <c r="I176" s="19" t="s">
        <v>168</v>
      </c>
      <c r="J176" s="19" t="s">
        <v>183</v>
      </c>
      <c r="K176" s="19" t="s">
        <v>26</v>
      </c>
      <c r="L176" s="19" t="s">
        <v>217</v>
      </c>
      <c r="M176" s="19" t="s">
        <v>222</v>
      </c>
      <c r="N176" s="19" t="s">
        <v>228</v>
      </c>
      <c r="O176" s="38"/>
      <c r="P176" s="43">
        <f>VLOOKUP(Table3[[#This Row],[Depth of cover]],'TPI. Pa.'!$B$3:$C$52,2,0)</f>
        <v>2</v>
      </c>
      <c r="Q176" s="43">
        <f>VLOOKUP(Table3[[#This Row],[Additional protection]],'TPI. Pa.'!$B$3:$C$52,2,0)</f>
        <v>5</v>
      </c>
      <c r="R176" s="43">
        <f>VLOOKUP(Table3[[#This Row],[Failure due to TPI]],'TPI. Pa.'!$B$3:$C$52,2,0)</f>
        <v>4</v>
      </c>
      <c r="S176" s="43">
        <f>VLOOKUP(Table3[[#This Row],[Activity Level]],'TPI. Pa.'!$B$3:$C$52,2,0)</f>
        <v>10</v>
      </c>
      <c r="T176" s="43">
        <f>VLOOKUP(Table3[[#This Row],[Patrol frequency]],'TPI. Pa.'!$B$3:$C$52,2,0)</f>
        <v>1</v>
      </c>
      <c r="U176" s="43">
        <f>VLOOKUP(Table3[[#This Row],[Proxutil]],'TPI. Pa.'!$B$3:$C$52,2,0)</f>
        <v>5</v>
      </c>
      <c r="V176" s="43">
        <f>VLOOKUP(Table3[[#This Row],[ROW]],'TPI. Pa.'!$B$3:$C$52,2,0)</f>
        <v>10</v>
      </c>
      <c r="W176" s="43">
        <f>VLOOKUP(Table3[[#This Row],[ROW condition]],'TPI. Pa.'!$B$3:$C$52,2,0)</f>
        <v>3</v>
      </c>
      <c r="X176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7" spans="1:24" hidden="1">
      <c r="A177" s="80">
        <v>3</v>
      </c>
      <c r="B177" s="81">
        <v>330300001</v>
      </c>
      <c r="C177" s="82" t="s">
        <v>733</v>
      </c>
      <c r="D177" s="19"/>
      <c r="E177" s="19"/>
      <c r="F177" s="19"/>
      <c r="G177" s="19" t="s">
        <v>179</v>
      </c>
      <c r="H177" s="19" t="s">
        <v>185</v>
      </c>
      <c r="I177" s="19" t="s">
        <v>168</v>
      </c>
      <c r="J177" s="19" t="s">
        <v>183</v>
      </c>
      <c r="K177" s="19" t="s">
        <v>26</v>
      </c>
      <c r="L177" s="19" t="s">
        <v>217</v>
      </c>
      <c r="M177" s="19" t="s">
        <v>222</v>
      </c>
      <c r="N177" s="19" t="s">
        <v>228</v>
      </c>
      <c r="O177" s="38"/>
      <c r="P177" s="43">
        <f>VLOOKUP(Table3[[#This Row],[Depth of cover]],'TPI. Pa.'!$B$3:$C$52,2,0)</f>
        <v>2</v>
      </c>
      <c r="Q177" s="43">
        <f>VLOOKUP(Table3[[#This Row],[Additional protection]],'TPI. Pa.'!$B$3:$C$52,2,0)</f>
        <v>5</v>
      </c>
      <c r="R177" s="43">
        <f>VLOOKUP(Table3[[#This Row],[Failure due to TPI]],'TPI. Pa.'!$B$3:$C$52,2,0)</f>
        <v>4</v>
      </c>
      <c r="S177" s="43">
        <f>VLOOKUP(Table3[[#This Row],[Activity Level]],'TPI. Pa.'!$B$3:$C$52,2,0)</f>
        <v>10</v>
      </c>
      <c r="T177" s="43">
        <f>VLOOKUP(Table3[[#This Row],[Patrol frequency]],'TPI. Pa.'!$B$3:$C$52,2,0)</f>
        <v>1</v>
      </c>
      <c r="U177" s="43">
        <f>VLOOKUP(Table3[[#This Row],[Proxutil]],'TPI. Pa.'!$B$3:$C$52,2,0)</f>
        <v>5</v>
      </c>
      <c r="V177" s="43">
        <f>VLOOKUP(Table3[[#This Row],[ROW]],'TPI. Pa.'!$B$3:$C$52,2,0)</f>
        <v>10</v>
      </c>
      <c r="W177" s="43">
        <f>VLOOKUP(Table3[[#This Row],[ROW condition]],'TPI. Pa.'!$B$3:$C$52,2,0)</f>
        <v>3</v>
      </c>
      <c r="X177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8" spans="1:24" hidden="1">
      <c r="A178" s="80">
        <v>3</v>
      </c>
      <c r="B178" s="81">
        <v>330300001</v>
      </c>
      <c r="C178" s="82" t="s">
        <v>734</v>
      </c>
      <c r="D178" s="19"/>
      <c r="E178" s="19"/>
      <c r="F178" s="19"/>
      <c r="G178" s="19" t="s">
        <v>179</v>
      </c>
      <c r="H178" s="19" t="s">
        <v>185</v>
      </c>
      <c r="I178" s="19" t="s">
        <v>168</v>
      </c>
      <c r="J178" s="19" t="s">
        <v>183</v>
      </c>
      <c r="K178" s="19" t="s">
        <v>26</v>
      </c>
      <c r="L178" s="19" t="s">
        <v>217</v>
      </c>
      <c r="M178" s="19" t="s">
        <v>222</v>
      </c>
      <c r="N178" s="19" t="s">
        <v>228</v>
      </c>
      <c r="O178" s="38"/>
      <c r="P178" s="43">
        <f>VLOOKUP(Table3[[#This Row],[Depth of cover]],'TPI. Pa.'!$B$3:$C$52,2,0)</f>
        <v>2</v>
      </c>
      <c r="Q178" s="43">
        <f>VLOOKUP(Table3[[#This Row],[Additional protection]],'TPI. Pa.'!$B$3:$C$52,2,0)</f>
        <v>5</v>
      </c>
      <c r="R178" s="43">
        <f>VLOOKUP(Table3[[#This Row],[Failure due to TPI]],'TPI. Pa.'!$B$3:$C$52,2,0)</f>
        <v>4</v>
      </c>
      <c r="S178" s="43">
        <f>VLOOKUP(Table3[[#This Row],[Activity Level]],'TPI. Pa.'!$B$3:$C$52,2,0)</f>
        <v>10</v>
      </c>
      <c r="T178" s="43">
        <f>VLOOKUP(Table3[[#This Row],[Patrol frequency]],'TPI. Pa.'!$B$3:$C$52,2,0)</f>
        <v>1</v>
      </c>
      <c r="U178" s="43">
        <f>VLOOKUP(Table3[[#This Row],[Proxutil]],'TPI. Pa.'!$B$3:$C$52,2,0)</f>
        <v>5</v>
      </c>
      <c r="V178" s="43">
        <f>VLOOKUP(Table3[[#This Row],[ROW]],'TPI. Pa.'!$B$3:$C$52,2,0)</f>
        <v>10</v>
      </c>
      <c r="W178" s="43">
        <f>VLOOKUP(Table3[[#This Row],[ROW condition]],'TPI. Pa.'!$B$3:$C$52,2,0)</f>
        <v>3</v>
      </c>
      <c r="X178" s="19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79" spans="1:24" hidden="1">
      <c r="A179" s="80">
        <v>3</v>
      </c>
      <c r="B179" s="81">
        <v>330400008</v>
      </c>
      <c r="C179" s="82" t="s">
        <v>729</v>
      </c>
      <c r="D179" s="42"/>
      <c r="E179" s="42"/>
      <c r="F179" s="42"/>
      <c r="G179" s="19" t="s">
        <v>179</v>
      </c>
      <c r="H179" s="19" t="s">
        <v>185</v>
      </c>
      <c r="I179" s="19" t="s">
        <v>168</v>
      </c>
      <c r="J179" s="19" t="s">
        <v>183</v>
      </c>
      <c r="K179" s="19" t="s">
        <v>26</v>
      </c>
      <c r="L179" s="19" t="s">
        <v>217</v>
      </c>
      <c r="M179" s="19" t="s">
        <v>222</v>
      </c>
      <c r="N179" s="19" t="s">
        <v>228</v>
      </c>
      <c r="O179" s="37"/>
      <c r="P179" s="43">
        <f>VLOOKUP(Table3[[#This Row],[Depth of cover]],'TPI. Pa.'!$B$3:$C$52,2,0)</f>
        <v>2</v>
      </c>
      <c r="Q179" s="43">
        <f>VLOOKUP(Table3[[#This Row],[Additional protection]],'TPI. Pa.'!$B$3:$C$52,2,0)</f>
        <v>5</v>
      </c>
      <c r="R179" s="43">
        <f>VLOOKUP(Table3[[#This Row],[Failure due to TPI]],'TPI. Pa.'!$B$3:$C$52,2,0)</f>
        <v>4</v>
      </c>
      <c r="S179" s="43">
        <f>VLOOKUP(Table3[[#This Row],[Activity Level]],'TPI. Pa.'!$B$3:$C$52,2,0)</f>
        <v>10</v>
      </c>
      <c r="T179" s="43">
        <f>VLOOKUP(Table3[[#This Row],[Patrol frequency]],'TPI. Pa.'!$B$3:$C$52,2,0)</f>
        <v>1</v>
      </c>
      <c r="U179" s="43">
        <f>VLOOKUP(Table3[[#This Row],[Proxutil]],'TPI. Pa.'!$B$3:$C$52,2,0)</f>
        <v>5</v>
      </c>
      <c r="V179" s="43">
        <f>VLOOKUP(Table3[[#This Row],[ROW]],'TPI. Pa.'!$B$3:$C$52,2,0)</f>
        <v>10</v>
      </c>
      <c r="W179" s="43">
        <f>VLOOKUP(Table3[[#This Row],[ROW condition]],'TPI. Pa.'!$B$3:$C$52,2,0)</f>
        <v>3</v>
      </c>
      <c r="X179" s="4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0" spans="1:24" hidden="1">
      <c r="A180" s="80">
        <v>3</v>
      </c>
      <c r="B180" s="81">
        <v>330500001</v>
      </c>
      <c r="C180" s="82" t="s">
        <v>738</v>
      </c>
      <c r="D180" s="42"/>
      <c r="E180" s="42"/>
      <c r="F180" s="42"/>
      <c r="G180" s="19" t="s">
        <v>179</v>
      </c>
      <c r="H180" s="19" t="s">
        <v>185</v>
      </c>
      <c r="I180" s="19" t="s">
        <v>168</v>
      </c>
      <c r="J180" s="19" t="s">
        <v>183</v>
      </c>
      <c r="K180" s="19" t="s">
        <v>26</v>
      </c>
      <c r="L180" s="19" t="s">
        <v>217</v>
      </c>
      <c r="M180" s="19" t="s">
        <v>222</v>
      </c>
      <c r="N180" s="19" t="s">
        <v>228</v>
      </c>
      <c r="O180" s="37"/>
      <c r="P180" s="43">
        <f>VLOOKUP(Table3[[#This Row],[Depth of cover]],'TPI. Pa.'!$B$3:$C$52,2,0)</f>
        <v>2</v>
      </c>
      <c r="Q180" s="43">
        <f>VLOOKUP(Table3[[#This Row],[Additional protection]],'TPI. Pa.'!$B$3:$C$52,2,0)</f>
        <v>5</v>
      </c>
      <c r="R180" s="43">
        <f>VLOOKUP(Table3[[#This Row],[Failure due to TPI]],'TPI. Pa.'!$B$3:$C$52,2,0)</f>
        <v>4</v>
      </c>
      <c r="S180" s="43">
        <f>VLOOKUP(Table3[[#This Row],[Activity Level]],'TPI. Pa.'!$B$3:$C$52,2,0)</f>
        <v>10</v>
      </c>
      <c r="T180" s="43">
        <f>VLOOKUP(Table3[[#This Row],[Patrol frequency]],'TPI. Pa.'!$B$3:$C$52,2,0)</f>
        <v>1</v>
      </c>
      <c r="U180" s="43">
        <f>VLOOKUP(Table3[[#This Row],[Proxutil]],'TPI. Pa.'!$B$3:$C$52,2,0)</f>
        <v>5</v>
      </c>
      <c r="V180" s="43">
        <f>VLOOKUP(Table3[[#This Row],[ROW]],'TPI. Pa.'!$B$3:$C$52,2,0)</f>
        <v>10</v>
      </c>
      <c r="W180" s="43">
        <f>VLOOKUP(Table3[[#This Row],[ROW condition]],'TPI. Pa.'!$B$3:$C$52,2,0)</f>
        <v>3</v>
      </c>
      <c r="X180" s="67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1" spans="1:24" hidden="1">
      <c r="A181" s="80">
        <v>3</v>
      </c>
      <c r="B181" s="81">
        <v>33050002</v>
      </c>
      <c r="C181" s="82" t="s">
        <v>765</v>
      </c>
      <c r="D181" s="42"/>
      <c r="E181" s="42"/>
      <c r="F181" s="42"/>
      <c r="G181" s="19" t="s">
        <v>179</v>
      </c>
      <c r="H181" s="19" t="s">
        <v>185</v>
      </c>
      <c r="I181" s="19" t="s">
        <v>168</v>
      </c>
      <c r="J181" s="19" t="s">
        <v>183</v>
      </c>
      <c r="K181" s="19" t="s">
        <v>26</v>
      </c>
      <c r="L181" s="19" t="s">
        <v>217</v>
      </c>
      <c r="M181" s="19" t="s">
        <v>222</v>
      </c>
      <c r="N181" s="19" t="s">
        <v>228</v>
      </c>
      <c r="O181" s="37"/>
      <c r="P181" s="67">
        <f>VLOOKUP(Table3[[#This Row],[Depth of cover]],'TPI. Pa.'!$B$3:$C$52,2,0)</f>
        <v>2</v>
      </c>
      <c r="Q181" s="42">
        <f>VLOOKUP(Table3[[#This Row],[Additional protection]],'TPI. Pa.'!$B$3:$C$52,2,0)</f>
        <v>5</v>
      </c>
      <c r="R181" s="42">
        <f>VLOOKUP(Table3[[#This Row],[Failure due to TPI]],'TPI. Pa.'!$B$3:$C$52,2,0)</f>
        <v>4</v>
      </c>
      <c r="S181" s="42">
        <f>VLOOKUP(Table3[[#This Row],[Activity Level]],'TPI. Pa.'!$B$3:$C$52,2,0)</f>
        <v>10</v>
      </c>
      <c r="T181" s="42">
        <f>VLOOKUP(Table3[[#This Row],[Patrol frequency]],'TPI. Pa.'!$B$3:$C$52,2,0)</f>
        <v>1</v>
      </c>
      <c r="U181" s="42">
        <f>VLOOKUP(Table3[[#This Row],[Proxutil]],'TPI. Pa.'!$B$3:$C$52,2,0)</f>
        <v>5</v>
      </c>
      <c r="V181" s="42">
        <f>VLOOKUP(Table3[[#This Row],[ROW]],'TPI. Pa.'!$B$3:$C$52,2,0)</f>
        <v>10</v>
      </c>
      <c r="W181" s="42">
        <f>VLOOKUP(Table3[[#This Row],[ROW condition]],'TPI. Pa.'!$B$3:$C$52,2,0)</f>
        <v>3</v>
      </c>
      <c r="X181" s="67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2" spans="1:24" hidden="1">
      <c r="A182" s="80">
        <v>3</v>
      </c>
      <c r="B182" s="81">
        <v>330500001</v>
      </c>
      <c r="C182" s="82" t="s">
        <v>760</v>
      </c>
      <c r="D182" s="19"/>
      <c r="E182" s="19"/>
      <c r="F182" s="19"/>
      <c r="G182" s="19" t="s">
        <v>179</v>
      </c>
      <c r="H182" s="19" t="s">
        <v>185</v>
      </c>
      <c r="I182" s="19" t="s">
        <v>168</v>
      </c>
      <c r="J182" s="19" t="s">
        <v>183</v>
      </c>
      <c r="K182" s="19" t="s">
        <v>26</v>
      </c>
      <c r="L182" s="19" t="s">
        <v>217</v>
      </c>
      <c r="M182" s="19" t="s">
        <v>222</v>
      </c>
      <c r="N182" s="19" t="s">
        <v>228</v>
      </c>
      <c r="O182" s="38"/>
      <c r="P182" s="102">
        <f>VLOOKUP(Table3[[#This Row],[Depth of cover]],'TPI. Pa.'!$B$3:$C$52,2,0)</f>
        <v>2</v>
      </c>
      <c r="Q182" s="19">
        <f>VLOOKUP(Table3[[#This Row],[Additional protection]],'TPI. Pa.'!$B$3:$C$52,2,0)</f>
        <v>5</v>
      </c>
      <c r="R182" s="19">
        <f>VLOOKUP(Table3[[#This Row],[Failure due to TPI]],'TPI. Pa.'!$B$3:$C$52,2,0)</f>
        <v>4</v>
      </c>
      <c r="S182" s="19">
        <f>VLOOKUP(Table3[[#This Row],[Activity Level]],'TPI. Pa.'!$B$3:$C$52,2,0)</f>
        <v>10</v>
      </c>
      <c r="T182" s="19">
        <f>VLOOKUP(Table3[[#This Row],[Patrol frequency]],'TPI. Pa.'!$B$3:$C$52,2,0)</f>
        <v>1</v>
      </c>
      <c r="U182" s="19">
        <f>VLOOKUP(Table3[[#This Row],[Proxutil]],'TPI. Pa.'!$B$3:$C$52,2,0)</f>
        <v>5</v>
      </c>
      <c r="V182" s="19">
        <f>VLOOKUP(Table3[[#This Row],[ROW]],'TPI. Pa.'!$B$3:$C$52,2,0)</f>
        <v>10</v>
      </c>
      <c r="W182" s="19">
        <f>VLOOKUP(Table3[[#This Row],[ROW condition]],'TPI. Pa.'!$B$3:$C$52,2,0)</f>
        <v>3</v>
      </c>
      <c r="X18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3" spans="1:24" hidden="1">
      <c r="A183" s="80">
        <v>3</v>
      </c>
      <c r="B183" s="81">
        <v>330500004</v>
      </c>
      <c r="C183" s="82" t="s">
        <v>736</v>
      </c>
      <c r="D183" s="19"/>
      <c r="E183" s="19"/>
      <c r="F183" s="19"/>
      <c r="G183" s="19" t="s">
        <v>179</v>
      </c>
      <c r="H183" s="19" t="s">
        <v>185</v>
      </c>
      <c r="I183" s="19" t="s">
        <v>168</v>
      </c>
      <c r="J183" s="19" t="s">
        <v>183</v>
      </c>
      <c r="K183" s="19" t="s">
        <v>26</v>
      </c>
      <c r="L183" s="19" t="s">
        <v>217</v>
      </c>
      <c r="M183" s="19" t="s">
        <v>222</v>
      </c>
      <c r="N183" s="19" t="s">
        <v>228</v>
      </c>
      <c r="O183" s="38"/>
      <c r="P183" s="102">
        <f>VLOOKUP(Table3[[#This Row],[Depth of cover]],'TPI. Pa.'!$B$3:$C$52,2,0)</f>
        <v>2</v>
      </c>
      <c r="Q183" s="19">
        <f>VLOOKUP(Table3[[#This Row],[Additional protection]],'TPI. Pa.'!$B$3:$C$52,2,0)</f>
        <v>5</v>
      </c>
      <c r="R183" s="19">
        <f>VLOOKUP(Table3[[#This Row],[Failure due to TPI]],'TPI. Pa.'!$B$3:$C$52,2,0)</f>
        <v>4</v>
      </c>
      <c r="S183" s="19">
        <f>VLOOKUP(Table3[[#This Row],[Activity Level]],'TPI. Pa.'!$B$3:$C$52,2,0)</f>
        <v>10</v>
      </c>
      <c r="T183" s="19">
        <f>VLOOKUP(Table3[[#This Row],[Patrol frequency]],'TPI. Pa.'!$B$3:$C$52,2,0)</f>
        <v>1</v>
      </c>
      <c r="U183" s="19">
        <f>VLOOKUP(Table3[[#This Row],[Proxutil]],'TPI. Pa.'!$B$3:$C$52,2,0)</f>
        <v>5</v>
      </c>
      <c r="V183" s="19">
        <f>VLOOKUP(Table3[[#This Row],[ROW]],'TPI. Pa.'!$B$3:$C$52,2,0)</f>
        <v>10</v>
      </c>
      <c r="W183" s="19">
        <f>VLOOKUP(Table3[[#This Row],[ROW condition]],'TPI. Pa.'!$B$3:$C$52,2,0)</f>
        <v>3</v>
      </c>
      <c r="X18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4" spans="1:24" hidden="1">
      <c r="A184" s="80">
        <v>3</v>
      </c>
      <c r="B184" s="81">
        <v>330500003</v>
      </c>
      <c r="C184" s="82" t="s">
        <v>740</v>
      </c>
      <c r="D184" s="19"/>
      <c r="E184" s="19"/>
      <c r="F184" s="19"/>
      <c r="G184" s="19" t="s">
        <v>179</v>
      </c>
      <c r="H184" s="19" t="s">
        <v>185</v>
      </c>
      <c r="I184" s="19" t="s">
        <v>168</v>
      </c>
      <c r="J184" s="19" t="s">
        <v>183</v>
      </c>
      <c r="K184" s="19" t="s">
        <v>26</v>
      </c>
      <c r="L184" s="19" t="s">
        <v>217</v>
      </c>
      <c r="M184" s="19" t="s">
        <v>222</v>
      </c>
      <c r="N184" s="19" t="s">
        <v>228</v>
      </c>
      <c r="O184" s="38"/>
      <c r="P184" s="102">
        <f>VLOOKUP(Table3[[#This Row],[Depth of cover]],'TPI. Pa.'!$B$3:$C$52,2,0)</f>
        <v>2</v>
      </c>
      <c r="Q184" s="19">
        <f>VLOOKUP(Table3[[#This Row],[Additional protection]],'TPI. Pa.'!$B$3:$C$52,2,0)</f>
        <v>5</v>
      </c>
      <c r="R184" s="19">
        <f>VLOOKUP(Table3[[#This Row],[Failure due to TPI]],'TPI. Pa.'!$B$3:$C$52,2,0)</f>
        <v>4</v>
      </c>
      <c r="S184" s="19">
        <f>VLOOKUP(Table3[[#This Row],[Activity Level]],'TPI. Pa.'!$B$3:$C$52,2,0)</f>
        <v>10</v>
      </c>
      <c r="T184" s="19">
        <f>VLOOKUP(Table3[[#This Row],[Patrol frequency]],'TPI. Pa.'!$B$3:$C$52,2,0)</f>
        <v>1</v>
      </c>
      <c r="U184" s="19">
        <f>VLOOKUP(Table3[[#This Row],[Proxutil]],'TPI. Pa.'!$B$3:$C$52,2,0)</f>
        <v>5</v>
      </c>
      <c r="V184" s="19">
        <f>VLOOKUP(Table3[[#This Row],[ROW]],'TPI. Pa.'!$B$3:$C$52,2,0)</f>
        <v>10</v>
      </c>
      <c r="W184" s="19">
        <f>VLOOKUP(Table3[[#This Row],[ROW condition]],'TPI. Pa.'!$B$3:$C$52,2,0)</f>
        <v>3</v>
      </c>
      <c r="X18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5" spans="1:24" hidden="1">
      <c r="A185" s="80">
        <v>3</v>
      </c>
      <c r="B185" s="81">
        <v>330500007</v>
      </c>
      <c r="C185" s="82" t="s">
        <v>731</v>
      </c>
      <c r="D185" s="19"/>
      <c r="E185" s="19"/>
      <c r="F185" s="19"/>
      <c r="G185" s="19" t="s">
        <v>179</v>
      </c>
      <c r="H185" s="19" t="s">
        <v>185</v>
      </c>
      <c r="I185" s="19" t="s">
        <v>168</v>
      </c>
      <c r="J185" s="19" t="s">
        <v>183</v>
      </c>
      <c r="K185" s="19" t="s">
        <v>26</v>
      </c>
      <c r="L185" s="19" t="s">
        <v>217</v>
      </c>
      <c r="M185" s="19" t="s">
        <v>222</v>
      </c>
      <c r="N185" s="19" t="s">
        <v>228</v>
      </c>
      <c r="O185" s="38"/>
      <c r="P185" s="102">
        <f>VLOOKUP(Table3[[#This Row],[Depth of cover]],'TPI. Pa.'!$B$3:$C$52,2,0)</f>
        <v>2</v>
      </c>
      <c r="Q185" s="19">
        <f>VLOOKUP(Table3[[#This Row],[Additional protection]],'TPI. Pa.'!$B$3:$C$52,2,0)</f>
        <v>5</v>
      </c>
      <c r="R185" s="19">
        <f>VLOOKUP(Table3[[#This Row],[Failure due to TPI]],'TPI. Pa.'!$B$3:$C$52,2,0)</f>
        <v>4</v>
      </c>
      <c r="S185" s="19">
        <f>VLOOKUP(Table3[[#This Row],[Activity Level]],'TPI. Pa.'!$B$3:$C$52,2,0)</f>
        <v>10</v>
      </c>
      <c r="T185" s="19">
        <f>VLOOKUP(Table3[[#This Row],[Patrol frequency]],'TPI. Pa.'!$B$3:$C$52,2,0)</f>
        <v>1</v>
      </c>
      <c r="U185" s="19">
        <f>VLOOKUP(Table3[[#This Row],[Proxutil]],'TPI. Pa.'!$B$3:$C$52,2,0)</f>
        <v>5</v>
      </c>
      <c r="V185" s="19">
        <f>VLOOKUP(Table3[[#This Row],[ROW]],'TPI. Pa.'!$B$3:$C$52,2,0)</f>
        <v>10</v>
      </c>
      <c r="W185" s="19">
        <f>VLOOKUP(Table3[[#This Row],[ROW condition]],'TPI. Pa.'!$B$3:$C$52,2,0)</f>
        <v>3</v>
      </c>
      <c r="X18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6" spans="1:24" hidden="1">
      <c r="A186" s="80">
        <v>3</v>
      </c>
      <c r="B186" s="81">
        <v>330500008</v>
      </c>
      <c r="C186" s="82" t="s">
        <v>744</v>
      </c>
      <c r="D186" s="19"/>
      <c r="E186" s="19"/>
      <c r="F186" s="19"/>
      <c r="G186" s="19" t="s">
        <v>179</v>
      </c>
      <c r="H186" s="19" t="s">
        <v>185</v>
      </c>
      <c r="I186" s="19" t="s">
        <v>168</v>
      </c>
      <c r="J186" s="19" t="s">
        <v>183</v>
      </c>
      <c r="K186" s="19" t="s">
        <v>26</v>
      </c>
      <c r="L186" s="19" t="s">
        <v>217</v>
      </c>
      <c r="M186" s="19" t="s">
        <v>222</v>
      </c>
      <c r="N186" s="19" t="s">
        <v>228</v>
      </c>
      <c r="O186" s="38"/>
      <c r="P186" s="102">
        <f>VLOOKUP(Table3[[#This Row],[Depth of cover]],'TPI. Pa.'!$B$3:$C$52,2,0)</f>
        <v>2</v>
      </c>
      <c r="Q186" s="19">
        <f>VLOOKUP(Table3[[#This Row],[Additional protection]],'TPI. Pa.'!$B$3:$C$52,2,0)</f>
        <v>5</v>
      </c>
      <c r="R186" s="19">
        <f>VLOOKUP(Table3[[#This Row],[Failure due to TPI]],'TPI. Pa.'!$B$3:$C$52,2,0)</f>
        <v>4</v>
      </c>
      <c r="S186" s="19">
        <f>VLOOKUP(Table3[[#This Row],[Activity Level]],'TPI. Pa.'!$B$3:$C$52,2,0)</f>
        <v>10</v>
      </c>
      <c r="T186" s="19">
        <f>VLOOKUP(Table3[[#This Row],[Patrol frequency]],'TPI. Pa.'!$B$3:$C$52,2,0)</f>
        <v>1</v>
      </c>
      <c r="U186" s="19">
        <f>VLOOKUP(Table3[[#This Row],[Proxutil]],'TPI. Pa.'!$B$3:$C$52,2,0)</f>
        <v>5</v>
      </c>
      <c r="V186" s="19">
        <f>VLOOKUP(Table3[[#This Row],[ROW]],'TPI. Pa.'!$B$3:$C$52,2,0)</f>
        <v>10</v>
      </c>
      <c r="W186" s="19">
        <f>VLOOKUP(Table3[[#This Row],[ROW condition]],'TPI. Pa.'!$B$3:$C$52,2,0)</f>
        <v>3</v>
      </c>
      <c r="X18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7" spans="1:24" hidden="1">
      <c r="A187" s="80">
        <v>3</v>
      </c>
      <c r="B187" s="81">
        <v>330500012</v>
      </c>
      <c r="C187" s="82" t="s">
        <v>748</v>
      </c>
      <c r="D187" s="19"/>
      <c r="E187" s="19"/>
      <c r="F187" s="19"/>
      <c r="G187" s="19" t="s">
        <v>179</v>
      </c>
      <c r="H187" s="19" t="s">
        <v>185</v>
      </c>
      <c r="I187" s="19" t="s">
        <v>168</v>
      </c>
      <c r="J187" s="19" t="s">
        <v>183</v>
      </c>
      <c r="K187" s="19" t="s">
        <v>26</v>
      </c>
      <c r="L187" s="19" t="s">
        <v>217</v>
      </c>
      <c r="M187" s="19" t="s">
        <v>222</v>
      </c>
      <c r="N187" s="19" t="s">
        <v>228</v>
      </c>
      <c r="O187" s="38"/>
      <c r="P187" s="102">
        <f>VLOOKUP(Table3[[#This Row],[Depth of cover]],'TPI. Pa.'!$B$3:$C$52,2,0)</f>
        <v>2</v>
      </c>
      <c r="Q187" s="19">
        <f>VLOOKUP(Table3[[#This Row],[Additional protection]],'TPI. Pa.'!$B$3:$C$52,2,0)</f>
        <v>5</v>
      </c>
      <c r="R187" s="19">
        <f>VLOOKUP(Table3[[#This Row],[Failure due to TPI]],'TPI. Pa.'!$B$3:$C$52,2,0)</f>
        <v>4</v>
      </c>
      <c r="S187" s="19">
        <f>VLOOKUP(Table3[[#This Row],[Activity Level]],'TPI. Pa.'!$B$3:$C$52,2,0)</f>
        <v>10</v>
      </c>
      <c r="T187" s="19">
        <f>VLOOKUP(Table3[[#This Row],[Patrol frequency]],'TPI. Pa.'!$B$3:$C$52,2,0)</f>
        <v>1</v>
      </c>
      <c r="U187" s="19">
        <f>VLOOKUP(Table3[[#This Row],[Proxutil]],'TPI. Pa.'!$B$3:$C$52,2,0)</f>
        <v>5</v>
      </c>
      <c r="V187" s="19">
        <f>VLOOKUP(Table3[[#This Row],[ROW]],'TPI. Pa.'!$B$3:$C$52,2,0)</f>
        <v>10</v>
      </c>
      <c r="W187" s="19">
        <f>VLOOKUP(Table3[[#This Row],[ROW condition]],'TPI. Pa.'!$B$3:$C$52,2,0)</f>
        <v>3</v>
      </c>
      <c r="X18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8" spans="1:24" hidden="1">
      <c r="A188" s="80">
        <v>3</v>
      </c>
      <c r="B188" s="81">
        <v>330600002</v>
      </c>
      <c r="C188" s="82" t="s">
        <v>755</v>
      </c>
      <c r="D188" s="19"/>
      <c r="E188" s="19"/>
      <c r="F188" s="19"/>
      <c r="G188" s="19" t="s">
        <v>179</v>
      </c>
      <c r="H188" s="19" t="s">
        <v>185</v>
      </c>
      <c r="I188" s="19" t="s">
        <v>168</v>
      </c>
      <c r="J188" s="19" t="s">
        <v>183</v>
      </c>
      <c r="K188" s="19" t="s">
        <v>26</v>
      </c>
      <c r="L188" s="19" t="s">
        <v>217</v>
      </c>
      <c r="M188" s="19" t="s">
        <v>222</v>
      </c>
      <c r="N188" s="19" t="s">
        <v>228</v>
      </c>
      <c r="O188" s="38"/>
      <c r="P188" s="102">
        <f>VLOOKUP(Table3[[#This Row],[Depth of cover]],'TPI. Pa.'!$B$3:$C$52,2,0)</f>
        <v>2</v>
      </c>
      <c r="Q188" s="19">
        <f>VLOOKUP(Table3[[#This Row],[Additional protection]],'TPI. Pa.'!$B$3:$C$52,2,0)</f>
        <v>5</v>
      </c>
      <c r="R188" s="19">
        <f>VLOOKUP(Table3[[#This Row],[Failure due to TPI]],'TPI. Pa.'!$B$3:$C$52,2,0)</f>
        <v>4</v>
      </c>
      <c r="S188" s="19">
        <f>VLOOKUP(Table3[[#This Row],[Activity Level]],'TPI. Pa.'!$B$3:$C$52,2,0)</f>
        <v>10</v>
      </c>
      <c r="T188" s="19">
        <f>VLOOKUP(Table3[[#This Row],[Patrol frequency]],'TPI. Pa.'!$B$3:$C$52,2,0)</f>
        <v>1</v>
      </c>
      <c r="U188" s="19">
        <f>VLOOKUP(Table3[[#This Row],[Proxutil]],'TPI. Pa.'!$B$3:$C$52,2,0)</f>
        <v>5</v>
      </c>
      <c r="V188" s="19">
        <f>VLOOKUP(Table3[[#This Row],[ROW]],'TPI. Pa.'!$B$3:$C$52,2,0)</f>
        <v>10</v>
      </c>
      <c r="W188" s="19">
        <f>VLOOKUP(Table3[[#This Row],[ROW condition]],'TPI. Pa.'!$B$3:$C$52,2,0)</f>
        <v>3</v>
      </c>
      <c r="X18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89" spans="1:24" hidden="1">
      <c r="A189" s="80">
        <v>3</v>
      </c>
      <c r="B189" s="81">
        <v>330600003</v>
      </c>
      <c r="C189" s="82" t="s">
        <v>752</v>
      </c>
      <c r="D189" s="19"/>
      <c r="E189" s="19"/>
      <c r="F189" s="19"/>
      <c r="G189" s="19" t="s">
        <v>179</v>
      </c>
      <c r="H189" s="19" t="s">
        <v>185</v>
      </c>
      <c r="I189" s="19" t="s">
        <v>168</v>
      </c>
      <c r="J189" s="19" t="s">
        <v>183</v>
      </c>
      <c r="K189" s="19" t="s">
        <v>26</v>
      </c>
      <c r="L189" s="19" t="s">
        <v>217</v>
      </c>
      <c r="M189" s="19" t="s">
        <v>222</v>
      </c>
      <c r="N189" s="19" t="s">
        <v>228</v>
      </c>
      <c r="O189" s="38"/>
      <c r="P189" s="102">
        <f>VLOOKUP(Table3[[#This Row],[Depth of cover]],'TPI. Pa.'!$B$3:$C$52,2,0)</f>
        <v>2</v>
      </c>
      <c r="Q189" s="19">
        <f>VLOOKUP(Table3[[#This Row],[Additional protection]],'TPI. Pa.'!$B$3:$C$52,2,0)</f>
        <v>5</v>
      </c>
      <c r="R189" s="19">
        <f>VLOOKUP(Table3[[#This Row],[Failure due to TPI]],'TPI. Pa.'!$B$3:$C$52,2,0)</f>
        <v>4</v>
      </c>
      <c r="S189" s="19">
        <f>VLOOKUP(Table3[[#This Row],[Activity Level]],'TPI. Pa.'!$B$3:$C$52,2,0)</f>
        <v>10</v>
      </c>
      <c r="T189" s="19">
        <f>VLOOKUP(Table3[[#This Row],[Patrol frequency]],'TPI. Pa.'!$B$3:$C$52,2,0)</f>
        <v>1</v>
      </c>
      <c r="U189" s="19">
        <f>VLOOKUP(Table3[[#This Row],[Proxutil]],'TPI. Pa.'!$B$3:$C$52,2,0)</f>
        <v>5</v>
      </c>
      <c r="V189" s="19">
        <f>VLOOKUP(Table3[[#This Row],[ROW]],'TPI. Pa.'!$B$3:$C$52,2,0)</f>
        <v>10</v>
      </c>
      <c r="W189" s="19">
        <f>VLOOKUP(Table3[[#This Row],[ROW condition]],'TPI. Pa.'!$B$3:$C$52,2,0)</f>
        <v>3</v>
      </c>
      <c r="X18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0" spans="1:24" hidden="1">
      <c r="A190" s="84">
        <v>3</v>
      </c>
      <c r="B190" s="81">
        <v>430</v>
      </c>
      <c r="C190" s="82" t="s">
        <v>291</v>
      </c>
      <c r="D190" s="19"/>
      <c r="E190" s="19"/>
      <c r="F190" s="19"/>
      <c r="G190" s="19" t="s">
        <v>179</v>
      </c>
      <c r="H190" s="19" t="s">
        <v>185</v>
      </c>
      <c r="I190" s="19" t="s">
        <v>168</v>
      </c>
      <c r="J190" s="19" t="s">
        <v>189</v>
      </c>
      <c r="K190" s="19" t="s">
        <v>26</v>
      </c>
      <c r="L190" s="19" t="s">
        <v>217</v>
      </c>
      <c r="M190" s="19" t="s">
        <v>222</v>
      </c>
      <c r="N190" s="19" t="s">
        <v>228</v>
      </c>
      <c r="O190" s="38"/>
      <c r="P190" s="102">
        <f>VLOOKUP(Table3[[#This Row],[Depth of cover]],'TPI. Pa.'!$B$3:$C$52,2,0)</f>
        <v>2</v>
      </c>
      <c r="Q190" s="19">
        <f>VLOOKUP(Table3[[#This Row],[Additional protection]],'TPI. Pa.'!$B$3:$C$52,2,0)</f>
        <v>5</v>
      </c>
      <c r="R190" s="19">
        <f>VLOOKUP(Table3[[#This Row],[Failure due to TPI]],'TPI. Pa.'!$B$3:$C$52,2,0)</f>
        <v>4</v>
      </c>
      <c r="S190" s="19">
        <f>VLOOKUP(Table3[[#This Row],[Activity Level]],'TPI. Pa.'!$B$3:$C$52,2,0)</f>
        <v>10</v>
      </c>
      <c r="T190" s="19">
        <f>VLOOKUP(Table3[[#This Row],[Patrol frequency]],'TPI. Pa.'!$B$3:$C$52,2,0)</f>
        <v>1</v>
      </c>
      <c r="U190" s="19">
        <f>VLOOKUP(Table3[[#This Row],[Proxutil]],'TPI. Pa.'!$B$3:$C$52,2,0)</f>
        <v>5</v>
      </c>
      <c r="V190" s="19">
        <f>VLOOKUP(Table3[[#This Row],[ROW]],'TPI. Pa.'!$B$3:$C$52,2,0)</f>
        <v>10</v>
      </c>
      <c r="W190" s="19">
        <f>VLOOKUP(Table3[[#This Row],[ROW condition]],'TPI. Pa.'!$B$3:$C$52,2,0)</f>
        <v>3</v>
      </c>
      <c r="X19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1" spans="1:24" hidden="1">
      <c r="A191" s="84">
        <v>3</v>
      </c>
      <c r="B191" s="81">
        <v>3402</v>
      </c>
      <c r="C191" s="82" t="s">
        <v>292</v>
      </c>
      <c r="D191" s="19"/>
      <c r="E191" s="19"/>
      <c r="F191" s="19"/>
      <c r="G191" s="19" t="s">
        <v>179</v>
      </c>
      <c r="H191" s="19" t="s">
        <v>185</v>
      </c>
      <c r="I191" s="19" t="s">
        <v>168</v>
      </c>
      <c r="J191" s="167" t="s">
        <v>191</v>
      </c>
      <c r="K191" s="19" t="s">
        <v>26</v>
      </c>
      <c r="L191" s="19" t="s">
        <v>217</v>
      </c>
      <c r="M191" s="19" t="s">
        <v>222</v>
      </c>
      <c r="N191" s="19" t="s">
        <v>228</v>
      </c>
      <c r="O191" s="38"/>
      <c r="P191" s="102">
        <f>VLOOKUP(Table3[[#This Row],[Depth of cover]],'TPI. Pa.'!$B$3:$C$52,2,0)</f>
        <v>2</v>
      </c>
      <c r="Q191" s="19">
        <f>VLOOKUP(Table3[[#This Row],[Additional protection]],'TPI. Pa.'!$B$3:$C$52,2,0)</f>
        <v>5</v>
      </c>
      <c r="R191" s="19">
        <f>VLOOKUP(Table3[[#This Row],[Failure due to TPI]],'TPI. Pa.'!$B$3:$C$52,2,0)</f>
        <v>4</v>
      </c>
      <c r="S191" s="19">
        <f>VLOOKUP(Table3[[#This Row],[Activity Level]],'TPI. Pa.'!$B$3:$C$52,2,0)</f>
        <v>3</v>
      </c>
      <c r="T191" s="19">
        <f>VLOOKUP(Table3[[#This Row],[Patrol frequency]],'TPI. Pa.'!$B$3:$C$52,2,0)</f>
        <v>1</v>
      </c>
      <c r="U191" s="19">
        <f>VLOOKUP(Table3[[#This Row],[Proxutil]],'TPI. Pa.'!$B$3:$C$52,2,0)</f>
        <v>5</v>
      </c>
      <c r="V191" s="19">
        <f>VLOOKUP(Table3[[#This Row],[ROW]],'TPI. Pa.'!$B$3:$C$52,2,0)</f>
        <v>10</v>
      </c>
      <c r="W191" s="19">
        <f>VLOOKUP(Table3[[#This Row],[ROW condition]],'TPI. Pa.'!$B$3:$C$52,2,0)</f>
        <v>3</v>
      </c>
      <c r="X19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92" spans="1:24" hidden="1">
      <c r="A192" s="80">
        <v>3</v>
      </c>
      <c r="B192" s="81">
        <v>340300002</v>
      </c>
      <c r="C192" s="82" t="s">
        <v>746</v>
      </c>
      <c r="D192" s="19"/>
      <c r="E192" s="19"/>
      <c r="F192" s="19"/>
      <c r="G192" s="19" t="s">
        <v>179</v>
      </c>
      <c r="H192" s="19" t="s">
        <v>185</v>
      </c>
      <c r="I192" s="19" t="s">
        <v>168</v>
      </c>
      <c r="J192" s="19" t="s">
        <v>183</v>
      </c>
      <c r="K192" s="19" t="s">
        <v>26</v>
      </c>
      <c r="L192" s="19" t="s">
        <v>217</v>
      </c>
      <c r="M192" s="19" t="s">
        <v>222</v>
      </c>
      <c r="N192" s="19" t="s">
        <v>228</v>
      </c>
      <c r="O192" s="38"/>
      <c r="P192" s="102">
        <f>VLOOKUP(Table3[[#This Row],[Depth of cover]],'TPI. Pa.'!$B$3:$C$52,2,0)</f>
        <v>2</v>
      </c>
      <c r="Q192" s="19">
        <f>VLOOKUP(Table3[[#This Row],[Additional protection]],'TPI. Pa.'!$B$3:$C$52,2,0)</f>
        <v>5</v>
      </c>
      <c r="R192" s="19">
        <f>VLOOKUP(Table3[[#This Row],[Failure due to TPI]],'TPI. Pa.'!$B$3:$C$52,2,0)</f>
        <v>4</v>
      </c>
      <c r="S192" s="19">
        <f>VLOOKUP(Table3[[#This Row],[Activity Level]],'TPI. Pa.'!$B$3:$C$52,2,0)</f>
        <v>10</v>
      </c>
      <c r="T192" s="19">
        <f>VLOOKUP(Table3[[#This Row],[Patrol frequency]],'TPI. Pa.'!$B$3:$C$52,2,0)</f>
        <v>1</v>
      </c>
      <c r="U192" s="19">
        <f>VLOOKUP(Table3[[#This Row],[Proxutil]],'TPI. Pa.'!$B$3:$C$52,2,0)</f>
        <v>5</v>
      </c>
      <c r="V192" s="19">
        <f>VLOOKUP(Table3[[#This Row],[ROW]],'TPI. Pa.'!$B$3:$C$52,2,0)</f>
        <v>10</v>
      </c>
      <c r="W192" s="19">
        <f>VLOOKUP(Table3[[#This Row],[ROW condition]],'TPI. Pa.'!$B$3:$C$52,2,0)</f>
        <v>3</v>
      </c>
      <c r="X19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3" spans="1:24" hidden="1">
      <c r="A193" s="84">
        <v>3</v>
      </c>
      <c r="B193" s="81">
        <v>4014</v>
      </c>
      <c r="C193" s="82" t="s">
        <v>293</v>
      </c>
      <c r="D193" s="19"/>
      <c r="E193" s="19"/>
      <c r="F193" s="19"/>
      <c r="G193" s="19" t="s">
        <v>179</v>
      </c>
      <c r="H193" s="19" t="s">
        <v>185</v>
      </c>
      <c r="I193" s="19" t="s">
        <v>168</v>
      </c>
      <c r="J193" s="167" t="s">
        <v>183</v>
      </c>
      <c r="K193" s="19" t="s">
        <v>26</v>
      </c>
      <c r="L193" s="19" t="s">
        <v>217</v>
      </c>
      <c r="M193" s="19" t="s">
        <v>222</v>
      </c>
      <c r="N193" s="19" t="s">
        <v>228</v>
      </c>
      <c r="O193" s="38"/>
      <c r="P193" s="102">
        <f>VLOOKUP(Table3[[#This Row],[Depth of cover]],'TPI. Pa.'!$B$3:$C$52,2,0)</f>
        <v>2</v>
      </c>
      <c r="Q193" s="19">
        <f>VLOOKUP(Table3[[#This Row],[Additional protection]],'TPI. Pa.'!$B$3:$C$52,2,0)</f>
        <v>5</v>
      </c>
      <c r="R193" s="19">
        <f>VLOOKUP(Table3[[#This Row],[Failure due to TPI]],'TPI. Pa.'!$B$3:$C$52,2,0)</f>
        <v>4</v>
      </c>
      <c r="S193" s="19">
        <f>VLOOKUP(Table3[[#This Row],[Activity Level]],'TPI. Pa.'!$B$3:$C$52,2,0)</f>
        <v>10</v>
      </c>
      <c r="T193" s="19">
        <f>VLOOKUP(Table3[[#This Row],[Patrol frequency]],'TPI. Pa.'!$B$3:$C$52,2,0)</f>
        <v>1</v>
      </c>
      <c r="U193" s="19">
        <f>VLOOKUP(Table3[[#This Row],[Proxutil]],'TPI. Pa.'!$B$3:$C$52,2,0)</f>
        <v>5</v>
      </c>
      <c r="V193" s="19">
        <f>VLOOKUP(Table3[[#This Row],[ROW]],'TPI. Pa.'!$B$3:$C$52,2,0)</f>
        <v>10</v>
      </c>
      <c r="W193" s="19">
        <f>VLOOKUP(Table3[[#This Row],[ROW condition]],'TPI. Pa.'!$B$3:$C$52,2,0)</f>
        <v>3</v>
      </c>
      <c r="X19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4" spans="1:24" hidden="1">
      <c r="A194" s="84">
        <v>3</v>
      </c>
      <c r="B194" s="81">
        <v>40112</v>
      </c>
      <c r="C194" s="82" t="s">
        <v>294</v>
      </c>
      <c r="D194" s="19"/>
      <c r="E194" s="19"/>
      <c r="F194" s="19"/>
      <c r="G194" s="19" t="s">
        <v>179</v>
      </c>
      <c r="H194" s="19" t="s">
        <v>185</v>
      </c>
      <c r="I194" s="19" t="s">
        <v>168</v>
      </c>
      <c r="J194" s="19" t="s">
        <v>183</v>
      </c>
      <c r="K194" s="19" t="s">
        <v>26</v>
      </c>
      <c r="L194" s="19" t="s">
        <v>217</v>
      </c>
      <c r="M194" s="19" t="s">
        <v>222</v>
      </c>
      <c r="N194" s="19" t="s">
        <v>228</v>
      </c>
      <c r="O194" s="38"/>
      <c r="P194" s="102">
        <f>VLOOKUP(Table3[[#This Row],[Depth of cover]],'TPI. Pa.'!$B$3:$C$52,2,0)</f>
        <v>2</v>
      </c>
      <c r="Q194" s="19">
        <f>VLOOKUP(Table3[[#This Row],[Additional protection]],'TPI. Pa.'!$B$3:$C$52,2,0)</f>
        <v>5</v>
      </c>
      <c r="R194" s="19">
        <f>VLOOKUP(Table3[[#This Row],[Failure due to TPI]],'TPI. Pa.'!$B$3:$C$52,2,0)</f>
        <v>4</v>
      </c>
      <c r="S194" s="19">
        <f>VLOOKUP(Table3[[#This Row],[Activity Level]],'TPI. Pa.'!$B$3:$C$52,2,0)</f>
        <v>10</v>
      </c>
      <c r="T194" s="19">
        <f>VLOOKUP(Table3[[#This Row],[Patrol frequency]],'TPI. Pa.'!$B$3:$C$52,2,0)</f>
        <v>1</v>
      </c>
      <c r="U194" s="19">
        <f>VLOOKUP(Table3[[#This Row],[Proxutil]],'TPI. Pa.'!$B$3:$C$52,2,0)</f>
        <v>5</v>
      </c>
      <c r="V194" s="19">
        <f>VLOOKUP(Table3[[#This Row],[ROW]],'TPI. Pa.'!$B$3:$C$52,2,0)</f>
        <v>10</v>
      </c>
      <c r="W194" s="19">
        <f>VLOOKUP(Table3[[#This Row],[ROW condition]],'TPI. Pa.'!$B$3:$C$52,2,0)</f>
        <v>3</v>
      </c>
      <c r="X19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5" spans="1:24" hidden="1">
      <c r="A195" s="84">
        <v>3</v>
      </c>
      <c r="B195" s="81">
        <v>40321</v>
      </c>
      <c r="C195" s="82" t="s">
        <v>295</v>
      </c>
      <c r="D195" s="19"/>
      <c r="E195" s="19"/>
      <c r="F195" s="19"/>
      <c r="G195" s="19" t="s">
        <v>179</v>
      </c>
      <c r="H195" s="19" t="s">
        <v>185</v>
      </c>
      <c r="I195" s="19" t="s">
        <v>168</v>
      </c>
      <c r="J195" s="19" t="s">
        <v>183</v>
      </c>
      <c r="K195" s="19" t="s">
        <v>26</v>
      </c>
      <c r="L195" s="19" t="s">
        <v>217</v>
      </c>
      <c r="M195" s="19" t="s">
        <v>222</v>
      </c>
      <c r="N195" s="19" t="s">
        <v>228</v>
      </c>
      <c r="O195" s="38"/>
      <c r="P195" s="102">
        <f>VLOOKUP(Table3[[#This Row],[Depth of cover]],'TPI. Pa.'!$B$3:$C$52,2,0)</f>
        <v>2</v>
      </c>
      <c r="Q195" s="19">
        <f>VLOOKUP(Table3[[#This Row],[Additional protection]],'TPI. Pa.'!$B$3:$C$52,2,0)</f>
        <v>5</v>
      </c>
      <c r="R195" s="19">
        <f>VLOOKUP(Table3[[#This Row],[Failure due to TPI]],'TPI. Pa.'!$B$3:$C$52,2,0)</f>
        <v>4</v>
      </c>
      <c r="S195" s="19">
        <f>VLOOKUP(Table3[[#This Row],[Activity Level]],'TPI. Pa.'!$B$3:$C$52,2,0)</f>
        <v>10</v>
      </c>
      <c r="T195" s="19">
        <f>VLOOKUP(Table3[[#This Row],[Patrol frequency]],'TPI. Pa.'!$B$3:$C$52,2,0)</f>
        <v>1</v>
      </c>
      <c r="U195" s="19">
        <f>VLOOKUP(Table3[[#This Row],[Proxutil]],'TPI. Pa.'!$B$3:$C$52,2,0)</f>
        <v>5</v>
      </c>
      <c r="V195" s="19">
        <f>VLOOKUP(Table3[[#This Row],[ROW]],'TPI. Pa.'!$B$3:$C$52,2,0)</f>
        <v>10</v>
      </c>
      <c r="W195" s="19">
        <f>VLOOKUP(Table3[[#This Row],[ROW condition]],'TPI. Pa.'!$B$3:$C$52,2,0)</f>
        <v>3</v>
      </c>
      <c r="X19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6" spans="1:24" ht="25.5" hidden="1">
      <c r="A196" s="84">
        <v>3</v>
      </c>
      <c r="B196" s="81">
        <v>560201</v>
      </c>
      <c r="C196" s="82" t="s">
        <v>296</v>
      </c>
      <c r="D196" s="19"/>
      <c r="E196" s="19"/>
      <c r="F196" s="19"/>
      <c r="G196" s="19" t="s">
        <v>179</v>
      </c>
      <c r="H196" s="19" t="s">
        <v>185</v>
      </c>
      <c r="I196" s="19" t="s">
        <v>168</v>
      </c>
      <c r="J196" s="19" t="s">
        <v>191</v>
      </c>
      <c r="K196" s="19" t="s">
        <v>26</v>
      </c>
      <c r="L196" s="19" t="s">
        <v>217</v>
      </c>
      <c r="M196" s="19" t="s">
        <v>222</v>
      </c>
      <c r="N196" s="19" t="s">
        <v>228</v>
      </c>
      <c r="O196" s="38"/>
      <c r="P196" s="102">
        <f>VLOOKUP(Table3[[#This Row],[Depth of cover]],'TPI. Pa.'!$B$3:$C$52,2,0)</f>
        <v>2</v>
      </c>
      <c r="Q196" s="19">
        <f>VLOOKUP(Table3[[#This Row],[Additional protection]],'TPI. Pa.'!$B$3:$C$52,2,0)</f>
        <v>5</v>
      </c>
      <c r="R196" s="19">
        <f>VLOOKUP(Table3[[#This Row],[Failure due to TPI]],'TPI. Pa.'!$B$3:$C$52,2,0)</f>
        <v>4</v>
      </c>
      <c r="S196" s="19">
        <f>VLOOKUP(Table3[[#This Row],[Activity Level]],'TPI. Pa.'!$B$3:$C$52,2,0)</f>
        <v>3</v>
      </c>
      <c r="T196" s="19">
        <f>VLOOKUP(Table3[[#This Row],[Patrol frequency]],'TPI. Pa.'!$B$3:$C$52,2,0)</f>
        <v>1</v>
      </c>
      <c r="U196" s="19">
        <f>VLOOKUP(Table3[[#This Row],[Proxutil]],'TPI. Pa.'!$B$3:$C$52,2,0)</f>
        <v>5</v>
      </c>
      <c r="V196" s="19">
        <f>VLOOKUP(Table3[[#This Row],[ROW]],'TPI. Pa.'!$B$3:$C$52,2,0)</f>
        <v>10</v>
      </c>
      <c r="W196" s="19">
        <f>VLOOKUP(Table3[[#This Row],[ROW condition]],'TPI. Pa.'!$B$3:$C$52,2,0)</f>
        <v>3</v>
      </c>
      <c r="X19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197" spans="1:24" hidden="1">
      <c r="A197" s="84">
        <v>3</v>
      </c>
      <c r="B197" s="81">
        <v>561201</v>
      </c>
      <c r="C197" s="82" t="s">
        <v>297</v>
      </c>
      <c r="D197" s="19"/>
      <c r="E197" s="19"/>
      <c r="F197" s="19"/>
      <c r="G197" s="19" t="s">
        <v>179</v>
      </c>
      <c r="H197" s="19" t="s">
        <v>185</v>
      </c>
      <c r="I197" s="19" t="s">
        <v>168</v>
      </c>
      <c r="J197" s="19" t="s">
        <v>183</v>
      </c>
      <c r="K197" s="19" t="s">
        <v>26</v>
      </c>
      <c r="L197" s="19" t="s">
        <v>217</v>
      </c>
      <c r="M197" s="19" t="s">
        <v>222</v>
      </c>
      <c r="N197" s="19" t="s">
        <v>228</v>
      </c>
      <c r="O197" s="38"/>
      <c r="P197" s="102">
        <f>VLOOKUP(Table3[[#This Row],[Depth of cover]],'TPI. Pa.'!$B$3:$C$52,2,0)</f>
        <v>2</v>
      </c>
      <c r="Q197" s="19">
        <f>VLOOKUP(Table3[[#This Row],[Additional protection]],'TPI. Pa.'!$B$3:$C$52,2,0)</f>
        <v>5</v>
      </c>
      <c r="R197" s="19">
        <f>VLOOKUP(Table3[[#This Row],[Failure due to TPI]],'TPI. Pa.'!$B$3:$C$52,2,0)</f>
        <v>4</v>
      </c>
      <c r="S197" s="19">
        <f>VLOOKUP(Table3[[#This Row],[Activity Level]],'TPI. Pa.'!$B$3:$C$52,2,0)</f>
        <v>10</v>
      </c>
      <c r="T197" s="19">
        <f>VLOOKUP(Table3[[#This Row],[Patrol frequency]],'TPI. Pa.'!$B$3:$C$52,2,0)</f>
        <v>1</v>
      </c>
      <c r="U197" s="19">
        <f>VLOOKUP(Table3[[#This Row],[Proxutil]],'TPI. Pa.'!$B$3:$C$52,2,0)</f>
        <v>5</v>
      </c>
      <c r="V197" s="19">
        <f>VLOOKUP(Table3[[#This Row],[ROW]],'TPI. Pa.'!$B$3:$C$52,2,0)</f>
        <v>10</v>
      </c>
      <c r="W197" s="19">
        <f>VLOOKUP(Table3[[#This Row],[ROW condition]],'TPI. Pa.'!$B$3:$C$52,2,0)</f>
        <v>3</v>
      </c>
      <c r="X19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8" spans="1:24" hidden="1">
      <c r="A198" s="80">
        <v>3</v>
      </c>
      <c r="B198" s="81">
        <v>6402106</v>
      </c>
      <c r="C198" s="82" t="s">
        <v>763</v>
      </c>
      <c r="D198" s="19"/>
      <c r="E198" s="19"/>
      <c r="F198" s="19"/>
      <c r="G198" s="19" t="s">
        <v>179</v>
      </c>
      <c r="H198" s="19" t="s">
        <v>185</v>
      </c>
      <c r="I198" s="19" t="s">
        <v>168</v>
      </c>
      <c r="J198" s="19" t="s">
        <v>183</v>
      </c>
      <c r="K198" s="19" t="s">
        <v>26</v>
      </c>
      <c r="L198" s="19" t="s">
        <v>217</v>
      </c>
      <c r="M198" s="19" t="s">
        <v>222</v>
      </c>
      <c r="N198" s="19" t="s">
        <v>228</v>
      </c>
      <c r="O198" s="38"/>
      <c r="P198" s="102">
        <f>VLOOKUP(Table3[[#This Row],[Depth of cover]],'TPI. Pa.'!$B$3:$C$52,2,0)</f>
        <v>2</v>
      </c>
      <c r="Q198" s="19">
        <f>VLOOKUP(Table3[[#This Row],[Additional protection]],'TPI. Pa.'!$B$3:$C$52,2,0)</f>
        <v>5</v>
      </c>
      <c r="R198" s="19">
        <f>VLOOKUP(Table3[[#This Row],[Failure due to TPI]],'TPI. Pa.'!$B$3:$C$52,2,0)</f>
        <v>4</v>
      </c>
      <c r="S198" s="19">
        <f>VLOOKUP(Table3[[#This Row],[Activity Level]],'TPI. Pa.'!$B$3:$C$52,2,0)</f>
        <v>10</v>
      </c>
      <c r="T198" s="19">
        <f>VLOOKUP(Table3[[#This Row],[Patrol frequency]],'TPI. Pa.'!$B$3:$C$52,2,0)</f>
        <v>1</v>
      </c>
      <c r="U198" s="19">
        <f>VLOOKUP(Table3[[#This Row],[Proxutil]],'TPI. Pa.'!$B$3:$C$52,2,0)</f>
        <v>5</v>
      </c>
      <c r="V198" s="19">
        <f>VLOOKUP(Table3[[#This Row],[ROW]],'TPI. Pa.'!$B$3:$C$52,2,0)</f>
        <v>10</v>
      </c>
      <c r="W198" s="19">
        <f>VLOOKUP(Table3[[#This Row],[ROW condition]],'TPI. Pa.'!$B$3:$C$52,2,0)</f>
        <v>3</v>
      </c>
      <c r="X19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199" spans="1:24" hidden="1">
      <c r="A199" s="84">
        <v>3</v>
      </c>
      <c r="B199" s="81">
        <v>3402101</v>
      </c>
      <c r="C199" s="82" t="s">
        <v>298</v>
      </c>
      <c r="D199" s="19"/>
      <c r="E199" s="19"/>
      <c r="F199" s="19"/>
      <c r="G199" s="19" t="s">
        <v>179</v>
      </c>
      <c r="H199" s="19" t="s">
        <v>185</v>
      </c>
      <c r="I199" s="19" t="s">
        <v>168</v>
      </c>
      <c r="J199" s="167" t="s">
        <v>183</v>
      </c>
      <c r="K199" s="19" t="s">
        <v>26</v>
      </c>
      <c r="L199" s="19" t="s">
        <v>217</v>
      </c>
      <c r="M199" s="19" t="s">
        <v>222</v>
      </c>
      <c r="N199" s="19" t="s">
        <v>228</v>
      </c>
      <c r="O199" s="38"/>
      <c r="P199" s="102">
        <f>VLOOKUP(Table3[[#This Row],[Depth of cover]],'TPI. Pa.'!$B$3:$C$52,2,0)</f>
        <v>2</v>
      </c>
      <c r="Q199" s="19">
        <f>VLOOKUP(Table3[[#This Row],[Additional protection]],'TPI. Pa.'!$B$3:$C$52,2,0)</f>
        <v>5</v>
      </c>
      <c r="R199" s="19">
        <f>VLOOKUP(Table3[[#This Row],[Failure due to TPI]],'TPI. Pa.'!$B$3:$C$52,2,0)</f>
        <v>4</v>
      </c>
      <c r="S199" s="19">
        <f>VLOOKUP(Table3[[#This Row],[Activity Level]],'TPI. Pa.'!$B$3:$C$52,2,0)</f>
        <v>10</v>
      </c>
      <c r="T199" s="19">
        <f>VLOOKUP(Table3[[#This Row],[Patrol frequency]],'TPI. Pa.'!$B$3:$C$52,2,0)</f>
        <v>1</v>
      </c>
      <c r="U199" s="19">
        <f>VLOOKUP(Table3[[#This Row],[Proxutil]],'TPI. Pa.'!$B$3:$C$52,2,0)</f>
        <v>5</v>
      </c>
      <c r="V199" s="19">
        <f>VLOOKUP(Table3[[#This Row],[ROW]],'TPI. Pa.'!$B$3:$C$52,2,0)</f>
        <v>10</v>
      </c>
      <c r="W199" s="19">
        <f>VLOOKUP(Table3[[#This Row],[ROW condition]],'TPI. Pa.'!$B$3:$C$52,2,0)</f>
        <v>3</v>
      </c>
      <c r="X19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0" spans="1:24" hidden="1">
      <c r="A200" s="84">
        <v>3</v>
      </c>
      <c r="B200" s="81">
        <v>3402102</v>
      </c>
      <c r="C200" s="82" t="s">
        <v>299</v>
      </c>
      <c r="D200" s="19"/>
      <c r="E200" s="19"/>
      <c r="F200" s="19"/>
      <c r="G200" s="19" t="s">
        <v>179</v>
      </c>
      <c r="H200" s="19" t="s">
        <v>185</v>
      </c>
      <c r="I200" s="19" t="s">
        <v>168</v>
      </c>
      <c r="J200" s="19" t="s">
        <v>183</v>
      </c>
      <c r="K200" s="19" t="s">
        <v>26</v>
      </c>
      <c r="L200" s="19" t="s">
        <v>217</v>
      </c>
      <c r="M200" s="19" t="s">
        <v>222</v>
      </c>
      <c r="N200" s="19" t="s">
        <v>228</v>
      </c>
      <c r="O200" s="38"/>
      <c r="P200" s="102">
        <f>VLOOKUP(Table3[[#This Row],[Depth of cover]],'TPI. Pa.'!$B$3:$C$52,2,0)</f>
        <v>2</v>
      </c>
      <c r="Q200" s="19">
        <f>VLOOKUP(Table3[[#This Row],[Additional protection]],'TPI. Pa.'!$B$3:$C$52,2,0)</f>
        <v>5</v>
      </c>
      <c r="R200" s="19">
        <f>VLOOKUP(Table3[[#This Row],[Failure due to TPI]],'TPI. Pa.'!$B$3:$C$52,2,0)</f>
        <v>4</v>
      </c>
      <c r="S200" s="19">
        <f>VLOOKUP(Table3[[#This Row],[Activity Level]],'TPI. Pa.'!$B$3:$C$52,2,0)</f>
        <v>10</v>
      </c>
      <c r="T200" s="19">
        <f>VLOOKUP(Table3[[#This Row],[Patrol frequency]],'TPI. Pa.'!$B$3:$C$52,2,0)</f>
        <v>1</v>
      </c>
      <c r="U200" s="19">
        <f>VLOOKUP(Table3[[#This Row],[Proxutil]],'TPI. Pa.'!$B$3:$C$52,2,0)</f>
        <v>5</v>
      </c>
      <c r="V200" s="19">
        <f>VLOOKUP(Table3[[#This Row],[ROW]],'TPI. Pa.'!$B$3:$C$52,2,0)</f>
        <v>10</v>
      </c>
      <c r="W200" s="19">
        <f>VLOOKUP(Table3[[#This Row],[ROW condition]],'TPI. Pa.'!$B$3:$C$52,2,0)</f>
        <v>3</v>
      </c>
      <c r="X20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1" spans="1:24" hidden="1">
      <c r="A201" s="84">
        <v>3</v>
      </c>
      <c r="B201" s="81">
        <v>3402103</v>
      </c>
      <c r="C201" s="82" t="s">
        <v>300</v>
      </c>
      <c r="D201" s="19"/>
      <c r="E201" s="19"/>
      <c r="F201" s="19"/>
      <c r="G201" s="19" t="s">
        <v>179</v>
      </c>
      <c r="H201" s="19" t="s">
        <v>185</v>
      </c>
      <c r="I201" s="19" t="s">
        <v>168</v>
      </c>
      <c r="J201" s="19" t="s">
        <v>183</v>
      </c>
      <c r="K201" s="19" t="s">
        <v>26</v>
      </c>
      <c r="L201" s="19" t="s">
        <v>217</v>
      </c>
      <c r="M201" s="19" t="s">
        <v>222</v>
      </c>
      <c r="N201" s="19" t="s">
        <v>228</v>
      </c>
      <c r="O201" s="38"/>
      <c r="P201" s="102">
        <f>VLOOKUP(Table3[[#This Row],[Depth of cover]],'TPI. Pa.'!$B$3:$C$52,2,0)</f>
        <v>2</v>
      </c>
      <c r="Q201" s="19">
        <f>VLOOKUP(Table3[[#This Row],[Additional protection]],'TPI. Pa.'!$B$3:$C$52,2,0)</f>
        <v>5</v>
      </c>
      <c r="R201" s="19">
        <f>VLOOKUP(Table3[[#This Row],[Failure due to TPI]],'TPI. Pa.'!$B$3:$C$52,2,0)</f>
        <v>4</v>
      </c>
      <c r="S201" s="19">
        <f>VLOOKUP(Table3[[#This Row],[Activity Level]],'TPI. Pa.'!$B$3:$C$52,2,0)</f>
        <v>10</v>
      </c>
      <c r="T201" s="19">
        <f>VLOOKUP(Table3[[#This Row],[Patrol frequency]],'TPI. Pa.'!$B$3:$C$52,2,0)</f>
        <v>1</v>
      </c>
      <c r="U201" s="19">
        <f>VLOOKUP(Table3[[#This Row],[Proxutil]],'TPI. Pa.'!$B$3:$C$52,2,0)</f>
        <v>5</v>
      </c>
      <c r="V201" s="19">
        <f>VLOOKUP(Table3[[#This Row],[ROW]],'TPI. Pa.'!$B$3:$C$52,2,0)</f>
        <v>10</v>
      </c>
      <c r="W201" s="19">
        <f>VLOOKUP(Table3[[#This Row],[ROW condition]],'TPI. Pa.'!$B$3:$C$52,2,0)</f>
        <v>3</v>
      </c>
      <c r="X20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2" spans="1:24" hidden="1">
      <c r="A202" s="84">
        <v>3</v>
      </c>
      <c r="B202" s="81">
        <v>3402104</v>
      </c>
      <c r="C202" s="82" t="s">
        <v>301</v>
      </c>
      <c r="D202" s="19"/>
      <c r="E202" s="19"/>
      <c r="F202" s="19"/>
      <c r="G202" s="19" t="s">
        <v>179</v>
      </c>
      <c r="H202" s="19" t="s">
        <v>185</v>
      </c>
      <c r="I202" s="19" t="s">
        <v>168</v>
      </c>
      <c r="J202" s="19" t="s">
        <v>183</v>
      </c>
      <c r="K202" s="19" t="s">
        <v>26</v>
      </c>
      <c r="L202" s="19" t="s">
        <v>217</v>
      </c>
      <c r="M202" s="19" t="s">
        <v>222</v>
      </c>
      <c r="N202" s="19" t="s">
        <v>228</v>
      </c>
      <c r="O202" s="38"/>
      <c r="P202" s="102">
        <f>VLOOKUP(Table3[[#This Row],[Depth of cover]],'TPI. Pa.'!$B$3:$C$52,2,0)</f>
        <v>2</v>
      </c>
      <c r="Q202" s="19">
        <f>VLOOKUP(Table3[[#This Row],[Additional protection]],'TPI. Pa.'!$B$3:$C$52,2,0)</f>
        <v>5</v>
      </c>
      <c r="R202" s="19">
        <f>VLOOKUP(Table3[[#This Row],[Failure due to TPI]],'TPI. Pa.'!$B$3:$C$52,2,0)</f>
        <v>4</v>
      </c>
      <c r="S202" s="19">
        <f>VLOOKUP(Table3[[#This Row],[Activity Level]],'TPI. Pa.'!$B$3:$C$52,2,0)</f>
        <v>10</v>
      </c>
      <c r="T202" s="19">
        <f>VLOOKUP(Table3[[#This Row],[Patrol frequency]],'TPI. Pa.'!$B$3:$C$52,2,0)</f>
        <v>1</v>
      </c>
      <c r="U202" s="19">
        <f>VLOOKUP(Table3[[#This Row],[Proxutil]],'TPI. Pa.'!$B$3:$C$52,2,0)</f>
        <v>5</v>
      </c>
      <c r="V202" s="19">
        <f>VLOOKUP(Table3[[#This Row],[ROW]],'TPI. Pa.'!$B$3:$C$52,2,0)</f>
        <v>10</v>
      </c>
      <c r="W202" s="19">
        <f>VLOOKUP(Table3[[#This Row],[ROW condition]],'TPI. Pa.'!$B$3:$C$52,2,0)</f>
        <v>3</v>
      </c>
      <c r="X20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3" spans="1:24" hidden="1">
      <c r="A203" s="84">
        <v>3</v>
      </c>
      <c r="B203" s="81">
        <v>3402105</v>
      </c>
      <c r="C203" s="82" t="s">
        <v>761</v>
      </c>
      <c r="D203" s="19"/>
      <c r="E203" s="19"/>
      <c r="F203" s="19"/>
      <c r="G203" s="19" t="s">
        <v>179</v>
      </c>
      <c r="H203" s="19" t="s">
        <v>185</v>
      </c>
      <c r="I203" s="19" t="s">
        <v>168</v>
      </c>
      <c r="J203" s="19" t="s">
        <v>191</v>
      </c>
      <c r="K203" s="19" t="s">
        <v>26</v>
      </c>
      <c r="L203" s="19" t="s">
        <v>217</v>
      </c>
      <c r="M203" s="19" t="s">
        <v>222</v>
      </c>
      <c r="N203" s="19" t="s">
        <v>228</v>
      </c>
      <c r="O203" s="38"/>
      <c r="P203" s="102">
        <f>VLOOKUP(Table3[[#This Row],[Depth of cover]],'TPI. Pa.'!$B$3:$C$52,2,0)</f>
        <v>2</v>
      </c>
      <c r="Q203" s="19">
        <f>VLOOKUP(Table3[[#This Row],[Additional protection]],'TPI. Pa.'!$B$3:$C$52,2,0)</f>
        <v>5</v>
      </c>
      <c r="R203" s="19">
        <f>VLOOKUP(Table3[[#This Row],[Failure due to TPI]],'TPI. Pa.'!$B$3:$C$52,2,0)</f>
        <v>4</v>
      </c>
      <c r="S203" s="19">
        <f>VLOOKUP(Table3[[#This Row],[Activity Level]],'TPI. Pa.'!$B$3:$C$52,2,0)</f>
        <v>3</v>
      </c>
      <c r="T203" s="19">
        <f>VLOOKUP(Table3[[#This Row],[Patrol frequency]],'TPI. Pa.'!$B$3:$C$52,2,0)</f>
        <v>1</v>
      </c>
      <c r="U203" s="19">
        <f>VLOOKUP(Table3[[#This Row],[Proxutil]],'TPI. Pa.'!$B$3:$C$52,2,0)</f>
        <v>5</v>
      </c>
      <c r="V203" s="19">
        <f>VLOOKUP(Table3[[#This Row],[ROW]],'TPI. Pa.'!$B$3:$C$52,2,0)</f>
        <v>10</v>
      </c>
      <c r="W203" s="19">
        <f>VLOOKUP(Table3[[#This Row],[ROW condition]],'TPI. Pa.'!$B$3:$C$52,2,0)</f>
        <v>3</v>
      </c>
      <c r="X20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04" spans="1:24" hidden="1">
      <c r="A204" s="84">
        <v>3</v>
      </c>
      <c r="B204" s="81">
        <v>3402106</v>
      </c>
      <c r="C204" s="82" t="s">
        <v>302</v>
      </c>
      <c r="D204" s="19"/>
      <c r="E204" s="19"/>
      <c r="F204" s="19"/>
      <c r="G204" s="19" t="s">
        <v>179</v>
      </c>
      <c r="H204" s="19" t="s">
        <v>185</v>
      </c>
      <c r="I204" s="19" t="s">
        <v>168</v>
      </c>
      <c r="J204" s="19" t="s">
        <v>183</v>
      </c>
      <c r="K204" s="19" t="s">
        <v>26</v>
      </c>
      <c r="L204" s="19" t="s">
        <v>217</v>
      </c>
      <c r="M204" s="19" t="s">
        <v>222</v>
      </c>
      <c r="N204" s="19" t="s">
        <v>228</v>
      </c>
      <c r="O204" s="38"/>
      <c r="P204" s="102">
        <f>VLOOKUP(Table3[[#This Row],[Depth of cover]],'TPI. Pa.'!$B$3:$C$52,2,0)</f>
        <v>2</v>
      </c>
      <c r="Q204" s="19">
        <f>VLOOKUP(Table3[[#This Row],[Additional protection]],'TPI. Pa.'!$B$3:$C$52,2,0)</f>
        <v>5</v>
      </c>
      <c r="R204" s="19">
        <f>VLOOKUP(Table3[[#This Row],[Failure due to TPI]],'TPI. Pa.'!$B$3:$C$52,2,0)</f>
        <v>4</v>
      </c>
      <c r="S204" s="19">
        <f>VLOOKUP(Table3[[#This Row],[Activity Level]],'TPI. Pa.'!$B$3:$C$52,2,0)</f>
        <v>10</v>
      </c>
      <c r="T204" s="19">
        <f>VLOOKUP(Table3[[#This Row],[Patrol frequency]],'TPI. Pa.'!$B$3:$C$52,2,0)</f>
        <v>1</v>
      </c>
      <c r="U204" s="19">
        <f>VLOOKUP(Table3[[#This Row],[Proxutil]],'TPI. Pa.'!$B$3:$C$52,2,0)</f>
        <v>5</v>
      </c>
      <c r="V204" s="19">
        <f>VLOOKUP(Table3[[#This Row],[ROW]],'TPI. Pa.'!$B$3:$C$52,2,0)</f>
        <v>10</v>
      </c>
      <c r="W204" s="19">
        <f>VLOOKUP(Table3[[#This Row],[ROW condition]],'TPI. Pa.'!$B$3:$C$52,2,0)</f>
        <v>3</v>
      </c>
      <c r="X20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5" spans="1:24" hidden="1">
      <c r="A205" s="84">
        <v>3</v>
      </c>
      <c r="B205" s="81">
        <v>4032201</v>
      </c>
      <c r="C205" s="82" t="s">
        <v>303</v>
      </c>
      <c r="D205" s="19"/>
      <c r="E205" s="19"/>
      <c r="F205" s="19"/>
      <c r="G205" s="19" t="s">
        <v>179</v>
      </c>
      <c r="H205" s="19" t="s">
        <v>185</v>
      </c>
      <c r="I205" s="19" t="s">
        <v>168</v>
      </c>
      <c r="J205" s="19" t="s">
        <v>183</v>
      </c>
      <c r="K205" s="19" t="s">
        <v>26</v>
      </c>
      <c r="L205" s="19" t="s">
        <v>217</v>
      </c>
      <c r="M205" s="19" t="s">
        <v>222</v>
      </c>
      <c r="N205" s="19" t="s">
        <v>228</v>
      </c>
      <c r="O205" s="38"/>
      <c r="P205" s="102">
        <f>VLOOKUP(Table3[[#This Row],[Depth of cover]],'TPI. Pa.'!$B$3:$C$52,2,0)</f>
        <v>2</v>
      </c>
      <c r="Q205" s="19">
        <f>VLOOKUP(Table3[[#This Row],[Additional protection]],'TPI. Pa.'!$B$3:$C$52,2,0)</f>
        <v>5</v>
      </c>
      <c r="R205" s="19">
        <f>VLOOKUP(Table3[[#This Row],[Failure due to TPI]],'TPI. Pa.'!$B$3:$C$52,2,0)</f>
        <v>4</v>
      </c>
      <c r="S205" s="19">
        <f>VLOOKUP(Table3[[#This Row],[Activity Level]],'TPI. Pa.'!$B$3:$C$52,2,0)</f>
        <v>10</v>
      </c>
      <c r="T205" s="19">
        <f>VLOOKUP(Table3[[#This Row],[Patrol frequency]],'TPI. Pa.'!$B$3:$C$52,2,0)</f>
        <v>1</v>
      </c>
      <c r="U205" s="19">
        <f>VLOOKUP(Table3[[#This Row],[Proxutil]],'TPI. Pa.'!$B$3:$C$52,2,0)</f>
        <v>5</v>
      </c>
      <c r="V205" s="19">
        <f>VLOOKUP(Table3[[#This Row],[ROW]],'TPI. Pa.'!$B$3:$C$52,2,0)</f>
        <v>10</v>
      </c>
      <c r="W205" s="19">
        <f>VLOOKUP(Table3[[#This Row],[ROW condition]],'TPI. Pa.'!$B$3:$C$52,2,0)</f>
        <v>3</v>
      </c>
      <c r="X20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6" spans="1:24" hidden="1">
      <c r="A206" s="80">
        <v>3</v>
      </c>
      <c r="B206" s="81">
        <v>330800104</v>
      </c>
      <c r="C206" s="82" t="s">
        <v>304</v>
      </c>
      <c r="D206" s="19"/>
      <c r="E206" s="19"/>
      <c r="F206" s="19"/>
      <c r="G206" s="19" t="s">
        <v>179</v>
      </c>
      <c r="H206" s="19" t="s">
        <v>185</v>
      </c>
      <c r="I206" s="19" t="s">
        <v>168</v>
      </c>
      <c r="J206" s="19" t="s">
        <v>183</v>
      </c>
      <c r="K206" s="19" t="s">
        <v>26</v>
      </c>
      <c r="L206" s="19" t="s">
        <v>217</v>
      </c>
      <c r="M206" s="19" t="s">
        <v>222</v>
      </c>
      <c r="N206" s="19" t="s">
        <v>228</v>
      </c>
      <c r="O206" s="38"/>
      <c r="P206" s="102">
        <f>VLOOKUP(Table3[[#This Row],[Depth of cover]],'TPI. Pa.'!$B$3:$C$52,2,0)</f>
        <v>2</v>
      </c>
      <c r="Q206" s="19">
        <f>VLOOKUP(Table3[[#This Row],[Additional protection]],'TPI. Pa.'!$B$3:$C$52,2,0)</f>
        <v>5</v>
      </c>
      <c r="R206" s="19">
        <f>VLOOKUP(Table3[[#This Row],[Failure due to TPI]],'TPI. Pa.'!$B$3:$C$52,2,0)</f>
        <v>4</v>
      </c>
      <c r="S206" s="19">
        <f>VLOOKUP(Table3[[#This Row],[Activity Level]],'TPI. Pa.'!$B$3:$C$52,2,0)</f>
        <v>10</v>
      </c>
      <c r="T206" s="19">
        <f>VLOOKUP(Table3[[#This Row],[Patrol frequency]],'TPI. Pa.'!$B$3:$C$52,2,0)</f>
        <v>1</v>
      </c>
      <c r="U206" s="19">
        <f>VLOOKUP(Table3[[#This Row],[Proxutil]],'TPI. Pa.'!$B$3:$C$52,2,0)</f>
        <v>5</v>
      </c>
      <c r="V206" s="19">
        <f>VLOOKUP(Table3[[#This Row],[ROW]],'TPI. Pa.'!$B$3:$C$52,2,0)</f>
        <v>10</v>
      </c>
      <c r="W206" s="19">
        <f>VLOOKUP(Table3[[#This Row],[ROW condition]],'TPI. Pa.'!$B$3:$C$52,2,0)</f>
        <v>3</v>
      </c>
      <c r="X20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7" spans="1:24" hidden="1">
      <c r="A207" s="80">
        <v>3</v>
      </c>
      <c r="B207" s="81">
        <v>33081004</v>
      </c>
      <c r="C207" s="82" t="s">
        <v>304</v>
      </c>
      <c r="D207" s="19"/>
      <c r="E207" s="19"/>
      <c r="F207" s="19"/>
      <c r="G207" s="19" t="s">
        <v>179</v>
      </c>
      <c r="H207" s="19" t="s">
        <v>185</v>
      </c>
      <c r="I207" s="19" t="s">
        <v>168</v>
      </c>
      <c r="J207" s="19" t="s">
        <v>183</v>
      </c>
      <c r="K207" s="19" t="s">
        <v>26</v>
      </c>
      <c r="L207" s="19" t="s">
        <v>217</v>
      </c>
      <c r="M207" s="19" t="s">
        <v>222</v>
      </c>
      <c r="N207" s="19" t="s">
        <v>228</v>
      </c>
      <c r="O207" s="38"/>
      <c r="P207" s="102">
        <f>VLOOKUP(Table3[[#This Row],[Depth of cover]],'TPI. Pa.'!$B$3:$C$52,2,0)</f>
        <v>2</v>
      </c>
      <c r="Q207" s="19">
        <f>VLOOKUP(Table3[[#This Row],[Additional protection]],'TPI. Pa.'!$B$3:$C$52,2,0)</f>
        <v>5</v>
      </c>
      <c r="R207" s="19">
        <f>VLOOKUP(Table3[[#This Row],[Failure due to TPI]],'TPI. Pa.'!$B$3:$C$52,2,0)</f>
        <v>4</v>
      </c>
      <c r="S207" s="19">
        <f>VLOOKUP(Table3[[#This Row],[Activity Level]],'TPI. Pa.'!$B$3:$C$52,2,0)</f>
        <v>10</v>
      </c>
      <c r="T207" s="19">
        <f>VLOOKUP(Table3[[#This Row],[Patrol frequency]],'TPI. Pa.'!$B$3:$C$52,2,0)</f>
        <v>1</v>
      </c>
      <c r="U207" s="19">
        <f>VLOOKUP(Table3[[#This Row],[Proxutil]],'TPI. Pa.'!$B$3:$C$52,2,0)</f>
        <v>5</v>
      </c>
      <c r="V207" s="19">
        <f>VLOOKUP(Table3[[#This Row],[ROW]],'TPI. Pa.'!$B$3:$C$52,2,0)</f>
        <v>10</v>
      </c>
      <c r="W207" s="19">
        <f>VLOOKUP(Table3[[#This Row],[ROW condition]],'TPI. Pa.'!$B$3:$C$52,2,0)</f>
        <v>3</v>
      </c>
      <c r="X20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8" spans="1:24" hidden="1">
      <c r="A208" s="84">
        <v>3</v>
      </c>
      <c r="B208" s="81">
        <v>33083010</v>
      </c>
      <c r="C208" s="82" t="s">
        <v>305</v>
      </c>
      <c r="D208" s="19"/>
      <c r="E208" s="19"/>
      <c r="F208" s="19"/>
      <c r="G208" s="19" t="s">
        <v>179</v>
      </c>
      <c r="H208" s="19" t="s">
        <v>185</v>
      </c>
      <c r="I208" s="19" t="s">
        <v>168</v>
      </c>
      <c r="J208" s="19" t="s">
        <v>183</v>
      </c>
      <c r="K208" s="19" t="s">
        <v>26</v>
      </c>
      <c r="L208" s="19" t="s">
        <v>217</v>
      </c>
      <c r="M208" s="19" t="s">
        <v>222</v>
      </c>
      <c r="N208" s="19" t="s">
        <v>228</v>
      </c>
      <c r="O208" s="38"/>
      <c r="P208" s="102">
        <f>VLOOKUP(Table3[[#This Row],[Depth of cover]],'TPI. Pa.'!$B$3:$C$52,2,0)</f>
        <v>2</v>
      </c>
      <c r="Q208" s="19">
        <f>VLOOKUP(Table3[[#This Row],[Additional protection]],'TPI. Pa.'!$B$3:$C$52,2,0)</f>
        <v>5</v>
      </c>
      <c r="R208" s="19">
        <f>VLOOKUP(Table3[[#This Row],[Failure due to TPI]],'TPI. Pa.'!$B$3:$C$52,2,0)</f>
        <v>4</v>
      </c>
      <c r="S208" s="19">
        <f>VLOOKUP(Table3[[#This Row],[Activity Level]],'TPI. Pa.'!$B$3:$C$52,2,0)</f>
        <v>10</v>
      </c>
      <c r="T208" s="19">
        <f>VLOOKUP(Table3[[#This Row],[Patrol frequency]],'TPI. Pa.'!$B$3:$C$52,2,0)</f>
        <v>1</v>
      </c>
      <c r="U208" s="19">
        <f>VLOOKUP(Table3[[#This Row],[Proxutil]],'TPI. Pa.'!$B$3:$C$52,2,0)</f>
        <v>5</v>
      </c>
      <c r="V208" s="19">
        <f>VLOOKUP(Table3[[#This Row],[ROW]],'TPI. Pa.'!$B$3:$C$52,2,0)</f>
        <v>10</v>
      </c>
      <c r="W208" s="19">
        <f>VLOOKUP(Table3[[#This Row],[ROW condition]],'TPI. Pa.'!$B$3:$C$52,2,0)</f>
        <v>3</v>
      </c>
      <c r="X20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09" spans="1:24" hidden="1">
      <c r="A209" s="84">
        <v>3</v>
      </c>
      <c r="B209" s="81">
        <v>56010101</v>
      </c>
      <c r="C209" s="82" t="s">
        <v>306</v>
      </c>
      <c r="D209" s="19"/>
      <c r="E209" s="19"/>
      <c r="F209" s="19"/>
      <c r="G209" s="19" t="s">
        <v>179</v>
      </c>
      <c r="H209" s="19" t="s">
        <v>185</v>
      </c>
      <c r="I209" s="19" t="s">
        <v>168</v>
      </c>
      <c r="J209" s="19" t="s">
        <v>183</v>
      </c>
      <c r="K209" s="19" t="s">
        <v>26</v>
      </c>
      <c r="L209" s="19" t="s">
        <v>217</v>
      </c>
      <c r="M209" s="19" t="s">
        <v>222</v>
      </c>
      <c r="N209" s="19" t="s">
        <v>228</v>
      </c>
      <c r="O209" s="38"/>
      <c r="P209" s="102">
        <f>VLOOKUP(Table3[[#This Row],[Depth of cover]],'TPI. Pa.'!$B$3:$C$52,2,0)</f>
        <v>2</v>
      </c>
      <c r="Q209" s="19">
        <f>VLOOKUP(Table3[[#This Row],[Additional protection]],'TPI. Pa.'!$B$3:$C$52,2,0)</f>
        <v>5</v>
      </c>
      <c r="R209" s="19">
        <f>VLOOKUP(Table3[[#This Row],[Failure due to TPI]],'TPI. Pa.'!$B$3:$C$52,2,0)</f>
        <v>4</v>
      </c>
      <c r="S209" s="19">
        <f>VLOOKUP(Table3[[#This Row],[Activity Level]],'TPI. Pa.'!$B$3:$C$52,2,0)</f>
        <v>10</v>
      </c>
      <c r="T209" s="19">
        <f>VLOOKUP(Table3[[#This Row],[Patrol frequency]],'TPI. Pa.'!$B$3:$C$52,2,0)</f>
        <v>1</v>
      </c>
      <c r="U209" s="19">
        <f>VLOOKUP(Table3[[#This Row],[Proxutil]],'TPI. Pa.'!$B$3:$C$52,2,0)</f>
        <v>5</v>
      </c>
      <c r="V209" s="19">
        <f>VLOOKUP(Table3[[#This Row],[ROW]],'TPI. Pa.'!$B$3:$C$52,2,0)</f>
        <v>10</v>
      </c>
      <c r="W209" s="19">
        <f>VLOOKUP(Table3[[#This Row],[ROW condition]],'TPI. Pa.'!$B$3:$C$52,2,0)</f>
        <v>3</v>
      </c>
      <c r="X20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0" spans="1:24" hidden="1">
      <c r="A210" s="84">
        <v>3</v>
      </c>
      <c r="B210" s="81">
        <v>56010102</v>
      </c>
      <c r="C210" s="82" t="s">
        <v>307</v>
      </c>
      <c r="D210" s="19"/>
      <c r="E210" s="19"/>
      <c r="F210" s="19"/>
      <c r="G210" s="19" t="s">
        <v>179</v>
      </c>
      <c r="H210" s="19" t="s">
        <v>185</v>
      </c>
      <c r="I210" s="19" t="s">
        <v>168</v>
      </c>
      <c r="J210" s="19" t="s">
        <v>183</v>
      </c>
      <c r="K210" s="19" t="s">
        <v>26</v>
      </c>
      <c r="L210" s="19" t="s">
        <v>217</v>
      </c>
      <c r="M210" s="19" t="s">
        <v>222</v>
      </c>
      <c r="N210" s="19" t="s">
        <v>228</v>
      </c>
      <c r="O210" s="38"/>
      <c r="P210" s="102">
        <f>VLOOKUP(Table3[[#This Row],[Depth of cover]],'TPI. Pa.'!$B$3:$C$52,2,0)</f>
        <v>2</v>
      </c>
      <c r="Q210" s="19">
        <f>VLOOKUP(Table3[[#This Row],[Additional protection]],'TPI. Pa.'!$B$3:$C$52,2,0)</f>
        <v>5</v>
      </c>
      <c r="R210" s="19">
        <f>VLOOKUP(Table3[[#This Row],[Failure due to TPI]],'TPI. Pa.'!$B$3:$C$52,2,0)</f>
        <v>4</v>
      </c>
      <c r="S210" s="19">
        <f>VLOOKUP(Table3[[#This Row],[Activity Level]],'TPI. Pa.'!$B$3:$C$52,2,0)</f>
        <v>10</v>
      </c>
      <c r="T210" s="19">
        <f>VLOOKUP(Table3[[#This Row],[Patrol frequency]],'TPI. Pa.'!$B$3:$C$52,2,0)</f>
        <v>1</v>
      </c>
      <c r="U210" s="19">
        <f>VLOOKUP(Table3[[#This Row],[Proxutil]],'TPI. Pa.'!$B$3:$C$52,2,0)</f>
        <v>5</v>
      </c>
      <c r="V210" s="19">
        <f>VLOOKUP(Table3[[#This Row],[ROW]],'TPI. Pa.'!$B$3:$C$52,2,0)</f>
        <v>10</v>
      </c>
      <c r="W210" s="19">
        <f>VLOOKUP(Table3[[#This Row],[ROW condition]],'TPI. Pa.'!$B$3:$C$52,2,0)</f>
        <v>3</v>
      </c>
      <c r="X21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1" spans="1:24" hidden="1">
      <c r="A211" s="84">
        <v>3</v>
      </c>
      <c r="B211" s="81">
        <v>56010103</v>
      </c>
      <c r="C211" s="82" t="s">
        <v>308</v>
      </c>
      <c r="D211" s="19"/>
      <c r="E211" s="19"/>
      <c r="F211" s="19"/>
      <c r="G211" s="19" t="s">
        <v>179</v>
      </c>
      <c r="H211" s="19" t="s">
        <v>185</v>
      </c>
      <c r="I211" s="19" t="s">
        <v>168</v>
      </c>
      <c r="J211" s="19" t="s">
        <v>191</v>
      </c>
      <c r="K211" s="19" t="s">
        <v>26</v>
      </c>
      <c r="L211" s="19" t="s">
        <v>217</v>
      </c>
      <c r="M211" s="19" t="s">
        <v>222</v>
      </c>
      <c r="N211" s="19" t="s">
        <v>228</v>
      </c>
      <c r="O211" s="38"/>
      <c r="P211" s="102">
        <f>VLOOKUP(Table3[[#This Row],[Depth of cover]],'TPI. Pa.'!$B$3:$C$52,2,0)</f>
        <v>2</v>
      </c>
      <c r="Q211" s="19">
        <f>VLOOKUP(Table3[[#This Row],[Additional protection]],'TPI. Pa.'!$B$3:$C$52,2,0)</f>
        <v>5</v>
      </c>
      <c r="R211" s="19">
        <f>VLOOKUP(Table3[[#This Row],[Failure due to TPI]],'TPI. Pa.'!$B$3:$C$52,2,0)</f>
        <v>4</v>
      </c>
      <c r="S211" s="19">
        <f>VLOOKUP(Table3[[#This Row],[Activity Level]],'TPI. Pa.'!$B$3:$C$52,2,0)</f>
        <v>3</v>
      </c>
      <c r="T211" s="19">
        <f>VLOOKUP(Table3[[#This Row],[Patrol frequency]],'TPI. Pa.'!$B$3:$C$52,2,0)</f>
        <v>1</v>
      </c>
      <c r="U211" s="19">
        <f>VLOOKUP(Table3[[#This Row],[Proxutil]],'TPI. Pa.'!$B$3:$C$52,2,0)</f>
        <v>5</v>
      </c>
      <c r="V211" s="19">
        <f>VLOOKUP(Table3[[#This Row],[ROW]],'TPI. Pa.'!$B$3:$C$52,2,0)</f>
        <v>10</v>
      </c>
      <c r="W211" s="19">
        <f>VLOOKUP(Table3[[#This Row],[ROW condition]],'TPI. Pa.'!$B$3:$C$52,2,0)</f>
        <v>3</v>
      </c>
      <c r="X21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12" spans="1:24" hidden="1">
      <c r="A212" s="84">
        <v>3</v>
      </c>
      <c r="B212" s="81">
        <v>330820005</v>
      </c>
      <c r="C212" s="82" t="s">
        <v>309</v>
      </c>
      <c r="D212" s="19"/>
      <c r="E212" s="19"/>
      <c r="F212" s="19"/>
      <c r="G212" s="19" t="s">
        <v>179</v>
      </c>
      <c r="H212" s="19" t="s">
        <v>185</v>
      </c>
      <c r="I212" s="19" t="s">
        <v>168</v>
      </c>
      <c r="J212" s="19" t="s">
        <v>183</v>
      </c>
      <c r="K212" s="19" t="s">
        <v>26</v>
      </c>
      <c r="L212" s="19" t="s">
        <v>217</v>
      </c>
      <c r="M212" s="19" t="s">
        <v>222</v>
      </c>
      <c r="N212" s="19" t="s">
        <v>228</v>
      </c>
      <c r="O212" s="38"/>
      <c r="P212" s="102">
        <f>VLOOKUP(Table3[[#This Row],[Depth of cover]],'TPI. Pa.'!$B$3:$C$52,2,0)</f>
        <v>2</v>
      </c>
      <c r="Q212" s="19">
        <f>VLOOKUP(Table3[[#This Row],[Additional protection]],'TPI. Pa.'!$B$3:$C$52,2,0)</f>
        <v>5</v>
      </c>
      <c r="R212" s="19">
        <f>VLOOKUP(Table3[[#This Row],[Failure due to TPI]],'TPI. Pa.'!$B$3:$C$52,2,0)</f>
        <v>4</v>
      </c>
      <c r="S212" s="19">
        <f>VLOOKUP(Table3[[#This Row],[Activity Level]],'TPI. Pa.'!$B$3:$C$52,2,0)</f>
        <v>10</v>
      </c>
      <c r="T212" s="19">
        <f>VLOOKUP(Table3[[#This Row],[Patrol frequency]],'TPI. Pa.'!$B$3:$C$52,2,0)</f>
        <v>1</v>
      </c>
      <c r="U212" s="19">
        <f>VLOOKUP(Table3[[#This Row],[Proxutil]],'TPI. Pa.'!$B$3:$C$52,2,0)</f>
        <v>5</v>
      </c>
      <c r="V212" s="19">
        <f>VLOOKUP(Table3[[#This Row],[ROW]],'TPI. Pa.'!$B$3:$C$52,2,0)</f>
        <v>10</v>
      </c>
      <c r="W212" s="19">
        <f>VLOOKUP(Table3[[#This Row],[ROW condition]],'TPI. Pa.'!$B$3:$C$52,2,0)</f>
        <v>3</v>
      </c>
      <c r="X21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3" spans="1:24" hidden="1">
      <c r="A213" s="80">
        <v>3</v>
      </c>
      <c r="B213" s="81">
        <v>330900001</v>
      </c>
      <c r="C213" s="82" t="s">
        <v>767</v>
      </c>
      <c r="D213" s="19"/>
      <c r="E213" s="19"/>
      <c r="F213" s="19"/>
      <c r="G213" s="19" t="s">
        <v>179</v>
      </c>
      <c r="H213" s="19" t="s">
        <v>185</v>
      </c>
      <c r="I213" s="19" t="s">
        <v>168</v>
      </c>
      <c r="J213" s="19" t="s">
        <v>183</v>
      </c>
      <c r="K213" s="19" t="s">
        <v>26</v>
      </c>
      <c r="L213" s="19" t="s">
        <v>217</v>
      </c>
      <c r="M213" s="19" t="s">
        <v>222</v>
      </c>
      <c r="N213" s="19" t="s">
        <v>228</v>
      </c>
      <c r="O213" s="38"/>
      <c r="P213" s="102">
        <f>VLOOKUP(Table3[[#This Row],[Depth of cover]],'TPI. Pa.'!$B$3:$C$52,2,0)</f>
        <v>2</v>
      </c>
      <c r="Q213" s="19">
        <f>VLOOKUP(Table3[[#This Row],[Additional protection]],'TPI. Pa.'!$B$3:$C$52,2,0)</f>
        <v>5</v>
      </c>
      <c r="R213" s="19">
        <f>VLOOKUP(Table3[[#This Row],[Failure due to TPI]],'TPI. Pa.'!$B$3:$C$52,2,0)</f>
        <v>4</v>
      </c>
      <c r="S213" s="19">
        <f>VLOOKUP(Table3[[#This Row],[Activity Level]],'TPI. Pa.'!$B$3:$C$52,2,0)</f>
        <v>10</v>
      </c>
      <c r="T213" s="19">
        <f>VLOOKUP(Table3[[#This Row],[Patrol frequency]],'TPI. Pa.'!$B$3:$C$52,2,0)</f>
        <v>1</v>
      </c>
      <c r="U213" s="19">
        <f>VLOOKUP(Table3[[#This Row],[Proxutil]],'TPI. Pa.'!$B$3:$C$52,2,0)</f>
        <v>5</v>
      </c>
      <c r="V213" s="19">
        <f>VLOOKUP(Table3[[#This Row],[ROW]],'TPI. Pa.'!$B$3:$C$52,2,0)</f>
        <v>10</v>
      </c>
      <c r="W213" s="19">
        <f>VLOOKUP(Table3[[#This Row],[ROW condition]],'TPI. Pa.'!$B$3:$C$52,2,0)</f>
        <v>3</v>
      </c>
      <c r="X21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4" spans="1:24" hidden="1">
      <c r="A214" s="84">
        <v>3</v>
      </c>
      <c r="B214" s="81">
        <v>330901001</v>
      </c>
      <c r="C214" s="82" t="s">
        <v>310</v>
      </c>
      <c r="D214" s="19"/>
      <c r="E214" s="19"/>
      <c r="F214" s="19"/>
      <c r="G214" s="19" t="s">
        <v>179</v>
      </c>
      <c r="H214" s="19" t="s">
        <v>185</v>
      </c>
      <c r="I214" s="19" t="s">
        <v>168</v>
      </c>
      <c r="J214" s="167" t="s">
        <v>183</v>
      </c>
      <c r="K214" s="19" t="s">
        <v>26</v>
      </c>
      <c r="L214" s="19" t="s">
        <v>217</v>
      </c>
      <c r="M214" s="19" t="s">
        <v>222</v>
      </c>
      <c r="N214" s="19" t="s">
        <v>228</v>
      </c>
      <c r="O214" s="38"/>
      <c r="P214" s="102">
        <f>VLOOKUP(Table3[[#This Row],[Depth of cover]],'TPI. Pa.'!$B$3:$C$52,2,0)</f>
        <v>2</v>
      </c>
      <c r="Q214" s="19">
        <f>VLOOKUP(Table3[[#This Row],[Additional protection]],'TPI. Pa.'!$B$3:$C$52,2,0)</f>
        <v>5</v>
      </c>
      <c r="R214" s="19">
        <f>VLOOKUP(Table3[[#This Row],[Failure due to TPI]],'TPI. Pa.'!$B$3:$C$52,2,0)</f>
        <v>4</v>
      </c>
      <c r="S214" s="19">
        <f>VLOOKUP(Table3[[#This Row],[Activity Level]],'TPI. Pa.'!$B$3:$C$52,2,0)</f>
        <v>10</v>
      </c>
      <c r="T214" s="19">
        <f>VLOOKUP(Table3[[#This Row],[Patrol frequency]],'TPI. Pa.'!$B$3:$C$52,2,0)</f>
        <v>1</v>
      </c>
      <c r="U214" s="19">
        <f>VLOOKUP(Table3[[#This Row],[Proxutil]],'TPI. Pa.'!$B$3:$C$52,2,0)</f>
        <v>5</v>
      </c>
      <c r="V214" s="19">
        <f>VLOOKUP(Table3[[#This Row],[ROW]],'TPI. Pa.'!$B$3:$C$52,2,0)</f>
        <v>10</v>
      </c>
      <c r="W214" s="19">
        <f>VLOOKUP(Table3[[#This Row],[ROW condition]],'TPI. Pa.'!$B$3:$C$52,2,0)</f>
        <v>3</v>
      </c>
      <c r="X21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5" spans="1:24" hidden="1">
      <c r="A215" s="80">
        <v>3</v>
      </c>
      <c r="B215" s="81">
        <v>330901002</v>
      </c>
      <c r="C215" s="82" t="s">
        <v>757</v>
      </c>
      <c r="D215" s="19"/>
      <c r="E215" s="19"/>
      <c r="F215" s="19"/>
      <c r="G215" s="19" t="s">
        <v>179</v>
      </c>
      <c r="H215" s="19" t="s">
        <v>185</v>
      </c>
      <c r="I215" s="19" t="s">
        <v>168</v>
      </c>
      <c r="J215" s="19" t="s">
        <v>183</v>
      </c>
      <c r="K215" s="19" t="s">
        <v>26</v>
      </c>
      <c r="L215" s="19" t="s">
        <v>217</v>
      </c>
      <c r="M215" s="19" t="s">
        <v>222</v>
      </c>
      <c r="N215" s="19" t="s">
        <v>228</v>
      </c>
      <c r="O215" s="38"/>
      <c r="P215" s="102">
        <f>VLOOKUP(Table3[[#This Row],[Depth of cover]],'TPI. Pa.'!$B$3:$C$52,2,0)</f>
        <v>2</v>
      </c>
      <c r="Q215" s="19">
        <f>VLOOKUP(Table3[[#This Row],[Additional protection]],'TPI. Pa.'!$B$3:$C$52,2,0)</f>
        <v>5</v>
      </c>
      <c r="R215" s="19">
        <f>VLOOKUP(Table3[[#This Row],[Failure due to TPI]],'TPI. Pa.'!$B$3:$C$52,2,0)</f>
        <v>4</v>
      </c>
      <c r="S215" s="19">
        <f>VLOOKUP(Table3[[#This Row],[Activity Level]],'TPI. Pa.'!$B$3:$C$52,2,0)</f>
        <v>10</v>
      </c>
      <c r="T215" s="19">
        <f>VLOOKUP(Table3[[#This Row],[Patrol frequency]],'TPI. Pa.'!$B$3:$C$52,2,0)</f>
        <v>1</v>
      </c>
      <c r="U215" s="19">
        <f>VLOOKUP(Table3[[#This Row],[Proxutil]],'TPI. Pa.'!$B$3:$C$52,2,0)</f>
        <v>5</v>
      </c>
      <c r="V215" s="19">
        <f>VLOOKUP(Table3[[#This Row],[ROW]],'TPI. Pa.'!$B$3:$C$52,2,0)</f>
        <v>10</v>
      </c>
      <c r="W215" s="19">
        <f>VLOOKUP(Table3[[#This Row],[ROW condition]],'TPI. Pa.'!$B$3:$C$52,2,0)</f>
        <v>3</v>
      </c>
      <c r="X21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6" spans="1:24" hidden="1">
      <c r="A216" s="80">
        <v>3</v>
      </c>
      <c r="B216" s="81">
        <v>330901003</v>
      </c>
      <c r="C216" s="82" t="s">
        <v>759</v>
      </c>
      <c r="D216" s="19"/>
      <c r="E216" s="19"/>
      <c r="F216" s="19"/>
      <c r="G216" s="19" t="s">
        <v>179</v>
      </c>
      <c r="H216" s="19" t="s">
        <v>185</v>
      </c>
      <c r="I216" s="19" t="s">
        <v>168</v>
      </c>
      <c r="J216" s="19" t="s">
        <v>183</v>
      </c>
      <c r="K216" s="19" t="s">
        <v>26</v>
      </c>
      <c r="L216" s="19" t="s">
        <v>217</v>
      </c>
      <c r="M216" s="19" t="s">
        <v>222</v>
      </c>
      <c r="N216" s="19" t="s">
        <v>228</v>
      </c>
      <c r="O216" s="38"/>
      <c r="P216" s="102">
        <f>VLOOKUP(Table3[[#This Row],[Depth of cover]],'TPI. Pa.'!$B$3:$C$52,2,0)</f>
        <v>2</v>
      </c>
      <c r="Q216" s="19">
        <f>VLOOKUP(Table3[[#This Row],[Additional protection]],'TPI. Pa.'!$B$3:$C$52,2,0)</f>
        <v>5</v>
      </c>
      <c r="R216" s="19">
        <f>VLOOKUP(Table3[[#This Row],[Failure due to TPI]],'TPI. Pa.'!$B$3:$C$52,2,0)</f>
        <v>4</v>
      </c>
      <c r="S216" s="19">
        <f>VLOOKUP(Table3[[#This Row],[Activity Level]],'TPI. Pa.'!$B$3:$C$52,2,0)</f>
        <v>10</v>
      </c>
      <c r="T216" s="19">
        <f>VLOOKUP(Table3[[#This Row],[Patrol frequency]],'TPI. Pa.'!$B$3:$C$52,2,0)</f>
        <v>1</v>
      </c>
      <c r="U216" s="19">
        <f>VLOOKUP(Table3[[#This Row],[Proxutil]],'TPI. Pa.'!$B$3:$C$52,2,0)</f>
        <v>5</v>
      </c>
      <c r="V216" s="19">
        <f>VLOOKUP(Table3[[#This Row],[ROW]],'TPI. Pa.'!$B$3:$C$52,2,0)</f>
        <v>10</v>
      </c>
      <c r="W216" s="19">
        <f>VLOOKUP(Table3[[#This Row],[ROW condition]],'TPI. Pa.'!$B$3:$C$52,2,0)</f>
        <v>3</v>
      </c>
      <c r="X21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7" spans="1:24" hidden="1">
      <c r="A217" s="84">
        <v>3</v>
      </c>
      <c r="B217" s="81">
        <v>340210602</v>
      </c>
      <c r="C217" s="82" t="s">
        <v>311</v>
      </c>
      <c r="D217" s="19"/>
      <c r="E217" s="19"/>
      <c r="F217" s="19"/>
      <c r="G217" s="19" t="s">
        <v>179</v>
      </c>
      <c r="H217" s="19" t="s">
        <v>185</v>
      </c>
      <c r="I217" s="19" t="s">
        <v>168</v>
      </c>
      <c r="J217" s="19" t="s">
        <v>183</v>
      </c>
      <c r="K217" s="19" t="s">
        <v>26</v>
      </c>
      <c r="L217" s="19" t="s">
        <v>217</v>
      </c>
      <c r="M217" s="19" t="s">
        <v>222</v>
      </c>
      <c r="N217" s="19" t="s">
        <v>228</v>
      </c>
      <c r="O217" s="38"/>
      <c r="P217" s="102">
        <f>VLOOKUP(Table3[[#This Row],[Depth of cover]],'TPI. Pa.'!$B$3:$C$52,2,0)</f>
        <v>2</v>
      </c>
      <c r="Q217" s="19">
        <f>VLOOKUP(Table3[[#This Row],[Additional protection]],'TPI. Pa.'!$B$3:$C$52,2,0)</f>
        <v>5</v>
      </c>
      <c r="R217" s="19">
        <f>VLOOKUP(Table3[[#This Row],[Failure due to TPI]],'TPI. Pa.'!$B$3:$C$52,2,0)</f>
        <v>4</v>
      </c>
      <c r="S217" s="19">
        <f>VLOOKUP(Table3[[#This Row],[Activity Level]],'TPI. Pa.'!$B$3:$C$52,2,0)</f>
        <v>10</v>
      </c>
      <c r="T217" s="19">
        <f>VLOOKUP(Table3[[#This Row],[Patrol frequency]],'TPI. Pa.'!$B$3:$C$52,2,0)</f>
        <v>1</v>
      </c>
      <c r="U217" s="19">
        <f>VLOOKUP(Table3[[#This Row],[Proxutil]],'TPI. Pa.'!$B$3:$C$52,2,0)</f>
        <v>5</v>
      </c>
      <c r="V217" s="19">
        <f>VLOOKUP(Table3[[#This Row],[ROW]],'TPI. Pa.'!$B$3:$C$52,2,0)</f>
        <v>10</v>
      </c>
      <c r="W217" s="19">
        <f>VLOOKUP(Table3[[#This Row],[ROW condition]],'TPI. Pa.'!$B$3:$C$52,2,0)</f>
        <v>3</v>
      </c>
      <c r="X21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18" spans="1:24" hidden="1">
      <c r="A218" s="84">
        <v>3</v>
      </c>
      <c r="B218" s="81">
        <v>340300001</v>
      </c>
      <c r="C218" s="82" t="s">
        <v>312</v>
      </c>
      <c r="D218" s="19"/>
      <c r="E218" s="19"/>
      <c r="F218" s="19"/>
      <c r="G218" s="19" t="s">
        <v>179</v>
      </c>
      <c r="H218" s="19" t="s">
        <v>185</v>
      </c>
      <c r="I218" s="19" t="s">
        <v>168</v>
      </c>
      <c r="J218" s="167" t="s">
        <v>191</v>
      </c>
      <c r="K218" s="19" t="s">
        <v>26</v>
      </c>
      <c r="L218" s="19" t="s">
        <v>217</v>
      </c>
      <c r="M218" s="19" t="s">
        <v>222</v>
      </c>
      <c r="N218" s="19" t="s">
        <v>228</v>
      </c>
      <c r="O218" s="38"/>
      <c r="P218" s="102">
        <f>VLOOKUP(Table3[[#This Row],[Depth of cover]],'TPI. Pa.'!$B$3:$C$52,2,0)</f>
        <v>2</v>
      </c>
      <c r="Q218" s="19">
        <f>VLOOKUP(Table3[[#This Row],[Additional protection]],'TPI. Pa.'!$B$3:$C$52,2,0)</f>
        <v>5</v>
      </c>
      <c r="R218" s="19">
        <f>VLOOKUP(Table3[[#This Row],[Failure due to TPI]],'TPI. Pa.'!$B$3:$C$52,2,0)</f>
        <v>4</v>
      </c>
      <c r="S218" s="19">
        <f>VLOOKUP(Table3[[#This Row],[Activity Level]],'TPI. Pa.'!$B$3:$C$52,2,0)</f>
        <v>3</v>
      </c>
      <c r="T218" s="19">
        <f>VLOOKUP(Table3[[#This Row],[Patrol frequency]],'TPI. Pa.'!$B$3:$C$52,2,0)</f>
        <v>1</v>
      </c>
      <c r="U218" s="19">
        <f>VLOOKUP(Table3[[#This Row],[Proxutil]],'TPI. Pa.'!$B$3:$C$52,2,0)</f>
        <v>5</v>
      </c>
      <c r="V218" s="19">
        <f>VLOOKUP(Table3[[#This Row],[ROW]],'TPI. Pa.'!$B$3:$C$52,2,0)</f>
        <v>10</v>
      </c>
      <c r="W218" s="19">
        <f>VLOOKUP(Table3[[#This Row],[ROW condition]],'TPI. Pa.'!$B$3:$C$52,2,0)</f>
        <v>3</v>
      </c>
      <c r="X21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19" spans="1:24" hidden="1">
      <c r="A219" s="84">
        <v>3</v>
      </c>
      <c r="B219" s="81">
        <v>401100001</v>
      </c>
      <c r="C219" s="82" t="s">
        <v>313</v>
      </c>
      <c r="D219" s="19"/>
      <c r="E219" s="19"/>
      <c r="F219" s="19"/>
      <c r="G219" s="19" t="s">
        <v>179</v>
      </c>
      <c r="H219" s="19" t="s">
        <v>185</v>
      </c>
      <c r="I219" s="19" t="s">
        <v>168</v>
      </c>
      <c r="J219" s="19" t="s">
        <v>183</v>
      </c>
      <c r="K219" s="19" t="s">
        <v>26</v>
      </c>
      <c r="L219" s="19" t="s">
        <v>217</v>
      </c>
      <c r="M219" s="19" t="s">
        <v>222</v>
      </c>
      <c r="N219" s="19" t="s">
        <v>228</v>
      </c>
      <c r="O219" s="38"/>
      <c r="P219" s="102">
        <f>VLOOKUP(Table3[[#This Row],[Depth of cover]],'TPI. Pa.'!$B$3:$C$52,2,0)</f>
        <v>2</v>
      </c>
      <c r="Q219" s="19">
        <f>VLOOKUP(Table3[[#This Row],[Additional protection]],'TPI. Pa.'!$B$3:$C$52,2,0)</f>
        <v>5</v>
      </c>
      <c r="R219" s="19">
        <f>VLOOKUP(Table3[[#This Row],[Failure due to TPI]],'TPI. Pa.'!$B$3:$C$52,2,0)</f>
        <v>4</v>
      </c>
      <c r="S219" s="19">
        <f>VLOOKUP(Table3[[#This Row],[Activity Level]],'TPI. Pa.'!$B$3:$C$52,2,0)</f>
        <v>10</v>
      </c>
      <c r="T219" s="19">
        <f>VLOOKUP(Table3[[#This Row],[Patrol frequency]],'TPI. Pa.'!$B$3:$C$52,2,0)</f>
        <v>1</v>
      </c>
      <c r="U219" s="19">
        <f>VLOOKUP(Table3[[#This Row],[Proxutil]],'TPI. Pa.'!$B$3:$C$52,2,0)</f>
        <v>5</v>
      </c>
      <c r="V219" s="19">
        <f>VLOOKUP(Table3[[#This Row],[ROW]],'TPI. Pa.'!$B$3:$C$52,2,0)</f>
        <v>10</v>
      </c>
      <c r="W219" s="19">
        <f>VLOOKUP(Table3[[#This Row],[ROW condition]],'TPI. Pa.'!$B$3:$C$52,2,0)</f>
        <v>3</v>
      </c>
      <c r="X21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0" spans="1:24" hidden="1">
      <c r="A220" s="84">
        <v>3</v>
      </c>
      <c r="B220" s="81">
        <v>401110001</v>
      </c>
      <c r="C220" s="82" t="s">
        <v>314</v>
      </c>
      <c r="D220" s="19"/>
      <c r="E220" s="19"/>
      <c r="F220" s="19"/>
      <c r="G220" s="19" t="s">
        <v>179</v>
      </c>
      <c r="H220" s="19" t="s">
        <v>185</v>
      </c>
      <c r="I220" s="19" t="s">
        <v>168</v>
      </c>
      <c r="J220" s="19" t="s">
        <v>183</v>
      </c>
      <c r="K220" s="19" t="s">
        <v>26</v>
      </c>
      <c r="L220" s="19" t="s">
        <v>217</v>
      </c>
      <c r="M220" s="19" t="s">
        <v>222</v>
      </c>
      <c r="N220" s="19" t="s">
        <v>228</v>
      </c>
      <c r="O220" s="38"/>
      <c r="P220" s="102">
        <f>VLOOKUP(Table3[[#This Row],[Depth of cover]],'TPI. Pa.'!$B$3:$C$52,2,0)</f>
        <v>2</v>
      </c>
      <c r="Q220" s="19">
        <f>VLOOKUP(Table3[[#This Row],[Additional protection]],'TPI. Pa.'!$B$3:$C$52,2,0)</f>
        <v>5</v>
      </c>
      <c r="R220" s="19">
        <f>VLOOKUP(Table3[[#This Row],[Failure due to TPI]],'TPI. Pa.'!$B$3:$C$52,2,0)</f>
        <v>4</v>
      </c>
      <c r="S220" s="19">
        <f>VLOOKUP(Table3[[#This Row],[Activity Level]],'TPI. Pa.'!$B$3:$C$52,2,0)</f>
        <v>10</v>
      </c>
      <c r="T220" s="19">
        <f>VLOOKUP(Table3[[#This Row],[Patrol frequency]],'TPI. Pa.'!$B$3:$C$52,2,0)</f>
        <v>1</v>
      </c>
      <c r="U220" s="19">
        <f>VLOOKUP(Table3[[#This Row],[Proxutil]],'TPI. Pa.'!$B$3:$C$52,2,0)</f>
        <v>5</v>
      </c>
      <c r="V220" s="19">
        <f>VLOOKUP(Table3[[#This Row],[ROW]],'TPI. Pa.'!$B$3:$C$52,2,0)</f>
        <v>10</v>
      </c>
      <c r="W220" s="19">
        <f>VLOOKUP(Table3[[#This Row],[ROW condition]],'TPI. Pa.'!$B$3:$C$52,2,0)</f>
        <v>3</v>
      </c>
      <c r="X22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1" spans="1:24" hidden="1">
      <c r="A221" s="80">
        <v>5</v>
      </c>
      <c r="B221" s="81">
        <v>41041</v>
      </c>
      <c r="C221" s="82" t="s">
        <v>771</v>
      </c>
      <c r="D221" s="19"/>
      <c r="E221" s="19"/>
      <c r="F221" s="19"/>
      <c r="G221" s="19" t="s">
        <v>179</v>
      </c>
      <c r="H221" s="19" t="s">
        <v>185</v>
      </c>
      <c r="I221" s="19" t="s">
        <v>168</v>
      </c>
      <c r="J221" s="19" t="s">
        <v>183</v>
      </c>
      <c r="K221" s="19" t="s">
        <v>26</v>
      </c>
      <c r="L221" s="19" t="s">
        <v>217</v>
      </c>
      <c r="M221" s="19" t="s">
        <v>222</v>
      </c>
      <c r="N221" s="19" t="s">
        <v>228</v>
      </c>
      <c r="O221" s="38"/>
      <c r="P221" s="102">
        <f>VLOOKUP(Table3[[#This Row],[Depth of cover]],'TPI. Pa.'!$B$3:$C$52,2,0)</f>
        <v>2</v>
      </c>
      <c r="Q221" s="19">
        <f>VLOOKUP(Table3[[#This Row],[Additional protection]],'TPI. Pa.'!$B$3:$C$52,2,0)</f>
        <v>5</v>
      </c>
      <c r="R221" s="19">
        <f>VLOOKUP(Table3[[#This Row],[Failure due to TPI]],'TPI. Pa.'!$B$3:$C$52,2,0)</f>
        <v>4</v>
      </c>
      <c r="S221" s="19">
        <f>VLOOKUP(Table3[[#This Row],[Activity Level]],'TPI. Pa.'!$B$3:$C$52,2,0)</f>
        <v>10</v>
      </c>
      <c r="T221" s="19">
        <f>VLOOKUP(Table3[[#This Row],[Patrol frequency]],'TPI. Pa.'!$B$3:$C$52,2,0)</f>
        <v>1</v>
      </c>
      <c r="U221" s="19">
        <f>VLOOKUP(Table3[[#This Row],[Proxutil]],'TPI. Pa.'!$B$3:$C$52,2,0)</f>
        <v>5</v>
      </c>
      <c r="V221" s="19">
        <f>VLOOKUP(Table3[[#This Row],[ROW]],'TPI. Pa.'!$B$3:$C$52,2,0)</f>
        <v>10</v>
      </c>
      <c r="W221" s="19">
        <f>VLOOKUP(Table3[[#This Row],[ROW condition]],'TPI. Pa.'!$B$3:$C$52,2,0)</f>
        <v>3</v>
      </c>
      <c r="X22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2" spans="1:24" hidden="1">
      <c r="A222" s="84">
        <v>5</v>
      </c>
      <c r="B222" s="81">
        <v>410101</v>
      </c>
      <c r="C222" s="82" t="s">
        <v>315</v>
      </c>
      <c r="D222" s="19"/>
      <c r="E222" s="19"/>
      <c r="F222" s="19"/>
      <c r="G222" s="19" t="s">
        <v>179</v>
      </c>
      <c r="H222" s="19" t="s">
        <v>185</v>
      </c>
      <c r="I222" s="19" t="s">
        <v>168</v>
      </c>
      <c r="J222" s="19" t="s">
        <v>183</v>
      </c>
      <c r="K222" s="19" t="s">
        <v>26</v>
      </c>
      <c r="L222" s="19" t="s">
        <v>217</v>
      </c>
      <c r="M222" s="19" t="s">
        <v>222</v>
      </c>
      <c r="N222" s="19" t="s">
        <v>228</v>
      </c>
      <c r="O222" s="38"/>
      <c r="P222" s="102">
        <f>VLOOKUP(Table3[[#This Row],[Depth of cover]],'TPI. Pa.'!$B$3:$C$52,2,0)</f>
        <v>2</v>
      </c>
      <c r="Q222" s="19">
        <f>VLOOKUP(Table3[[#This Row],[Additional protection]],'TPI. Pa.'!$B$3:$C$52,2,0)</f>
        <v>5</v>
      </c>
      <c r="R222" s="19">
        <f>VLOOKUP(Table3[[#This Row],[Failure due to TPI]],'TPI. Pa.'!$B$3:$C$52,2,0)</f>
        <v>4</v>
      </c>
      <c r="S222" s="19">
        <f>VLOOKUP(Table3[[#This Row],[Activity Level]],'TPI. Pa.'!$B$3:$C$52,2,0)</f>
        <v>10</v>
      </c>
      <c r="T222" s="19">
        <f>VLOOKUP(Table3[[#This Row],[Patrol frequency]],'TPI. Pa.'!$B$3:$C$52,2,0)</f>
        <v>1</v>
      </c>
      <c r="U222" s="19">
        <f>VLOOKUP(Table3[[#This Row],[Proxutil]],'TPI. Pa.'!$B$3:$C$52,2,0)</f>
        <v>5</v>
      </c>
      <c r="V222" s="19">
        <f>VLOOKUP(Table3[[#This Row],[ROW]],'TPI. Pa.'!$B$3:$C$52,2,0)</f>
        <v>10</v>
      </c>
      <c r="W222" s="19">
        <f>VLOOKUP(Table3[[#This Row],[ROW condition]],'TPI. Pa.'!$B$3:$C$52,2,0)</f>
        <v>3</v>
      </c>
      <c r="X22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3" spans="1:24" hidden="1">
      <c r="A223" s="80">
        <v>5</v>
      </c>
      <c r="B223" s="81">
        <v>41010101</v>
      </c>
      <c r="C223" s="82" t="s">
        <v>773</v>
      </c>
      <c r="D223" s="19"/>
      <c r="E223" s="19"/>
      <c r="F223" s="19"/>
      <c r="G223" s="19" t="s">
        <v>179</v>
      </c>
      <c r="H223" s="19" t="s">
        <v>185</v>
      </c>
      <c r="I223" s="19" t="s">
        <v>168</v>
      </c>
      <c r="J223" s="167" t="s">
        <v>191</v>
      </c>
      <c r="K223" s="19" t="s">
        <v>26</v>
      </c>
      <c r="L223" s="19" t="s">
        <v>217</v>
      </c>
      <c r="M223" s="19" t="s">
        <v>222</v>
      </c>
      <c r="N223" s="19" t="s">
        <v>228</v>
      </c>
      <c r="O223" s="38"/>
      <c r="P223" s="102">
        <f>VLOOKUP(Table3[[#This Row],[Depth of cover]],'TPI. Pa.'!$B$3:$C$52,2,0)</f>
        <v>2</v>
      </c>
      <c r="Q223" s="19">
        <f>VLOOKUP(Table3[[#This Row],[Additional protection]],'TPI. Pa.'!$B$3:$C$52,2,0)</f>
        <v>5</v>
      </c>
      <c r="R223" s="19">
        <f>VLOOKUP(Table3[[#This Row],[Failure due to TPI]],'TPI. Pa.'!$B$3:$C$52,2,0)</f>
        <v>4</v>
      </c>
      <c r="S223" s="19">
        <f>VLOOKUP(Table3[[#This Row],[Activity Level]],'TPI. Pa.'!$B$3:$C$52,2,0)</f>
        <v>3</v>
      </c>
      <c r="T223" s="19">
        <f>VLOOKUP(Table3[[#This Row],[Patrol frequency]],'TPI. Pa.'!$B$3:$C$52,2,0)</f>
        <v>1</v>
      </c>
      <c r="U223" s="19">
        <f>VLOOKUP(Table3[[#This Row],[Proxutil]],'TPI. Pa.'!$B$3:$C$52,2,0)</f>
        <v>5</v>
      </c>
      <c r="V223" s="19">
        <f>VLOOKUP(Table3[[#This Row],[ROW]],'TPI. Pa.'!$B$3:$C$52,2,0)</f>
        <v>10</v>
      </c>
      <c r="W223" s="19">
        <f>VLOOKUP(Table3[[#This Row],[ROW condition]],'TPI. Pa.'!$B$3:$C$52,2,0)</f>
        <v>3</v>
      </c>
      <c r="X22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24" spans="1:24" ht="25.5" hidden="1">
      <c r="A224" s="84">
        <v>5</v>
      </c>
      <c r="B224" s="81">
        <v>410102</v>
      </c>
      <c r="C224" s="82" t="s">
        <v>316</v>
      </c>
      <c r="D224" s="19"/>
      <c r="E224" s="19"/>
      <c r="F224" s="19"/>
      <c r="G224" s="19" t="s">
        <v>179</v>
      </c>
      <c r="H224" s="19" t="s">
        <v>185</v>
      </c>
      <c r="I224" s="19" t="s">
        <v>168</v>
      </c>
      <c r="J224" s="167" t="s">
        <v>183</v>
      </c>
      <c r="K224" s="19" t="s">
        <v>26</v>
      </c>
      <c r="L224" s="19" t="s">
        <v>217</v>
      </c>
      <c r="M224" s="19" t="s">
        <v>222</v>
      </c>
      <c r="N224" s="19" t="s">
        <v>228</v>
      </c>
      <c r="O224" s="38"/>
      <c r="P224" s="102">
        <f>VLOOKUP(Table3[[#This Row],[Depth of cover]],'TPI. Pa.'!$B$3:$C$52,2,0)</f>
        <v>2</v>
      </c>
      <c r="Q224" s="19">
        <f>VLOOKUP(Table3[[#This Row],[Additional protection]],'TPI. Pa.'!$B$3:$C$52,2,0)</f>
        <v>5</v>
      </c>
      <c r="R224" s="19">
        <f>VLOOKUP(Table3[[#This Row],[Failure due to TPI]],'TPI. Pa.'!$B$3:$C$52,2,0)</f>
        <v>4</v>
      </c>
      <c r="S224" s="19">
        <f>VLOOKUP(Table3[[#This Row],[Activity Level]],'TPI. Pa.'!$B$3:$C$52,2,0)</f>
        <v>10</v>
      </c>
      <c r="T224" s="19">
        <f>VLOOKUP(Table3[[#This Row],[Patrol frequency]],'TPI. Pa.'!$B$3:$C$52,2,0)</f>
        <v>1</v>
      </c>
      <c r="U224" s="19">
        <f>VLOOKUP(Table3[[#This Row],[Proxutil]],'TPI. Pa.'!$B$3:$C$52,2,0)</f>
        <v>5</v>
      </c>
      <c r="V224" s="19">
        <f>VLOOKUP(Table3[[#This Row],[ROW]],'TPI. Pa.'!$B$3:$C$52,2,0)</f>
        <v>10</v>
      </c>
      <c r="W224" s="19">
        <f>VLOOKUP(Table3[[#This Row],[ROW condition]],'TPI. Pa.'!$B$3:$C$52,2,0)</f>
        <v>3</v>
      </c>
      <c r="X22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5" spans="1:24" hidden="1">
      <c r="A225" s="84">
        <v>5</v>
      </c>
      <c r="B225" s="81">
        <v>41010201</v>
      </c>
      <c r="C225" s="82" t="s">
        <v>317</v>
      </c>
      <c r="D225" s="19"/>
      <c r="E225" s="19"/>
      <c r="F225" s="19"/>
      <c r="G225" s="19" t="s">
        <v>179</v>
      </c>
      <c r="H225" s="19" t="s">
        <v>185</v>
      </c>
      <c r="I225" s="19" t="s">
        <v>168</v>
      </c>
      <c r="J225" s="19" t="s">
        <v>183</v>
      </c>
      <c r="K225" s="19" t="s">
        <v>26</v>
      </c>
      <c r="L225" s="19" t="s">
        <v>217</v>
      </c>
      <c r="M225" s="19" t="s">
        <v>222</v>
      </c>
      <c r="N225" s="19" t="s">
        <v>228</v>
      </c>
      <c r="O225" s="38"/>
      <c r="P225" s="102">
        <f>VLOOKUP(Table3[[#This Row],[Depth of cover]],'TPI. Pa.'!$B$3:$C$52,2,0)</f>
        <v>2</v>
      </c>
      <c r="Q225" s="19">
        <f>VLOOKUP(Table3[[#This Row],[Additional protection]],'TPI. Pa.'!$B$3:$C$52,2,0)</f>
        <v>5</v>
      </c>
      <c r="R225" s="19">
        <f>VLOOKUP(Table3[[#This Row],[Failure due to TPI]],'TPI. Pa.'!$B$3:$C$52,2,0)</f>
        <v>4</v>
      </c>
      <c r="S225" s="19">
        <f>VLOOKUP(Table3[[#This Row],[Activity Level]],'TPI. Pa.'!$B$3:$C$52,2,0)</f>
        <v>10</v>
      </c>
      <c r="T225" s="19">
        <f>VLOOKUP(Table3[[#This Row],[Patrol frequency]],'TPI. Pa.'!$B$3:$C$52,2,0)</f>
        <v>1</v>
      </c>
      <c r="U225" s="19">
        <f>VLOOKUP(Table3[[#This Row],[Proxutil]],'TPI. Pa.'!$B$3:$C$52,2,0)</f>
        <v>5</v>
      </c>
      <c r="V225" s="19">
        <f>VLOOKUP(Table3[[#This Row],[ROW]],'TPI. Pa.'!$B$3:$C$52,2,0)</f>
        <v>10</v>
      </c>
      <c r="W225" s="19">
        <f>VLOOKUP(Table3[[#This Row],[ROW condition]],'TPI. Pa.'!$B$3:$C$52,2,0)</f>
        <v>3</v>
      </c>
      <c r="X22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6" spans="1:24" hidden="1">
      <c r="A226" s="84">
        <v>5</v>
      </c>
      <c r="B226" s="81">
        <v>41010202</v>
      </c>
      <c r="C226" s="82" t="s">
        <v>318</v>
      </c>
      <c r="D226" s="19"/>
      <c r="E226" s="19"/>
      <c r="F226" s="19"/>
      <c r="G226" s="19" t="s">
        <v>179</v>
      </c>
      <c r="H226" s="19" t="s">
        <v>185</v>
      </c>
      <c r="I226" s="19" t="s">
        <v>168</v>
      </c>
      <c r="J226" s="19" t="s">
        <v>183</v>
      </c>
      <c r="K226" s="19" t="s">
        <v>26</v>
      </c>
      <c r="L226" s="19" t="s">
        <v>217</v>
      </c>
      <c r="M226" s="19" t="s">
        <v>222</v>
      </c>
      <c r="N226" s="19" t="s">
        <v>228</v>
      </c>
      <c r="O226" s="38"/>
      <c r="P226" s="102">
        <f>VLOOKUP(Table3[[#This Row],[Depth of cover]],'TPI. Pa.'!$B$3:$C$52,2,0)</f>
        <v>2</v>
      </c>
      <c r="Q226" s="19">
        <f>VLOOKUP(Table3[[#This Row],[Additional protection]],'TPI. Pa.'!$B$3:$C$52,2,0)</f>
        <v>5</v>
      </c>
      <c r="R226" s="19">
        <f>VLOOKUP(Table3[[#This Row],[Failure due to TPI]],'TPI. Pa.'!$B$3:$C$52,2,0)</f>
        <v>4</v>
      </c>
      <c r="S226" s="19">
        <f>VLOOKUP(Table3[[#This Row],[Activity Level]],'TPI. Pa.'!$B$3:$C$52,2,0)</f>
        <v>10</v>
      </c>
      <c r="T226" s="19">
        <f>VLOOKUP(Table3[[#This Row],[Patrol frequency]],'TPI. Pa.'!$B$3:$C$52,2,0)</f>
        <v>1</v>
      </c>
      <c r="U226" s="19">
        <f>VLOOKUP(Table3[[#This Row],[Proxutil]],'TPI. Pa.'!$B$3:$C$52,2,0)</f>
        <v>5</v>
      </c>
      <c r="V226" s="19">
        <f>VLOOKUP(Table3[[#This Row],[ROW]],'TPI. Pa.'!$B$3:$C$52,2,0)</f>
        <v>10</v>
      </c>
      <c r="W226" s="19">
        <f>VLOOKUP(Table3[[#This Row],[ROW condition]],'TPI. Pa.'!$B$3:$C$52,2,0)</f>
        <v>3</v>
      </c>
      <c r="X22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7" spans="1:24" hidden="1">
      <c r="A227" s="84">
        <v>5</v>
      </c>
      <c r="B227" s="81">
        <v>41010203</v>
      </c>
      <c r="C227" s="82" t="s">
        <v>319</v>
      </c>
      <c r="D227" s="19"/>
      <c r="E227" s="19"/>
      <c r="F227" s="19"/>
      <c r="G227" s="19" t="s">
        <v>179</v>
      </c>
      <c r="H227" s="19" t="s">
        <v>185</v>
      </c>
      <c r="I227" s="19" t="s">
        <v>168</v>
      </c>
      <c r="J227" s="19" t="s">
        <v>183</v>
      </c>
      <c r="K227" s="19" t="s">
        <v>26</v>
      </c>
      <c r="L227" s="19" t="s">
        <v>217</v>
      </c>
      <c r="M227" s="19" t="s">
        <v>222</v>
      </c>
      <c r="N227" s="19" t="s">
        <v>228</v>
      </c>
      <c r="O227" s="38"/>
      <c r="P227" s="102">
        <f>VLOOKUP(Table3[[#This Row],[Depth of cover]],'TPI. Pa.'!$B$3:$C$52,2,0)</f>
        <v>2</v>
      </c>
      <c r="Q227" s="19">
        <f>VLOOKUP(Table3[[#This Row],[Additional protection]],'TPI. Pa.'!$B$3:$C$52,2,0)</f>
        <v>5</v>
      </c>
      <c r="R227" s="19">
        <f>VLOOKUP(Table3[[#This Row],[Failure due to TPI]],'TPI. Pa.'!$B$3:$C$52,2,0)</f>
        <v>4</v>
      </c>
      <c r="S227" s="19">
        <f>VLOOKUP(Table3[[#This Row],[Activity Level]],'TPI. Pa.'!$B$3:$C$52,2,0)</f>
        <v>10</v>
      </c>
      <c r="T227" s="19">
        <f>VLOOKUP(Table3[[#This Row],[Patrol frequency]],'TPI. Pa.'!$B$3:$C$52,2,0)</f>
        <v>1</v>
      </c>
      <c r="U227" s="19">
        <f>VLOOKUP(Table3[[#This Row],[Proxutil]],'TPI. Pa.'!$B$3:$C$52,2,0)</f>
        <v>5</v>
      </c>
      <c r="V227" s="19">
        <f>VLOOKUP(Table3[[#This Row],[ROW]],'TPI. Pa.'!$B$3:$C$52,2,0)</f>
        <v>10</v>
      </c>
      <c r="W227" s="19">
        <f>VLOOKUP(Table3[[#This Row],[ROW condition]],'TPI. Pa.'!$B$3:$C$52,2,0)</f>
        <v>3</v>
      </c>
      <c r="X22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8" spans="1:24" hidden="1">
      <c r="A228" s="84">
        <v>5</v>
      </c>
      <c r="B228" s="81">
        <v>41010204</v>
      </c>
      <c r="C228" s="82" t="s">
        <v>320</v>
      </c>
      <c r="D228" s="19"/>
      <c r="E228" s="19"/>
      <c r="F228" s="19"/>
      <c r="G228" s="19" t="s">
        <v>179</v>
      </c>
      <c r="H228" s="19" t="s">
        <v>185</v>
      </c>
      <c r="I228" s="19" t="s">
        <v>168</v>
      </c>
      <c r="J228" s="19" t="s">
        <v>183</v>
      </c>
      <c r="K228" s="19" t="s">
        <v>26</v>
      </c>
      <c r="L228" s="19" t="s">
        <v>217</v>
      </c>
      <c r="M228" s="19" t="s">
        <v>222</v>
      </c>
      <c r="N228" s="19" t="s">
        <v>228</v>
      </c>
      <c r="O228" s="38"/>
      <c r="P228" s="102">
        <f>VLOOKUP(Table3[[#This Row],[Depth of cover]],'TPI. Pa.'!$B$3:$C$52,2,0)</f>
        <v>2</v>
      </c>
      <c r="Q228" s="19">
        <f>VLOOKUP(Table3[[#This Row],[Additional protection]],'TPI. Pa.'!$B$3:$C$52,2,0)</f>
        <v>5</v>
      </c>
      <c r="R228" s="19">
        <f>VLOOKUP(Table3[[#This Row],[Failure due to TPI]],'TPI. Pa.'!$B$3:$C$52,2,0)</f>
        <v>4</v>
      </c>
      <c r="S228" s="19">
        <f>VLOOKUP(Table3[[#This Row],[Activity Level]],'TPI. Pa.'!$B$3:$C$52,2,0)</f>
        <v>10</v>
      </c>
      <c r="T228" s="19">
        <f>VLOOKUP(Table3[[#This Row],[Patrol frequency]],'TPI. Pa.'!$B$3:$C$52,2,0)</f>
        <v>1</v>
      </c>
      <c r="U228" s="19">
        <f>VLOOKUP(Table3[[#This Row],[Proxutil]],'TPI. Pa.'!$B$3:$C$52,2,0)</f>
        <v>5</v>
      </c>
      <c r="V228" s="19">
        <f>VLOOKUP(Table3[[#This Row],[ROW]],'TPI. Pa.'!$B$3:$C$52,2,0)</f>
        <v>10</v>
      </c>
      <c r="W228" s="19">
        <f>VLOOKUP(Table3[[#This Row],[ROW condition]],'TPI. Pa.'!$B$3:$C$52,2,0)</f>
        <v>3</v>
      </c>
      <c r="X22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29" spans="1:24" hidden="1">
      <c r="A229" s="80">
        <v>5</v>
      </c>
      <c r="B229" s="81">
        <v>410300001</v>
      </c>
      <c r="C229" s="82" t="s">
        <v>775</v>
      </c>
      <c r="D229" s="19"/>
      <c r="E229" s="19"/>
      <c r="F229" s="19"/>
      <c r="G229" s="19" t="s">
        <v>179</v>
      </c>
      <c r="H229" s="19" t="s">
        <v>185</v>
      </c>
      <c r="I229" s="19" t="s">
        <v>168</v>
      </c>
      <c r="J229" s="19" t="s">
        <v>183</v>
      </c>
      <c r="K229" s="19" t="s">
        <v>26</v>
      </c>
      <c r="L229" s="19" t="s">
        <v>217</v>
      </c>
      <c r="M229" s="19" t="s">
        <v>222</v>
      </c>
      <c r="N229" s="19" t="s">
        <v>228</v>
      </c>
      <c r="O229" s="38"/>
      <c r="P229" s="102">
        <f>VLOOKUP(Table3[[#This Row],[Depth of cover]],'TPI. Pa.'!$B$3:$C$52,2,0)</f>
        <v>2</v>
      </c>
      <c r="Q229" s="19">
        <f>VLOOKUP(Table3[[#This Row],[Additional protection]],'TPI. Pa.'!$B$3:$C$52,2,0)</f>
        <v>5</v>
      </c>
      <c r="R229" s="19">
        <f>VLOOKUP(Table3[[#This Row],[Failure due to TPI]],'TPI. Pa.'!$B$3:$C$52,2,0)</f>
        <v>4</v>
      </c>
      <c r="S229" s="19">
        <f>VLOOKUP(Table3[[#This Row],[Activity Level]],'TPI. Pa.'!$B$3:$C$52,2,0)</f>
        <v>10</v>
      </c>
      <c r="T229" s="19">
        <f>VLOOKUP(Table3[[#This Row],[Patrol frequency]],'TPI. Pa.'!$B$3:$C$52,2,0)</f>
        <v>1</v>
      </c>
      <c r="U229" s="19">
        <f>VLOOKUP(Table3[[#This Row],[Proxutil]],'TPI. Pa.'!$B$3:$C$52,2,0)</f>
        <v>5</v>
      </c>
      <c r="V229" s="19">
        <f>VLOOKUP(Table3[[#This Row],[ROW]],'TPI. Pa.'!$B$3:$C$52,2,0)</f>
        <v>10</v>
      </c>
      <c r="W229" s="19">
        <f>VLOOKUP(Table3[[#This Row],[ROW condition]],'TPI. Pa.'!$B$3:$C$52,2,0)</f>
        <v>3</v>
      </c>
      <c r="X22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0" spans="1:24" hidden="1">
      <c r="A230" s="84">
        <v>5</v>
      </c>
      <c r="B230" s="81">
        <v>401201002</v>
      </c>
      <c r="C230" s="82" t="s">
        <v>321</v>
      </c>
      <c r="D230" s="19"/>
      <c r="E230" s="19"/>
      <c r="F230" s="19"/>
      <c r="G230" s="19" t="s">
        <v>179</v>
      </c>
      <c r="H230" s="19" t="s">
        <v>185</v>
      </c>
      <c r="I230" s="19" t="s">
        <v>168</v>
      </c>
      <c r="J230" s="19" t="s">
        <v>183</v>
      </c>
      <c r="K230" s="19" t="s">
        <v>26</v>
      </c>
      <c r="L230" s="19" t="s">
        <v>217</v>
      </c>
      <c r="M230" s="19" t="s">
        <v>222</v>
      </c>
      <c r="N230" s="19" t="s">
        <v>228</v>
      </c>
      <c r="O230" s="38"/>
      <c r="P230" s="102">
        <f>VLOOKUP(Table3[[#This Row],[Depth of cover]],'TPI. Pa.'!$B$3:$C$52,2,0)</f>
        <v>2</v>
      </c>
      <c r="Q230" s="19">
        <f>VLOOKUP(Table3[[#This Row],[Additional protection]],'TPI. Pa.'!$B$3:$C$52,2,0)</f>
        <v>5</v>
      </c>
      <c r="R230" s="19">
        <f>VLOOKUP(Table3[[#This Row],[Failure due to TPI]],'TPI. Pa.'!$B$3:$C$52,2,0)</f>
        <v>4</v>
      </c>
      <c r="S230" s="19">
        <f>VLOOKUP(Table3[[#This Row],[Activity Level]],'TPI. Pa.'!$B$3:$C$52,2,0)</f>
        <v>10</v>
      </c>
      <c r="T230" s="19">
        <f>VLOOKUP(Table3[[#This Row],[Patrol frequency]],'TPI. Pa.'!$B$3:$C$52,2,0)</f>
        <v>1</v>
      </c>
      <c r="U230" s="19">
        <f>VLOOKUP(Table3[[#This Row],[Proxutil]],'TPI. Pa.'!$B$3:$C$52,2,0)</f>
        <v>5</v>
      </c>
      <c r="V230" s="19">
        <f>VLOOKUP(Table3[[#This Row],[ROW]],'TPI. Pa.'!$B$3:$C$52,2,0)</f>
        <v>10</v>
      </c>
      <c r="W230" s="19">
        <f>VLOOKUP(Table3[[#This Row],[ROW condition]],'TPI. Pa.'!$B$3:$C$52,2,0)</f>
        <v>3</v>
      </c>
      <c r="X23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1" spans="1:24" hidden="1">
      <c r="A231" s="80">
        <v>5</v>
      </c>
      <c r="B231" s="81">
        <v>41010102</v>
      </c>
      <c r="C231" s="82" t="s">
        <v>322</v>
      </c>
      <c r="D231" s="19"/>
      <c r="E231" s="19"/>
      <c r="F231" s="19"/>
      <c r="G231" s="19" t="s">
        <v>179</v>
      </c>
      <c r="H231" s="19" t="s">
        <v>185</v>
      </c>
      <c r="I231" s="19" t="s">
        <v>168</v>
      </c>
      <c r="J231" s="19" t="s">
        <v>183</v>
      </c>
      <c r="K231" s="19" t="s">
        <v>26</v>
      </c>
      <c r="L231" s="19" t="s">
        <v>217</v>
      </c>
      <c r="M231" s="19" t="s">
        <v>222</v>
      </c>
      <c r="N231" s="19" t="s">
        <v>228</v>
      </c>
      <c r="O231" s="38"/>
      <c r="P231" s="102">
        <f>VLOOKUP(Table3[[#This Row],[Depth of cover]],'TPI. Pa.'!$B$3:$C$52,2,0)</f>
        <v>2</v>
      </c>
      <c r="Q231" s="19">
        <f>VLOOKUP(Table3[[#This Row],[Additional protection]],'TPI. Pa.'!$B$3:$C$52,2,0)</f>
        <v>5</v>
      </c>
      <c r="R231" s="19">
        <f>VLOOKUP(Table3[[#This Row],[Failure due to TPI]],'TPI. Pa.'!$B$3:$C$52,2,0)</f>
        <v>4</v>
      </c>
      <c r="S231" s="19">
        <f>VLOOKUP(Table3[[#This Row],[Activity Level]],'TPI. Pa.'!$B$3:$C$52,2,0)</f>
        <v>10</v>
      </c>
      <c r="T231" s="19">
        <f>VLOOKUP(Table3[[#This Row],[Patrol frequency]],'TPI. Pa.'!$B$3:$C$52,2,0)</f>
        <v>1</v>
      </c>
      <c r="U231" s="19">
        <f>VLOOKUP(Table3[[#This Row],[Proxutil]],'TPI. Pa.'!$B$3:$C$52,2,0)</f>
        <v>5</v>
      </c>
      <c r="V231" s="19">
        <f>VLOOKUP(Table3[[#This Row],[ROW]],'TPI. Pa.'!$B$3:$C$52,2,0)</f>
        <v>10</v>
      </c>
      <c r="W231" s="19">
        <f>VLOOKUP(Table3[[#This Row],[ROW condition]],'TPI. Pa.'!$B$3:$C$52,2,0)</f>
        <v>3</v>
      </c>
      <c r="X23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2" spans="1:24" hidden="1">
      <c r="A232" s="80">
        <v>5</v>
      </c>
      <c r="B232" s="81">
        <v>41010103</v>
      </c>
      <c r="C232" s="82" t="s">
        <v>787</v>
      </c>
      <c r="D232" s="19"/>
      <c r="E232" s="19"/>
      <c r="F232" s="19"/>
      <c r="G232" s="19" t="s">
        <v>179</v>
      </c>
      <c r="H232" s="19" t="s">
        <v>185</v>
      </c>
      <c r="I232" s="19" t="s">
        <v>168</v>
      </c>
      <c r="J232" s="19" t="s">
        <v>191</v>
      </c>
      <c r="K232" s="19" t="s">
        <v>26</v>
      </c>
      <c r="L232" s="19" t="s">
        <v>217</v>
      </c>
      <c r="M232" s="19" t="s">
        <v>222</v>
      </c>
      <c r="N232" s="19" t="s">
        <v>228</v>
      </c>
      <c r="O232" s="38"/>
      <c r="P232" s="102">
        <f>VLOOKUP(Table3[[#This Row],[Depth of cover]],'TPI. Pa.'!$B$3:$C$52,2,0)</f>
        <v>2</v>
      </c>
      <c r="Q232" s="19">
        <f>VLOOKUP(Table3[[#This Row],[Additional protection]],'TPI. Pa.'!$B$3:$C$52,2,0)</f>
        <v>5</v>
      </c>
      <c r="R232" s="19">
        <f>VLOOKUP(Table3[[#This Row],[Failure due to TPI]],'TPI. Pa.'!$B$3:$C$52,2,0)</f>
        <v>4</v>
      </c>
      <c r="S232" s="19">
        <f>VLOOKUP(Table3[[#This Row],[Activity Level]],'TPI. Pa.'!$B$3:$C$52,2,0)</f>
        <v>3</v>
      </c>
      <c r="T232" s="19">
        <f>VLOOKUP(Table3[[#This Row],[Patrol frequency]],'TPI. Pa.'!$B$3:$C$52,2,0)</f>
        <v>1</v>
      </c>
      <c r="U232" s="19">
        <f>VLOOKUP(Table3[[#This Row],[Proxutil]],'TPI. Pa.'!$B$3:$C$52,2,0)</f>
        <v>5</v>
      </c>
      <c r="V232" s="19">
        <f>VLOOKUP(Table3[[#This Row],[ROW]],'TPI. Pa.'!$B$3:$C$52,2,0)</f>
        <v>10</v>
      </c>
      <c r="W232" s="19">
        <f>VLOOKUP(Table3[[#This Row],[ROW condition]],'TPI. Pa.'!$B$3:$C$52,2,0)</f>
        <v>3</v>
      </c>
      <c r="X23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33" spans="1:24" ht="25.5" hidden="1">
      <c r="A233" s="84">
        <v>6</v>
      </c>
      <c r="B233" s="81">
        <v>4457</v>
      </c>
      <c r="C233" s="82" t="s">
        <v>323</v>
      </c>
      <c r="D233" s="19"/>
      <c r="E233" s="19"/>
      <c r="F233" s="19"/>
      <c r="G233" s="19" t="s">
        <v>179</v>
      </c>
      <c r="H233" s="19" t="s">
        <v>185</v>
      </c>
      <c r="I233" s="19" t="s">
        <v>168</v>
      </c>
      <c r="J233" s="19" t="s">
        <v>183</v>
      </c>
      <c r="K233" s="19" t="s">
        <v>26</v>
      </c>
      <c r="L233" s="19" t="s">
        <v>217</v>
      </c>
      <c r="M233" s="19" t="s">
        <v>222</v>
      </c>
      <c r="N233" s="19" t="s">
        <v>228</v>
      </c>
      <c r="O233" s="38"/>
      <c r="P233" s="102">
        <f>VLOOKUP(Table3[[#This Row],[Depth of cover]],'TPI. Pa.'!$B$3:$C$52,2,0)</f>
        <v>2</v>
      </c>
      <c r="Q233" s="19">
        <f>VLOOKUP(Table3[[#This Row],[Additional protection]],'TPI. Pa.'!$B$3:$C$52,2,0)</f>
        <v>5</v>
      </c>
      <c r="R233" s="19">
        <f>VLOOKUP(Table3[[#This Row],[Failure due to TPI]],'TPI. Pa.'!$B$3:$C$52,2,0)</f>
        <v>4</v>
      </c>
      <c r="S233" s="19">
        <f>VLOOKUP(Table3[[#This Row],[Activity Level]],'TPI. Pa.'!$B$3:$C$52,2,0)</f>
        <v>10</v>
      </c>
      <c r="T233" s="19">
        <f>VLOOKUP(Table3[[#This Row],[Patrol frequency]],'TPI. Pa.'!$B$3:$C$52,2,0)</f>
        <v>1</v>
      </c>
      <c r="U233" s="19">
        <f>VLOOKUP(Table3[[#This Row],[Proxutil]],'TPI. Pa.'!$B$3:$C$52,2,0)</f>
        <v>5</v>
      </c>
      <c r="V233" s="19">
        <f>VLOOKUP(Table3[[#This Row],[ROW]],'TPI. Pa.'!$B$3:$C$52,2,0)</f>
        <v>10</v>
      </c>
      <c r="W233" s="19">
        <f>VLOOKUP(Table3[[#This Row],[ROW condition]],'TPI. Pa.'!$B$3:$C$52,2,0)</f>
        <v>3</v>
      </c>
      <c r="X23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4" spans="1:24" hidden="1">
      <c r="A234" s="84">
        <v>6</v>
      </c>
      <c r="B234" s="81">
        <v>5062</v>
      </c>
      <c r="C234" s="82" t="s">
        <v>324</v>
      </c>
      <c r="D234" s="19"/>
      <c r="E234" s="19"/>
      <c r="F234" s="19"/>
      <c r="G234" s="19" t="s">
        <v>179</v>
      </c>
      <c r="H234" s="19" t="s">
        <v>185</v>
      </c>
      <c r="I234" s="19" t="s">
        <v>168</v>
      </c>
      <c r="J234" s="19" t="s">
        <v>191</v>
      </c>
      <c r="K234" s="19" t="s">
        <v>26</v>
      </c>
      <c r="L234" s="19" t="s">
        <v>217</v>
      </c>
      <c r="M234" s="19" t="s">
        <v>222</v>
      </c>
      <c r="N234" s="19" t="s">
        <v>228</v>
      </c>
      <c r="O234" s="38"/>
      <c r="P234" s="102">
        <f>VLOOKUP(Table3[[#This Row],[Depth of cover]],'TPI. Pa.'!$B$3:$C$52,2,0)</f>
        <v>2</v>
      </c>
      <c r="Q234" s="19">
        <f>VLOOKUP(Table3[[#This Row],[Additional protection]],'TPI. Pa.'!$B$3:$C$52,2,0)</f>
        <v>5</v>
      </c>
      <c r="R234" s="19">
        <f>VLOOKUP(Table3[[#This Row],[Failure due to TPI]],'TPI. Pa.'!$B$3:$C$52,2,0)</f>
        <v>4</v>
      </c>
      <c r="S234" s="19">
        <f>VLOOKUP(Table3[[#This Row],[Activity Level]],'TPI. Pa.'!$B$3:$C$52,2,0)</f>
        <v>3</v>
      </c>
      <c r="T234" s="19">
        <f>VLOOKUP(Table3[[#This Row],[Patrol frequency]],'TPI. Pa.'!$B$3:$C$52,2,0)</f>
        <v>1</v>
      </c>
      <c r="U234" s="19">
        <f>VLOOKUP(Table3[[#This Row],[Proxutil]],'TPI. Pa.'!$B$3:$C$52,2,0)</f>
        <v>5</v>
      </c>
      <c r="V234" s="19">
        <f>VLOOKUP(Table3[[#This Row],[ROW]],'TPI. Pa.'!$B$3:$C$52,2,0)</f>
        <v>10</v>
      </c>
      <c r="W234" s="19">
        <f>VLOOKUP(Table3[[#This Row],[ROW condition]],'TPI. Pa.'!$B$3:$C$52,2,0)</f>
        <v>3</v>
      </c>
      <c r="X23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35" spans="1:24" hidden="1">
      <c r="A235" s="84">
        <v>6</v>
      </c>
      <c r="B235" s="81">
        <v>6100</v>
      </c>
      <c r="C235" s="82" t="s">
        <v>325</v>
      </c>
      <c r="D235" s="19"/>
      <c r="E235" s="19"/>
      <c r="F235" s="19"/>
      <c r="G235" s="19" t="s">
        <v>179</v>
      </c>
      <c r="H235" s="19" t="s">
        <v>185</v>
      </c>
      <c r="I235" s="19" t="s">
        <v>168</v>
      </c>
      <c r="J235" s="19" t="s">
        <v>191</v>
      </c>
      <c r="K235" s="19" t="s">
        <v>26</v>
      </c>
      <c r="L235" s="19" t="s">
        <v>217</v>
      </c>
      <c r="M235" s="19" t="s">
        <v>222</v>
      </c>
      <c r="N235" s="19" t="s">
        <v>228</v>
      </c>
      <c r="O235" s="38"/>
      <c r="P235" s="102">
        <f>VLOOKUP(Table3[[#This Row],[Depth of cover]],'TPI. Pa.'!$B$3:$C$52,2,0)</f>
        <v>2</v>
      </c>
      <c r="Q235" s="19">
        <f>VLOOKUP(Table3[[#This Row],[Additional protection]],'TPI. Pa.'!$B$3:$C$52,2,0)</f>
        <v>5</v>
      </c>
      <c r="R235" s="19">
        <f>VLOOKUP(Table3[[#This Row],[Failure due to TPI]],'TPI. Pa.'!$B$3:$C$52,2,0)</f>
        <v>4</v>
      </c>
      <c r="S235" s="19">
        <f>VLOOKUP(Table3[[#This Row],[Activity Level]],'TPI. Pa.'!$B$3:$C$52,2,0)</f>
        <v>3</v>
      </c>
      <c r="T235" s="19">
        <f>VLOOKUP(Table3[[#This Row],[Patrol frequency]],'TPI. Pa.'!$B$3:$C$52,2,0)</f>
        <v>1</v>
      </c>
      <c r="U235" s="19">
        <f>VLOOKUP(Table3[[#This Row],[Proxutil]],'TPI. Pa.'!$B$3:$C$52,2,0)</f>
        <v>5</v>
      </c>
      <c r="V235" s="19">
        <f>VLOOKUP(Table3[[#This Row],[ROW]],'TPI. Pa.'!$B$3:$C$52,2,0)</f>
        <v>10</v>
      </c>
      <c r="W235" s="19">
        <f>VLOOKUP(Table3[[#This Row],[ROW condition]],'TPI. Pa.'!$B$3:$C$52,2,0)</f>
        <v>3</v>
      </c>
      <c r="X23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36" spans="1:24" ht="25.5" hidden="1">
      <c r="A236" s="84">
        <v>6</v>
      </c>
      <c r="B236" s="81">
        <v>50611</v>
      </c>
      <c r="C236" s="82" t="s">
        <v>326</v>
      </c>
      <c r="D236" s="19"/>
      <c r="E236" s="19"/>
      <c r="F236" s="19"/>
      <c r="G236" s="19" t="s">
        <v>179</v>
      </c>
      <c r="H236" s="19" t="s">
        <v>185</v>
      </c>
      <c r="I236" s="19" t="s">
        <v>168</v>
      </c>
      <c r="J236" s="167" t="s">
        <v>183</v>
      </c>
      <c r="K236" s="19" t="s">
        <v>26</v>
      </c>
      <c r="L236" s="19" t="s">
        <v>217</v>
      </c>
      <c r="M236" s="19" t="s">
        <v>222</v>
      </c>
      <c r="N236" s="19" t="s">
        <v>228</v>
      </c>
      <c r="O236" s="38"/>
      <c r="P236" s="102">
        <f>VLOOKUP(Table3[[#This Row],[Depth of cover]],'TPI. Pa.'!$B$3:$C$52,2,0)</f>
        <v>2</v>
      </c>
      <c r="Q236" s="19">
        <f>VLOOKUP(Table3[[#This Row],[Additional protection]],'TPI. Pa.'!$B$3:$C$52,2,0)</f>
        <v>5</v>
      </c>
      <c r="R236" s="19">
        <f>VLOOKUP(Table3[[#This Row],[Failure due to TPI]],'TPI. Pa.'!$B$3:$C$52,2,0)</f>
        <v>4</v>
      </c>
      <c r="S236" s="19">
        <f>VLOOKUP(Table3[[#This Row],[Activity Level]],'TPI. Pa.'!$B$3:$C$52,2,0)</f>
        <v>10</v>
      </c>
      <c r="T236" s="19">
        <f>VLOOKUP(Table3[[#This Row],[Patrol frequency]],'TPI. Pa.'!$B$3:$C$52,2,0)</f>
        <v>1</v>
      </c>
      <c r="U236" s="19">
        <f>VLOOKUP(Table3[[#This Row],[Proxutil]],'TPI. Pa.'!$B$3:$C$52,2,0)</f>
        <v>5</v>
      </c>
      <c r="V236" s="19">
        <f>VLOOKUP(Table3[[#This Row],[ROW]],'TPI. Pa.'!$B$3:$C$52,2,0)</f>
        <v>10</v>
      </c>
      <c r="W236" s="19">
        <f>VLOOKUP(Table3[[#This Row],[ROW condition]],'TPI. Pa.'!$B$3:$C$52,2,0)</f>
        <v>3</v>
      </c>
      <c r="X23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7" spans="1:24" hidden="1">
      <c r="A237" s="84">
        <v>6</v>
      </c>
      <c r="B237" s="81">
        <v>445402</v>
      </c>
      <c r="C237" s="82" t="s">
        <v>327</v>
      </c>
      <c r="D237" s="19"/>
      <c r="E237" s="19"/>
      <c r="F237" s="19"/>
      <c r="G237" s="19" t="s">
        <v>179</v>
      </c>
      <c r="H237" s="19" t="s">
        <v>185</v>
      </c>
      <c r="I237" s="19" t="s">
        <v>168</v>
      </c>
      <c r="J237" s="19" t="s">
        <v>183</v>
      </c>
      <c r="K237" s="19" t="s">
        <v>26</v>
      </c>
      <c r="L237" s="19" t="s">
        <v>217</v>
      </c>
      <c r="M237" s="19" t="s">
        <v>222</v>
      </c>
      <c r="N237" s="19" t="s">
        <v>228</v>
      </c>
      <c r="O237" s="38"/>
      <c r="P237" s="102">
        <f>VLOOKUP(Table3[[#This Row],[Depth of cover]],'TPI. Pa.'!$B$3:$C$52,2,0)</f>
        <v>2</v>
      </c>
      <c r="Q237" s="19">
        <f>VLOOKUP(Table3[[#This Row],[Additional protection]],'TPI. Pa.'!$B$3:$C$52,2,0)</f>
        <v>5</v>
      </c>
      <c r="R237" s="19">
        <f>VLOOKUP(Table3[[#This Row],[Failure due to TPI]],'TPI. Pa.'!$B$3:$C$52,2,0)</f>
        <v>4</v>
      </c>
      <c r="S237" s="19">
        <f>VLOOKUP(Table3[[#This Row],[Activity Level]],'TPI. Pa.'!$B$3:$C$52,2,0)</f>
        <v>10</v>
      </c>
      <c r="T237" s="19">
        <f>VLOOKUP(Table3[[#This Row],[Patrol frequency]],'TPI. Pa.'!$B$3:$C$52,2,0)</f>
        <v>1</v>
      </c>
      <c r="U237" s="19">
        <f>VLOOKUP(Table3[[#This Row],[Proxutil]],'TPI. Pa.'!$B$3:$C$52,2,0)</f>
        <v>5</v>
      </c>
      <c r="V237" s="19">
        <f>VLOOKUP(Table3[[#This Row],[ROW]],'TPI. Pa.'!$B$3:$C$52,2,0)</f>
        <v>10</v>
      </c>
      <c r="W237" s="19">
        <f>VLOOKUP(Table3[[#This Row],[ROW condition]],'TPI. Pa.'!$B$3:$C$52,2,0)</f>
        <v>3</v>
      </c>
      <c r="X23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38" spans="1:24" hidden="1">
      <c r="A238" s="84">
        <v>6</v>
      </c>
      <c r="B238" s="81">
        <v>445403</v>
      </c>
      <c r="C238" s="82" t="s">
        <v>328</v>
      </c>
      <c r="D238" s="19"/>
      <c r="E238" s="19"/>
      <c r="F238" s="19"/>
      <c r="G238" s="19" t="s">
        <v>179</v>
      </c>
      <c r="H238" s="19" t="s">
        <v>185</v>
      </c>
      <c r="I238" s="19" t="s">
        <v>168</v>
      </c>
      <c r="J238" s="167" t="s">
        <v>191</v>
      </c>
      <c r="K238" s="19" t="s">
        <v>26</v>
      </c>
      <c r="L238" s="19" t="s">
        <v>217</v>
      </c>
      <c r="M238" s="19" t="s">
        <v>222</v>
      </c>
      <c r="N238" s="19" t="s">
        <v>228</v>
      </c>
      <c r="O238" s="38"/>
      <c r="P238" s="102">
        <f>VLOOKUP(Table3[[#This Row],[Depth of cover]],'TPI. Pa.'!$B$3:$C$52,2,0)</f>
        <v>2</v>
      </c>
      <c r="Q238" s="19">
        <f>VLOOKUP(Table3[[#This Row],[Additional protection]],'TPI. Pa.'!$B$3:$C$52,2,0)</f>
        <v>5</v>
      </c>
      <c r="R238" s="19">
        <f>VLOOKUP(Table3[[#This Row],[Failure due to TPI]],'TPI. Pa.'!$B$3:$C$52,2,0)</f>
        <v>4</v>
      </c>
      <c r="S238" s="19">
        <f>VLOOKUP(Table3[[#This Row],[Activity Level]],'TPI. Pa.'!$B$3:$C$52,2,0)</f>
        <v>3</v>
      </c>
      <c r="T238" s="19">
        <f>VLOOKUP(Table3[[#This Row],[Patrol frequency]],'TPI. Pa.'!$B$3:$C$52,2,0)</f>
        <v>1</v>
      </c>
      <c r="U238" s="19">
        <f>VLOOKUP(Table3[[#This Row],[Proxutil]],'TPI. Pa.'!$B$3:$C$52,2,0)</f>
        <v>5</v>
      </c>
      <c r="V238" s="19">
        <f>VLOOKUP(Table3[[#This Row],[ROW]],'TPI. Pa.'!$B$3:$C$52,2,0)</f>
        <v>10</v>
      </c>
      <c r="W238" s="19">
        <f>VLOOKUP(Table3[[#This Row],[ROW condition]],'TPI. Pa.'!$B$3:$C$52,2,0)</f>
        <v>3</v>
      </c>
      <c r="X23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39" spans="1:24" ht="25.5" hidden="1">
      <c r="A239" s="84">
        <v>6</v>
      </c>
      <c r="B239" s="81">
        <v>615201</v>
      </c>
      <c r="C239" s="82" t="s">
        <v>329</v>
      </c>
      <c r="D239" s="19"/>
      <c r="E239" s="19"/>
      <c r="F239" s="19"/>
      <c r="G239" s="19" t="s">
        <v>179</v>
      </c>
      <c r="H239" s="19" t="s">
        <v>185</v>
      </c>
      <c r="I239" s="19" t="s">
        <v>168</v>
      </c>
      <c r="J239" s="19" t="s">
        <v>183</v>
      </c>
      <c r="K239" s="19" t="s">
        <v>26</v>
      </c>
      <c r="L239" s="19" t="s">
        <v>217</v>
      </c>
      <c r="M239" s="19" t="s">
        <v>222</v>
      </c>
      <c r="N239" s="19" t="s">
        <v>228</v>
      </c>
      <c r="O239" s="38"/>
      <c r="P239" s="102">
        <f>VLOOKUP(Table3[[#This Row],[Depth of cover]],'TPI. Pa.'!$B$3:$C$52,2,0)</f>
        <v>2</v>
      </c>
      <c r="Q239" s="19">
        <f>VLOOKUP(Table3[[#This Row],[Additional protection]],'TPI. Pa.'!$B$3:$C$52,2,0)</f>
        <v>5</v>
      </c>
      <c r="R239" s="19">
        <f>VLOOKUP(Table3[[#This Row],[Failure due to TPI]],'TPI. Pa.'!$B$3:$C$52,2,0)</f>
        <v>4</v>
      </c>
      <c r="S239" s="19">
        <f>VLOOKUP(Table3[[#This Row],[Activity Level]],'TPI. Pa.'!$B$3:$C$52,2,0)</f>
        <v>10</v>
      </c>
      <c r="T239" s="19">
        <f>VLOOKUP(Table3[[#This Row],[Patrol frequency]],'TPI. Pa.'!$B$3:$C$52,2,0)</f>
        <v>1</v>
      </c>
      <c r="U239" s="19">
        <f>VLOOKUP(Table3[[#This Row],[Proxutil]],'TPI. Pa.'!$B$3:$C$52,2,0)</f>
        <v>5</v>
      </c>
      <c r="V239" s="19">
        <f>VLOOKUP(Table3[[#This Row],[ROW]],'TPI. Pa.'!$B$3:$C$52,2,0)</f>
        <v>10</v>
      </c>
      <c r="W239" s="19">
        <f>VLOOKUP(Table3[[#This Row],[ROW condition]],'TPI. Pa.'!$B$3:$C$52,2,0)</f>
        <v>3</v>
      </c>
      <c r="X23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0" spans="1:24" ht="13.5" hidden="1" customHeight="1">
      <c r="A240" s="84">
        <v>6</v>
      </c>
      <c r="B240" s="81">
        <v>616101</v>
      </c>
      <c r="C240" s="82" t="s">
        <v>330</v>
      </c>
      <c r="D240" s="19"/>
      <c r="E240" s="19"/>
      <c r="F240" s="19"/>
      <c r="G240" s="19" t="s">
        <v>179</v>
      </c>
      <c r="H240" s="19" t="s">
        <v>185</v>
      </c>
      <c r="I240" s="19" t="s">
        <v>168</v>
      </c>
      <c r="J240" s="19" t="s">
        <v>183</v>
      </c>
      <c r="K240" s="19" t="s">
        <v>26</v>
      </c>
      <c r="L240" s="19" t="s">
        <v>217</v>
      </c>
      <c r="M240" s="19" t="s">
        <v>222</v>
      </c>
      <c r="N240" s="19" t="s">
        <v>228</v>
      </c>
      <c r="O240" s="38"/>
      <c r="P240" s="102">
        <f>VLOOKUP(Table3[[#This Row],[Depth of cover]],'TPI. Pa.'!$B$3:$C$52,2,0)</f>
        <v>2</v>
      </c>
      <c r="Q240" s="19">
        <f>VLOOKUP(Table3[[#This Row],[Additional protection]],'TPI. Pa.'!$B$3:$C$52,2,0)</f>
        <v>5</v>
      </c>
      <c r="R240" s="19">
        <f>VLOOKUP(Table3[[#This Row],[Failure due to TPI]],'TPI. Pa.'!$B$3:$C$52,2,0)</f>
        <v>4</v>
      </c>
      <c r="S240" s="19">
        <f>VLOOKUP(Table3[[#This Row],[Activity Level]],'TPI. Pa.'!$B$3:$C$52,2,0)</f>
        <v>10</v>
      </c>
      <c r="T240" s="19">
        <f>VLOOKUP(Table3[[#This Row],[Patrol frequency]],'TPI. Pa.'!$B$3:$C$52,2,0)</f>
        <v>1</v>
      </c>
      <c r="U240" s="19">
        <f>VLOOKUP(Table3[[#This Row],[Proxutil]],'TPI. Pa.'!$B$3:$C$52,2,0)</f>
        <v>5</v>
      </c>
      <c r="V240" s="19">
        <f>VLOOKUP(Table3[[#This Row],[ROW]],'TPI. Pa.'!$B$3:$C$52,2,0)</f>
        <v>10</v>
      </c>
      <c r="W240" s="19">
        <f>VLOOKUP(Table3[[#This Row],[ROW condition]],'TPI. Pa.'!$B$3:$C$52,2,0)</f>
        <v>3</v>
      </c>
      <c r="X24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1" spans="1:24" hidden="1">
      <c r="A241" s="84">
        <v>6</v>
      </c>
      <c r="B241" s="81">
        <v>617801</v>
      </c>
      <c r="C241" s="82" t="s">
        <v>331</v>
      </c>
      <c r="D241" s="19"/>
      <c r="E241" s="19"/>
      <c r="F241" s="19"/>
      <c r="G241" s="19" t="s">
        <v>179</v>
      </c>
      <c r="H241" s="19" t="s">
        <v>185</v>
      </c>
      <c r="I241" s="19" t="s">
        <v>168</v>
      </c>
      <c r="J241" s="167" t="s">
        <v>183</v>
      </c>
      <c r="K241" s="19" t="s">
        <v>26</v>
      </c>
      <c r="L241" s="19" t="s">
        <v>217</v>
      </c>
      <c r="M241" s="19" t="s">
        <v>222</v>
      </c>
      <c r="N241" s="19" t="s">
        <v>228</v>
      </c>
      <c r="O241" s="38"/>
      <c r="P241" s="102">
        <f>VLOOKUP(Table3[[#This Row],[Depth of cover]],'TPI. Pa.'!$B$3:$C$52,2,0)</f>
        <v>2</v>
      </c>
      <c r="Q241" s="19">
        <f>VLOOKUP(Table3[[#This Row],[Additional protection]],'TPI. Pa.'!$B$3:$C$52,2,0)</f>
        <v>5</v>
      </c>
      <c r="R241" s="19">
        <f>VLOOKUP(Table3[[#This Row],[Failure due to TPI]],'TPI. Pa.'!$B$3:$C$52,2,0)</f>
        <v>4</v>
      </c>
      <c r="S241" s="19">
        <f>VLOOKUP(Table3[[#This Row],[Activity Level]],'TPI. Pa.'!$B$3:$C$52,2,0)</f>
        <v>10</v>
      </c>
      <c r="T241" s="19">
        <f>VLOOKUP(Table3[[#This Row],[Patrol frequency]],'TPI. Pa.'!$B$3:$C$52,2,0)</f>
        <v>1</v>
      </c>
      <c r="U241" s="19">
        <f>VLOOKUP(Table3[[#This Row],[Proxutil]],'TPI. Pa.'!$B$3:$C$52,2,0)</f>
        <v>5</v>
      </c>
      <c r="V241" s="19">
        <f>VLOOKUP(Table3[[#This Row],[ROW]],'TPI. Pa.'!$B$3:$C$52,2,0)</f>
        <v>10</v>
      </c>
      <c r="W241" s="19">
        <f>VLOOKUP(Table3[[#This Row],[ROW condition]],'TPI. Pa.'!$B$3:$C$52,2,0)</f>
        <v>3</v>
      </c>
      <c r="X24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2" spans="1:24" hidden="1">
      <c r="A242" s="84">
        <v>6</v>
      </c>
      <c r="B242" s="81">
        <v>61520101</v>
      </c>
      <c r="C242" s="82" t="s">
        <v>332</v>
      </c>
      <c r="D242" s="19"/>
      <c r="E242" s="19"/>
      <c r="F242" s="19"/>
      <c r="G242" s="19" t="s">
        <v>179</v>
      </c>
      <c r="H242" s="19" t="s">
        <v>185</v>
      </c>
      <c r="I242" s="19" t="s">
        <v>168</v>
      </c>
      <c r="J242" s="19" t="s">
        <v>183</v>
      </c>
      <c r="K242" s="19" t="s">
        <v>26</v>
      </c>
      <c r="L242" s="19" t="s">
        <v>217</v>
      </c>
      <c r="M242" s="19" t="s">
        <v>222</v>
      </c>
      <c r="N242" s="19" t="s">
        <v>228</v>
      </c>
      <c r="O242" s="38"/>
      <c r="P242" s="102">
        <f>VLOOKUP(Table3[[#This Row],[Depth of cover]],'TPI. Pa.'!$B$3:$C$52,2,0)</f>
        <v>2</v>
      </c>
      <c r="Q242" s="19">
        <f>VLOOKUP(Table3[[#This Row],[Additional protection]],'TPI. Pa.'!$B$3:$C$52,2,0)</f>
        <v>5</v>
      </c>
      <c r="R242" s="19">
        <f>VLOOKUP(Table3[[#This Row],[Failure due to TPI]],'TPI. Pa.'!$B$3:$C$52,2,0)</f>
        <v>4</v>
      </c>
      <c r="S242" s="19">
        <f>VLOOKUP(Table3[[#This Row],[Activity Level]],'TPI. Pa.'!$B$3:$C$52,2,0)</f>
        <v>10</v>
      </c>
      <c r="T242" s="19">
        <f>VLOOKUP(Table3[[#This Row],[Patrol frequency]],'TPI. Pa.'!$B$3:$C$52,2,0)</f>
        <v>1</v>
      </c>
      <c r="U242" s="19">
        <f>VLOOKUP(Table3[[#This Row],[Proxutil]],'TPI. Pa.'!$B$3:$C$52,2,0)</f>
        <v>5</v>
      </c>
      <c r="V242" s="19">
        <f>VLOOKUP(Table3[[#This Row],[ROW]],'TPI. Pa.'!$B$3:$C$52,2,0)</f>
        <v>10</v>
      </c>
      <c r="W242" s="19">
        <f>VLOOKUP(Table3[[#This Row],[ROW condition]],'TPI. Pa.'!$B$3:$C$52,2,0)</f>
        <v>3</v>
      </c>
      <c r="X24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3" spans="1:24" ht="25.5" hidden="1">
      <c r="A243" s="84">
        <v>6</v>
      </c>
      <c r="B243" s="81">
        <v>61610101</v>
      </c>
      <c r="C243" s="82" t="s">
        <v>333</v>
      </c>
      <c r="D243" s="19"/>
      <c r="E243" s="19"/>
      <c r="F243" s="19"/>
      <c r="G243" s="19" t="s">
        <v>179</v>
      </c>
      <c r="H243" s="19" t="s">
        <v>185</v>
      </c>
      <c r="I243" s="19" t="s">
        <v>168</v>
      </c>
      <c r="J243" s="19" t="s">
        <v>183</v>
      </c>
      <c r="K243" s="19" t="s">
        <v>26</v>
      </c>
      <c r="L243" s="19" t="s">
        <v>217</v>
      </c>
      <c r="M243" s="19" t="s">
        <v>222</v>
      </c>
      <c r="N243" s="19" t="s">
        <v>228</v>
      </c>
      <c r="O243" s="38"/>
      <c r="P243" s="102">
        <f>VLOOKUP(Table3[[#This Row],[Depth of cover]],'TPI. Pa.'!$B$3:$C$52,2,0)</f>
        <v>2</v>
      </c>
      <c r="Q243" s="19">
        <f>VLOOKUP(Table3[[#This Row],[Additional protection]],'TPI. Pa.'!$B$3:$C$52,2,0)</f>
        <v>5</v>
      </c>
      <c r="R243" s="19">
        <f>VLOOKUP(Table3[[#This Row],[Failure due to TPI]],'TPI. Pa.'!$B$3:$C$52,2,0)</f>
        <v>4</v>
      </c>
      <c r="S243" s="19">
        <f>VLOOKUP(Table3[[#This Row],[Activity Level]],'TPI. Pa.'!$B$3:$C$52,2,0)</f>
        <v>10</v>
      </c>
      <c r="T243" s="19">
        <f>VLOOKUP(Table3[[#This Row],[Patrol frequency]],'TPI. Pa.'!$B$3:$C$52,2,0)</f>
        <v>1</v>
      </c>
      <c r="U243" s="19">
        <f>VLOOKUP(Table3[[#This Row],[Proxutil]],'TPI. Pa.'!$B$3:$C$52,2,0)</f>
        <v>5</v>
      </c>
      <c r="V243" s="19">
        <f>VLOOKUP(Table3[[#This Row],[ROW]],'TPI. Pa.'!$B$3:$C$52,2,0)</f>
        <v>10</v>
      </c>
      <c r="W243" s="19">
        <f>VLOOKUP(Table3[[#This Row],[ROW condition]],'TPI. Pa.'!$B$3:$C$52,2,0)</f>
        <v>3</v>
      </c>
      <c r="X24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4" spans="1:24" ht="25.5" hidden="1">
      <c r="A244" s="84">
        <v>6</v>
      </c>
      <c r="B244" s="81">
        <v>4457010102</v>
      </c>
      <c r="C244" s="82" t="s">
        <v>334</v>
      </c>
      <c r="D244" s="19"/>
      <c r="E244" s="19"/>
      <c r="F244" s="19"/>
      <c r="G244" s="19" t="s">
        <v>179</v>
      </c>
      <c r="H244" s="19" t="s">
        <v>185</v>
      </c>
      <c r="I244" s="19" t="s">
        <v>168</v>
      </c>
      <c r="J244" s="19" t="s">
        <v>183</v>
      </c>
      <c r="K244" s="19" t="s">
        <v>26</v>
      </c>
      <c r="L244" s="19" t="s">
        <v>217</v>
      </c>
      <c r="M244" s="19" t="s">
        <v>222</v>
      </c>
      <c r="N244" s="19" t="s">
        <v>228</v>
      </c>
      <c r="O244" s="38"/>
      <c r="P244" s="102">
        <f>VLOOKUP(Table3[[#This Row],[Depth of cover]],'TPI. Pa.'!$B$3:$C$52,2,0)</f>
        <v>2</v>
      </c>
      <c r="Q244" s="19">
        <f>VLOOKUP(Table3[[#This Row],[Additional protection]],'TPI. Pa.'!$B$3:$C$52,2,0)</f>
        <v>5</v>
      </c>
      <c r="R244" s="19">
        <f>VLOOKUP(Table3[[#This Row],[Failure due to TPI]],'TPI. Pa.'!$B$3:$C$52,2,0)</f>
        <v>4</v>
      </c>
      <c r="S244" s="19">
        <f>VLOOKUP(Table3[[#This Row],[Activity Level]],'TPI. Pa.'!$B$3:$C$52,2,0)</f>
        <v>10</v>
      </c>
      <c r="T244" s="19">
        <f>VLOOKUP(Table3[[#This Row],[Patrol frequency]],'TPI. Pa.'!$B$3:$C$52,2,0)</f>
        <v>1</v>
      </c>
      <c r="U244" s="19">
        <f>VLOOKUP(Table3[[#This Row],[Proxutil]],'TPI. Pa.'!$B$3:$C$52,2,0)</f>
        <v>5</v>
      </c>
      <c r="V244" s="19">
        <f>VLOOKUP(Table3[[#This Row],[ROW]],'TPI. Pa.'!$B$3:$C$52,2,0)</f>
        <v>10</v>
      </c>
      <c r="W244" s="19">
        <f>VLOOKUP(Table3[[#This Row],[ROW condition]],'TPI. Pa.'!$B$3:$C$52,2,0)</f>
        <v>3</v>
      </c>
      <c r="X24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5" spans="1:24" hidden="1">
      <c r="A245" s="80">
        <v>6</v>
      </c>
      <c r="B245" s="81">
        <v>4457010103</v>
      </c>
      <c r="C245" s="82" t="s">
        <v>791</v>
      </c>
      <c r="D245" s="19"/>
      <c r="E245" s="19"/>
      <c r="F245" s="19"/>
      <c r="G245" s="19" t="s">
        <v>179</v>
      </c>
      <c r="H245" s="19" t="s">
        <v>185</v>
      </c>
      <c r="I245" s="19" t="s">
        <v>168</v>
      </c>
      <c r="J245" s="19" t="s">
        <v>183</v>
      </c>
      <c r="K245" s="19" t="s">
        <v>26</v>
      </c>
      <c r="L245" s="19" t="s">
        <v>217</v>
      </c>
      <c r="M245" s="19" t="s">
        <v>222</v>
      </c>
      <c r="N245" s="19" t="s">
        <v>228</v>
      </c>
      <c r="O245" s="38"/>
      <c r="P245" s="102">
        <f>VLOOKUP(Table3[[#This Row],[Depth of cover]],'TPI. Pa.'!$B$3:$C$52,2,0)</f>
        <v>2</v>
      </c>
      <c r="Q245" s="19">
        <f>VLOOKUP(Table3[[#This Row],[Additional protection]],'TPI. Pa.'!$B$3:$C$52,2,0)</f>
        <v>5</v>
      </c>
      <c r="R245" s="19">
        <f>VLOOKUP(Table3[[#This Row],[Failure due to TPI]],'TPI. Pa.'!$B$3:$C$52,2,0)</f>
        <v>4</v>
      </c>
      <c r="S245" s="19">
        <f>VLOOKUP(Table3[[#This Row],[Activity Level]],'TPI. Pa.'!$B$3:$C$52,2,0)</f>
        <v>10</v>
      </c>
      <c r="T245" s="19">
        <f>VLOOKUP(Table3[[#This Row],[Patrol frequency]],'TPI. Pa.'!$B$3:$C$52,2,0)</f>
        <v>1</v>
      </c>
      <c r="U245" s="19">
        <f>VLOOKUP(Table3[[#This Row],[Proxutil]],'TPI. Pa.'!$B$3:$C$52,2,0)</f>
        <v>5</v>
      </c>
      <c r="V245" s="19">
        <f>VLOOKUP(Table3[[#This Row],[ROW]],'TPI. Pa.'!$B$3:$C$52,2,0)</f>
        <v>10</v>
      </c>
      <c r="W245" s="19">
        <f>VLOOKUP(Table3[[#This Row],[ROW condition]],'TPI. Pa.'!$B$3:$C$52,2,0)</f>
        <v>3</v>
      </c>
      <c r="X24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6" spans="1:24" hidden="1">
      <c r="A246" s="84">
        <v>6</v>
      </c>
      <c r="B246" s="81">
        <v>4457010104</v>
      </c>
      <c r="C246" s="82" t="s">
        <v>335</v>
      </c>
      <c r="D246" s="19"/>
      <c r="E246" s="19"/>
      <c r="F246" s="19"/>
      <c r="G246" s="19" t="s">
        <v>179</v>
      </c>
      <c r="H246" s="19" t="s">
        <v>185</v>
      </c>
      <c r="I246" s="19" t="s">
        <v>168</v>
      </c>
      <c r="J246" s="19" t="s">
        <v>183</v>
      </c>
      <c r="K246" s="19" t="s">
        <v>26</v>
      </c>
      <c r="L246" s="19" t="s">
        <v>217</v>
      </c>
      <c r="M246" s="19" t="s">
        <v>222</v>
      </c>
      <c r="N246" s="19" t="s">
        <v>228</v>
      </c>
      <c r="O246" s="38"/>
      <c r="P246" s="102">
        <f>VLOOKUP(Table3[[#This Row],[Depth of cover]],'TPI. Pa.'!$B$3:$C$52,2,0)</f>
        <v>2</v>
      </c>
      <c r="Q246" s="19">
        <f>VLOOKUP(Table3[[#This Row],[Additional protection]],'TPI. Pa.'!$B$3:$C$52,2,0)</f>
        <v>5</v>
      </c>
      <c r="R246" s="19">
        <f>VLOOKUP(Table3[[#This Row],[Failure due to TPI]],'TPI. Pa.'!$B$3:$C$52,2,0)</f>
        <v>4</v>
      </c>
      <c r="S246" s="19">
        <f>VLOOKUP(Table3[[#This Row],[Activity Level]],'TPI. Pa.'!$B$3:$C$52,2,0)</f>
        <v>10</v>
      </c>
      <c r="T246" s="19">
        <f>VLOOKUP(Table3[[#This Row],[Patrol frequency]],'TPI. Pa.'!$B$3:$C$52,2,0)</f>
        <v>1</v>
      </c>
      <c r="U246" s="19">
        <f>VLOOKUP(Table3[[#This Row],[Proxutil]],'TPI. Pa.'!$B$3:$C$52,2,0)</f>
        <v>5</v>
      </c>
      <c r="V246" s="19">
        <f>VLOOKUP(Table3[[#This Row],[ROW]],'TPI. Pa.'!$B$3:$C$52,2,0)</f>
        <v>10</v>
      </c>
      <c r="W246" s="19">
        <f>VLOOKUP(Table3[[#This Row],[ROW condition]],'TPI. Pa.'!$B$3:$C$52,2,0)</f>
        <v>3</v>
      </c>
      <c r="X24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7" spans="1:24" hidden="1">
      <c r="A247" s="84">
        <v>6</v>
      </c>
      <c r="B247" s="81">
        <v>4457010105</v>
      </c>
      <c r="C247" s="82" t="s">
        <v>336</v>
      </c>
      <c r="D247" s="19"/>
      <c r="E247" s="19"/>
      <c r="F247" s="19"/>
      <c r="G247" s="19" t="s">
        <v>179</v>
      </c>
      <c r="H247" s="19" t="s">
        <v>185</v>
      </c>
      <c r="I247" s="19" t="s">
        <v>168</v>
      </c>
      <c r="J247" s="167" t="s">
        <v>183</v>
      </c>
      <c r="K247" s="19" t="s">
        <v>26</v>
      </c>
      <c r="L247" s="19" t="s">
        <v>217</v>
      </c>
      <c r="M247" s="19" t="s">
        <v>222</v>
      </c>
      <c r="N247" s="19" t="s">
        <v>228</v>
      </c>
      <c r="O247" s="38"/>
      <c r="P247" s="102">
        <f>VLOOKUP(Table3[[#This Row],[Depth of cover]],'TPI. Pa.'!$B$3:$C$52,2,0)</f>
        <v>2</v>
      </c>
      <c r="Q247" s="19">
        <f>VLOOKUP(Table3[[#This Row],[Additional protection]],'TPI. Pa.'!$B$3:$C$52,2,0)</f>
        <v>5</v>
      </c>
      <c r="R247" s="19">
        <f>VLOOKUP(Table3[[#This Row],[Failure due to TPI]],'TPI. Pa.'!$B$3:$C$52,2,0)</f>
        <v>4</v>
      </c>
      <c r="S247" s="19">
        <f>VLOOKUP(Table3[[#This Row],[Activity Level]],'TPI. Pa.'!$B$3:$C$52,2,0)</f>
        <v>10</v>
      </c>
      <c r="T247" s="19">
        <f>VLOOKUP(Table3[[#This Row],[Patrol frequency]],'TPI. Pa.'!$B$3:$C$52,2,0)</f>
        <v>1</v>
      </c>
      <c r="U247" s="19">
        <f>VLOOKUP(Table3[[#This Row],[Proxutil]],'TPI. Pa.'!$B$3:$C$52,2,0)</f>
        <v>5</v>
      </c>
      <c r="V247" s="19">
        <f>VLOOKUP(Table3[[#This Row],[ROW]],'TPI. Pa.'!$B$3:$C$52,2,0)</f>
        <v>10</v>
      </c>
      <c r="W247" s="19">
        <f>VLOOKUP(Table3[[#This Row],[ROW condition]],'TPI. Pa.'!$B$3:$C$52,2,0)</f>
        <v>3</v>
      </c>
      <c r="X24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8" spans="1:24" hidden="1">
      <c r="A248" s="84">
        <v>6</v>
      </c>
      <c r="B248" s="81">
        <v>4457010106</v>
      </c>
      <c r="C248" s="82" t="s">
        <v>337</v>
      </c>
      <c r="D248" s="19"/>
      <c r="E248" s="19"/>
      <c r="F248" s="19"/>
      <c r="G248" s="19" t="s">
        <v>179</v>
      </c>
      <c r="H248" s="19" t="s">
        <v>185</v>
      </c>
      <c r="I248" s="19" t="s">
        <v>168</v>
      </c>
      <c r="J248" s="19" t="s">
        <v>183</v>
      </c>
      <c r="K248" s="19" t="s">
        <v>26</v>
      </c>
      <c r="L248" s="19" t="s">
        <v>217</v>
      </c>
      <c r="M248" s="19" t="s">
        <v>222</v>
      </c>
      <c r="N248" s="19" t="s">
        <v>228</v>
      </c>
      <c r="O248" s="38"/>
      <c r="P248" s="102">
        <f>VLOOKUP(Table3[[#This Row],[Depth of cover]],'TPI. Pa.'!$B$3:$C$52,2,0)</f>
        <v>2</v>
      </c>
      <c r="Q248" s="19">
        <f>VLOOKUP(Table3[[#This Row],[Additional protection]],'TPI. Pa.'!$B$3:$C$52,2,0)</f>
        <v>5</v>
      </c>
      <c r="R248" s="19">
        <f>VLOOKUP(Table3[[#This Row],[Failure due to TPI]],'TPI. Pa.'!$B$3:$C$52,2,0)</f>
        <v>4</v>
      </c>
      <c r="S248" s="19">
        <f>VLOOKUP(Table3[[#This Row],[Activity Level]],'TPI. Pa.'!$B$3:$C$52,2,0)</f>
        <v>10</v>
      </c>
      <c r="T248" s="19">
        <f>VLOOKUP(Table3[[#This Row],[Patrol frequency]],'TPI. Pa.'!$B$3:$C$52,2,0)</f>
        <v>1</v>
      </c>
      <c r="U248" s="19">
        <f>VLOOKUP(Table3[[#This Row],[Proxutil]],'TPI. Pa.'!$B$3:$C$52,2,0)</f>
        <v>5</v>
      </c>
      <c r="V248" s="19">
        <f>VLOOKUP(Table3[[#This Row],[ROW]],'TPI. Pa.'!$B$3:$C$52,2,0)</f>
        <v>10</v>
      </c>
      <c r="W248" s="19">
        <f>VLOOKUP(Table3[[#This Row],[ROW condition]],'TPI. Pa.'!$B$3:$C$52,2,0)</f>
        <v>3</v>
      </c>
      <c r="X24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49" spans="1:24" hidden="1">
      <c r="A249" s="84">
        <v>6</v>
      </c>
      <c r="B249" s="81">
        <v>4457010108</v>
      </c>
      <c r="C249" s="82" t="s">
        <v>338</v>
      </c>
      <c r="D249" s="19"/>
      <c r="E249" s="19"/>
      <c r="F249" s="19"/>
      <c r="G249" s="19" t="s">
        <v>179</v>
      </c>
      <c r="H249" s="19" t="s">
        <v>185</v>
      </c>
      <c r="I249" s="19" t="s">
        <v>168</v>
      </c>
      <c r="J249" s="19" t="s">
        <v>183</v>
      </c>
      <c r="K249" s="19" t="s">
        <v>26</v>
      </c>
      <c r="L249" s="19" t="s">
        <v>217</v>
      </c>
      <c r="M249" s="19" t="s">
        <v>222</v>
      </c>
      <c r="N249" s="19" t="s">
        <v>228</v>
      </c>
      <c r="O249" s="38"/>
      <c r="P249" s="102">
        <f>VLOOKUP(Table3[[#This Row],[Depth of cover]],'TPI. Pa.'!$B$3:$C$52,2,0)</f>
        <v>2</v>
      </c>
      <c r="Q249" s="19">
        <f>VLOOKUP(Table3[[#This Row],[Additional protection]],'TPI. Pa.'!$B$3:$C$52,2,0)</f>
        <v>5</v>
      </c>
      <c r="R249" s="19">
        <f>VLOOKUP(Table3[[#This Row],[Failure due to TPI]],'TPI. Pa.'!$B$3:$C$52,2,0)</f>
        <v>4</v>
      </c>
      <c r="S249" s="19">
        <f>VLOOKUP(Table3[[#This Row],[Activity Level]],'TPI. Pa.'!$B$3:$C$52,2,0)</f>
        <v>10</v>
      </c>
      <c r="T249" s="19">
        <f>VLOOKUP(Table3[[#This Row],[Patrol frequency]],'TPI. Pa.'!$B$3:$C$52,2,0)</f>
        <v>1</v>
      </c>
      <c r="U249" s="19">
        <f>VLOOKUP(Table3[[#This Row],[Proxutil]],'TPI. Pa.'!$B$3:$C$52,2,0)</f>
        <v>5</v>
      </c>
      <c r="V249" s="19">
        <f>VLOOKUP(Table3[[#This Row],[ROW]],'TPI. Pa.'!$B$3:$C$52,2,0)</f>
        <v>10</v>
      </c>
      <c r="W249" s="19">
        <f>VLOOKUP(Table3[[#This Row],[ROW condition]],'TPI. Pa.'!$B$3:$C$52,2,0)</f>
        <v>3</v>
      </c>
      <c r="X24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0" spans="1:24" hidden="1">
      <c r="A250" s="80">
        <v>6</v>
      </c>
      <c r="B250" s="81" t="s">
        <v>974</v>
      </c>
      <c r="C250" s="82" t="s">
        <v>777</v>
      </c>
      <c r="D250" s="19"/>
      <c r="E250" s="19"/>
      <c r="F250" s="19"/>
      <c r="G250" s="19" t="s">
        <v>179</v>
      </c>
      <c r="H250" s="19" t="s">
        <v>185</v>
      </c>
      <c r="I250" s="19" t="s">
        <v>168</v>
      </c>
      <c r="J250" s="19" t="s">
        <v>183</v>
      </c>
      <c r="K250" s="19" t="s">
        <v>26</v>
      </c>
      <c r="L250" s="19" t="s">
        <v>217</v>
      </c>
      <c r="M250" s="19" t="s">
        <v>222</v>
      </c>
      <c r="N250" s="19" t="s">
        <v>228</v>
      </c>
      <c r="O250" s="38"/>
      <c r="P250" s="102">
        <f>VLOOKUP(Table3[[#This Row],[Depth of cover]],'TPI. Pa.'!$B$3:$C$52,2,0)</f>
        <v>2</v>
      </c>
      <c r="Q250" s="19">
        <f>VLOOKUP(Table3[[#This Row],[Additional protection]],'TPI. Pa.'!$B$3:$C$52,2,0)</f>
        <v>5</v>
      </c>
      <c r="R250" s="19">
        <f>VLOOKUP(Table3[[#This Row],[Failure due to TPI]],'TPI. Pa.'!$B$3:$C$52,2,0)</f>
        <v>4</v>
      </c>
      <c r="S250" s="19">
        <f>VLOOKUP(Table3[[#This Row],[Activity Level]],'TPI. Pa.'!$B$3:$C$52,2,0)</f>
        <v>10</v>
      </c>
      <c r="T250" s="19">
        <f>VLOOKUP(Table3[[#This Row],[Patrol frequency]],'TPI. Pa.'!$B$3:$C$52,2,0)</f>
        <v>1</v>
      </c>
      <c r="U250" s="19">
        <f>VLOOKUP(Table3[[#This Row],[Proxutil]],'TPI. Pa.'!$B$3:$C$52,2,0)</f>
        <v>5</v>
      </c>
      <c r="V250" s="19">
        <f>VLOOKUP(Table3[[#This Row],[ROW]],'TPI. Pa.'!$B$3:$C$52,2,0)</f>
        <v>10</v>
      </c>
      <c r="W250" s="19">
        <f>VLOOKUP(Table3[[#This Row],[ROW condition]],'TPI. Pa.'!$B$3:$C$52,2,0)</f>
        <v>3</v>
      </c>
      <c r="X25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1" spans="1:24" hidden="1">
      <c r="A251" s="80">
        <v>6</v>
      </c>
      <c r="B251" s="81">
        <v>4457010201</v>
      </c>
      <c r="C251" s="82" t="s">
        <v>789</v>
      </c>
      <c r="D251" s="19"/>
      <c r="E251" s="19"/>
      <c r="F251" s="19"/>
      <c r="G251" s="19" t="s">
        <v>179</v>
      </c>
      <c r="H251" s="19" t="s">
        <v>185</v>
      </c>
      <c r="I251" s="19" t="s">
        <v>168</v>
      </c>
      <c r="J251" s="19" t="s">
        <v>191</v>
      </c>
      <c r="K251" s="19" t="s">
        <v>26</v>
      </c>
      <c r="L251" s="19" t="s">
        <v>217</v>
      </c>
      <c r="M251" s="19" t="s">
        <v>222</v>
      </c>
      <c r="N251" s="19" t="s">
        <v>228</v>
      </c>
      <c r="O251" s="38"/>
      <c r="P251" s="102">
        <f>VLOOKUP(Table3[[#This Row],[Depth of cover]],'TPI. Pa.'!$B$3:$C$52,2,0)</f>
        <v>2</v>
      </c>
      <c r="Q251" s="19">
        <f>VLOOKUP(Table3[[#This Row],[Additional protection]],'TPI. Pa.'!$B$3:$C$52,2,0)</f>
        <v>5</v>
      </c>
      <c r="R251" s="19">
        <f>VLOOKUP(Table3[[#This Row],[Failure due to TPI]],'TPI. Pa.'!$B$3:$C$52,2,0)</f>
        <v>4</v>
      </c>
      <c r="S251" s="19">
        <f>VLOOKUP(Table3[[#This Row],[Activity Level]],'TPI. Pa.'!$B$3:$C$52,2,0)</f>
        <v>3</v>
      </c>
      <c r="T251" s="19">
        <f>VLOOKUP(Table3[[#This Row],[Patrol frequency]],'TPI. Pa.'!$B$3:$C$52,2,0)</f>
        <v>1</v>
      </c>
      <c r="U251" s="19">
        <f>VLOOKUP(Table3[[#This Row],[Proxutil]],'TPI. Pa.'!$B$3:$C$52,2,0)</f>
        <v>5</v>
      </c>
      <c r="V251" s="19">
        <f>VLOOKUP(Table3[[#This Row],[ROW]],'TPI. Pa.'!$B$3:$C$52,2,0)</f>
        <v>10</v>
      </c>
      <c r="W251" s="19">
        <f>VLOOKUP(Table3[[#This Row],[ROW condition]],'TPI. Pa.'!$B$3:$C$52,2,0)</f>
        <v>3</v>
      </c>
      <c r="X25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52" spans="1:24" ht="25.5" hidden="1">
      <c r="A252" s="84">
        <v>6</v>
      </c>
      <c r="B252" s="81">
        <v>4457010204</v>
      </c>
      <c r="C252" s="82" t="s">
        <v>339</v>
      </c>
      <c r="D252" s="19"/>
      <c r="E252" s="19"/>
      <c r="F252" s="19"/>
      <c r="G252" s="19" t="s">
        <v>179</v>
      </c>
      <c r="H252" s="19" t="s">
        <v>185</v>
      </c>
      <c r="I252" s="19" t="s">
        <v>168</v>
      </c>
      <c r="J252" s="19" t="s">
        <v>183</v>
      </c>
      <c r="K252" s="19" t="s">
        <v>26</v>
      </c>
      <c r="L252" s="19" t="s">
        <v>217</v>
      </c>
      <c r="M252" s="19" t="s">
        <v>222</v>
      </c>
      <c r="N252" s="19" t="s">
        <v>228</v>
      </c>
      <c r="O252" s="38"/>
      <c r="P252" s="102">
        <f>VLOOKUP(Table3[[#This Row],[Depth of cover]],'TPI. Pa.'!$B$3:$C$52,2,0)</f>
        <v>2</v>
      </c>
      <c r="Q252" s="19">
        <f>VLOOKUP(Table3[[#This Row],[Additional protection]],'TPI. Pa.'!$B$3:$C$52,2,0)</f>
        <v>5</v>
      </c>
      <c r="R252" s="19">
        <f>VLOOKUP(Table3[[#This Row],[Failure due to TPI]],'TPI. Pa.'!$B$3:$C$52,2,0)</f>
        <v>4</v>
      </c>
      <c r="S252" s="19">
        <f>VLOOKUP(Table3[[#This Row],[Activity Level]],'TPI. Pa.'!$B$3:$C$52,2,0)</f>
        <v>10</v>
      </c>
      <c r="T252" s="19">
        <f>VLOOKUP(Table3[[#This Row],[Patrol frequency]],'TPI. Pa.'!$B$3:$C$52,2,0)</f>
        <v>1</v>
      </c>
      <c r="U252" s="19">
        <f>VLOOKUP(Table3[[#This Row],[Proxutil]],'TPI. Pa.'!$B$3:$C$52,2,0)</f>
        <v>5</v>
      </c>
      <c r="V252" s="19">
        <f>VLOOKUP(Table3[[#This Row],[ROW]],'TPI. Pa.'!$B$3:$C$52,2,0)</f>
        <v>10</v>
      </c>
      <c r="W252" s="19">
        <f>VLOOKUP(Table3[[#This Row],[ROW condition]],'TPI. Pa.'!$B$3:$C$52,2,0)</f>
        <v>3</v>
      </c>
      <c r="X25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3" spans="1:24">
      <c r="A253" s="84">
        <v>9</v>
      </c>
      <c r="B253" s="81">
        <v>620</v>
      </c>
      <c r="C253" s="82" t="s">
        <v>340</v>
      </c>
      <c r="D253" s="19"/>
      <c r="E253" s="19"/>
      <c r="F253" s="19"/>
      <c r="G253" s="19" t="s">
        <v>179</v>
      </c>
      <c r="H253" s="19" t="s">
        <v>185</v>
      </c>
      <c r="I253" s="19" t="s">
        <v>168</v>
      </c>
      <c r="J253" s="167" t="s">
        <v>190</v>
      </c>
      <c r="K253" s="19" t="s">
        <v>26</v>
      </c>
      <c r="L253" s="19" t="s">
        <v>217</v>
      </c>
      <c r="M253" s="19" t="s">
        <v>222</v>
      </c>
      <c r="N253" s="19" t="s">
        <v>228</v>
      </c>
      <c r="O253" s="38"/>
      <c r="P253" s="102">
        <f>VLOOKUP(Table3[[#This Row],[Depth of cover]],'TPI. Pa.'!$B$3:$C$52,2,0)</f>
        <v>2</v>
      </c>
      <c r="Q253" s="19">
        <f>VLOOKUP(Table3[[#This Row],[Additional protection]],'TPI. Pa.'!$B$3:$C$52,2,0)</f>
        <v>5</v>
      </c>
      <c r="R253" s="19">
        <f>VLOOKUP(Table3[[#This Row],[Failure due to TPI]],'TPI. Pa.'!$B$3:$C$52,2,0)</f>
        <v>4</v>
      </c>
      <c r="S253" s="19">
        <f>VLOOKUP(Table3[[#This Row],[Activity Level]],'TPI. Pa.'!$B$3:$C$52,2,0)</f>
        <v>6</v>
      </c>
      <c r="T253" s="19">
        <f>VLOOKUP(Table3[[#This Row],[Patrol frequency]],'TPI. Pa.'!$B$3:$C$52,2,0)</f>
        <v>1</v>
      </c>
      <c r="U253" s="19">
        <f>VLOOKUP(Table3[[#This Row],[Proxutil]],'TPI. Pa.'!$B$3:$C$52,2,0)</f>
        <v>5</v>
      </c>
      <c r="V253" s="19">
        <f>VLOOKUP(Table3[[#This Row],[ROW]],'TPI. Pa.'!$B$3:$C$52,2,0)</f>
        <v>10</v>
      </c>
      <c r="W253" s="19">
        <f>VLOOKUP(Table3[[#This Row],[ROW condition]],'TPI. Pa.'!$B$3:$C$52,2,0)</f>
        <v>3</v>
      </c>
      <c r="X25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41.81818181818182</v>
      </c>
    </row>
    <row r="254" spans="1:24">
      <c r="A254" s="80">
        <v>9</v>
      </c>
      <c r="B254" s="81">
        <v>6521</v>
      </c>
      <c r="C254" s="82" t="s">
        <v>779</v>
      </c>
      <c r="D254" s="19"/>
      <c r="E254" s="19"/>
      <c r="F254" s="19"/>
      <c r="G254" s="19" t="s">
        <v>179</v>
      </c>
      <c r="H254" s="19" t="s">
        <v>185</v>
      </c>
      <c r="I254" s="19" t="s">
        <v>168</v>
      </c>
      <c r="J254" s="19" t="s">
        <v>183</v>
      </c>
      <c r="K254" s="19" t="s">
        <v>26</v>
      </c>
      <c r="L254" s="19" t="s">
        <v>217</v>
      </c>
      <c r="M254" s="19" t="s">
        <v>222</v>
      </c>
      <c r="N254" s="19" t="s">
        <v>228</v>
      </c>
      <c r="O254" s="38"/>
      <c r="P254" s="102">
        <f>VLOOKUP(Table3[[#This Row],[Depth of cover]],'TPI. Pa.'!$B$3:$C$52,2,0)</f>
        <v>2</v>
      </c>
      <c r="Q254" s="19">
        <f>VLOOKUP(Table3[[#This Row],[Additional protection]],'TPI. Pa.'!$B$3:$C$52,2,0)</f>
        <v>5</v>
      </c>
      <c r="R254" s="19">
        <f>VLOOKUP(Table3[[#This Row],[Failure due to TPI]],'TPI. Pa.'!$B$3:$C$52,2,0)</f>
        <v>4</v>
      </c>
      <c r="S254" s="19">
        <f>VLOOKUP(Table3[[#This Row],[Activity Level]],'TPI. Pa.'!$B$3:$C$52,2,0)</f>
        <v>10</v>
      </c>
      <c r="T254" s="19">
        <f>VLOOKUP(Table3[[#This Row],[Patrol frequency]],'TPI. Pa.'!$B$3:$C$52,2,0)</f>
        <v>1</v>
      </c>
      <c r="U254" s="19">
        <f>VLOOKUP(Table3[[#This Row],[Proxutil]],'TPI. Pa.'!$B$3:$C$52,2,0)</f>
        <v>5</v>
      </c>
      <c r="V254" s="19">
        <f>VLOOKUP(Table3[[#This Row],[ROW]],'TPI. Pa.'!$B$3:$C$52,2,0)</f>
        <v>10</v>
      </c>
      <c r="W254" s="19">
        <f>VLOOKUP(Table3[[#This Row],[ROW condition]],'TPI. Pa.'!$B$3:$C$52,2,0)</f>
        <v>3</v>
      </c>
      <c r="X25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5" spans="1:24">
      <c r="A255" s="80">
        <v>9</v>
      </c>
      <c r="B255" s="81">
        <v>652200002</v>
      </c>
      <c r="C255" s="82" t="s">
        <v>784</v>
      </c>
      <c r="D255" s="19"/>
      <c r="E255" s="19"/>
      <c r="F255" s="19"/>
      <c r="G255" s="19" t="s">
        <v>179</v>
      </c>
      <c r="H255" s="19" t="s">
        <v>185</v>
      </c>
      <c r="I255" s="19" t="s">
        <v>168</v>
      </c>
      <c r="J255" s="19" t="s">
        <v>183</v>
      </c>
      <c r="K255" s="19" t="s">
        <v>26</v>
      </c>
      <c r="L255" s="19" t="s">
        <v>217</v>
      </c>
      <c r="M255" s="19" t="s">
        <v>222</v>
      </c>
      <c r="N255" s="19" t="s">
        <v>228</v>
      </c>
      <c r="O255" s="38"/>
      <c r="P255" s="102">
        <f>VLOOKUP(Table3[[#This Row],[Depth of cover]],'TPI. Pa.'!$B$3:$C$52,2,0)</f>
        <v>2</v>
      </c>
      <c r="Q255" s="19">
        <f>VLOOKUP(Table3[[#This Row],[Additional protection]],'TPI. Pa.'!$B$3:$C$52,2,0)</f>
        <v>5</v>
      </c>
      <c r="R255" s="19">
        <f>VLOOKUP(Table3[[#This Row],[Failure due to TPI]],'TPI. Pa.'!$B$3:$C$52,2,0)</f>
        <v>4</v>
      </c>
      <c r="S255" s="19">
        <f>VLOOKUP(Table3[[#This Row],[Activity Level]],'TPI. Pa.'!$B$3:$C$52,2,0)</f>
        <v>10</v>
      </c>
      <c r="T255" s="19">
        <f>VLOOKUP(Table3[[#This Row],[Patrol frequency]],'TPI. Pa.'!$B$3:$C$52,2,0)</f>
        <v>1</v>
      </c>
      <c r="U255" s="19">
        <f>VLOOKUP(Table3[[#This Row],[Proxutil]],'TPI. Pa.'!$B$3:$C$52,2,0)</f>
        <v>5</v>
      </c>
      <c r="V255" s="19">
        <f>VLOOKUP(Table3[[#This Row],[ROW]],'TPI. Pa.'!$B$3:$C$52,2,0)</f>
        <v>10</v>
      </c>
      <c r="W255" s="19">
        <f>VLOOKUP(Table3[[#This Row],[ROW condition]],'TPI. Pa.'!$B$3:$C$52,2,0)</f>
        <v>3</v>
      </c>
      <c r="X25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6" spans="1:24">
      <c r="A256" s="80">
        <v>9</v>
      </c>
      <c r="B256" s="81">
        <v>6523</v>
      </c>
      <c r="C256" s="82" t="s">
        <v>781</v>
      </c>
      <c r="D256" s="19"/>
      <c r="E256" s="19"/>
      <c r="F256" s="19"/>
      <c r="G256" s="19" t="s">
        <v>179</v>
      </c>
      <c r="H256" s="19" t="s">
        <v>185</v>
      </c>
      <c r="I256" s="19" t="s">
        <v>168</v>
      </c>
      <c r="J256" s="19" t="s">
        <v>183</v>
      </c>
      <c r="K256" s="19" t="s">
        <v>26</v>
      </c>
      <c r="L256" s="19" t="s">
        <v>217</v>
      </c>
      <c r="M256" s="19" t="s">
        <v>222</v>
      </c>
      <c r="N256" s="19" t="s">
        <v>228</v>
      </c>
      <c r="O256" s="38"/>
      <c r="P256" s="102">
        <f>VLOOKUP(Table3[[#This Row],[Depth of cover]],'TPI. Pa.'!$B$3:$C$52,2,0)</f>
        <v>2</v>
      </c>
      <c r="Q256" s="19">
        <f>VLOOKUP(Table3[[#This Row],[Additional protection]],'TPI. Pa.'!$B$3:$C$52,2,0)</f>
        <v>5</v>
      </c>
      <c r="R256" s="19">
        <f>VLOOKUP(Table3[[#This Row],[Failure due to TPI]],'TPI. Pa.'!$B$3:$C$52,2,0)</f>
        <v>4</v>
      </c>
      <c r="S256" s="19">
        <f>VLOOKUP(Table3[[#This Row],[Activity Level]],'TPI. Pa.'!$B$3:$C$52,2,0)</f>
        <v>10</v>
      </c>
      <c r="T256" s="19">
        <f>VLOOKUP(Table3[[#This Row],[Patrol frequency]],'TPI. Pa.'!$B$3:$C$52,2,0)</f>
        <v>1</v>
      </c>
      <c r="U256" s="19">
        <f>VLOOKUP(Table3[[#This Row],[Proxutil]],'TPI. Pa.'!$B$3:$C$52,2,0)</f>
        <v>5</v>
      </c>
      <c r="V256" s="19">
        <f>VLOOKUP(Table3[[#This Row],[ROW]],'TPI. Pa.'!$B$3:$C$52,2,0)</f>
        <v>10</v>
      </c>
      <c r="W256" s="19">
        <f>VLOOKUP(Table3[[#This Row],[ROW condition]],'TPI. Pa.'!$B$3:$C$52,2,0)</f>
        <v>3</v>
      </c>
      <c r="X25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7" spans="1:24">
      <c r="A257" s="80">
        <v>9</v>
      </c>
      <c r="B257" s="81">
        <v>6525</v>
      </c>
      <c r="C257" s="82" t="s">
        <v>799</v>
      </c>
      <c r="D257" s="19"/>
      <c r="E257" s="19"/>
      <c r="F257" s="19"/>
      <c r="G257" s="19" t="s">
        <v>179</v>
      </c>
      <c r="H257" s="19" t="s">
        <v>185</v>
      </c>
      <c r="I257" s="19" t="s">
        <v>168</v>
      </c>
      <c r="J257" s="19" t="s">
        <v>183</v>
      </c>
      <c r="K257" s="19" t="s">
        <v>26</v>
      </c>
      <c r="L257" s="19" t="s">
        <v>217</v>
      </c>
      <c r="M257" s="19" t="s">
        <v>222</v>
      </c>
      <c r="N257" s="19" t="s">
        <v>228</v>
      </c>
      <c r="O257" s="38"/>
      <c r="P257" s="102">
        <f>VLOOKUP(Table3[[#This Row],[Depth of cover]],'TPI. Pa.'!$B$3:$C$52,2,0)</f>
        <v>2</v>
      </c>
      <c r="Q257" s="19">
        <f>VLOOKUP(Table3[[#This Row],[Additional protection]],'TPI. Pa.'!$B$3:$C$52,2,0)</f>
        <v>5</v>
      </c>
      <c r="R257" s="19">
        <f>VLOOKUP(Table3[[#This Row],[Failure due to TPI]],'TPI. Pa.'!$B$3:$C$52,2,0)</f>
        <v>4</v>
      </c>
      <c r="S257" s="19">
        <f>VLOOKUP(Table3[[#This Row],[Activity Level]],'TPI. Pa.'!$B$3:$C$52,2,0)</f>
        <v>10</v>
      </c>
      <c r="T257" s="19">
        <f>VLOOKUP(Table3[[#This Row],[Patrol frequency]],'TPI. Pa.'!$B$3:$C$52,2,0)</f>
        <v>1</v>
      </c>
      <c r="U257" s="19">
        <f>VLOOKUP(Table3[[#This Row],[Proxutil]],'TPI. Pa.'!$B$3:$C$52,2,0)</f>
        <v>5</v>
      </c>
      <c r="V257" s="19">
        <f>VLOOKUP(Table3[[#This Row],[ROW]],'TPI. Pa.'!$B$3:$C$52,2,0)</f>
        <v>10</v>
      </c>
      <c r="W257" s="19">
        <f>VLOOKUP(Table3[[#This Row],[ROW condition]],'TPI. Pa.'!$B$3:$C$52,2,0)</f>
        <v>3</v>
      </c>
      <c r="X25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8" spans="1:24">
      <c r="A258" s="80">
        <v>9</v>
      </c>
      <c r="B258" s="81">
        <v>652501</v>
      </c>
      <c r="C258" s="82"/>
      <c r="D258" s="19"/>
      <c r="E258" s="19"/>
      <c r="F258" s="19"/>
      <c r="G258" s="19" t="s">
        <v>179</v>
      </c>
      <c r="H258" s="19" t="s">
        <v>185</v>
      </c>
      <c r="I258" s="19" t="s">
        <v>168</v>
      </c>
      <c r="J258" s="19" t="s">
        <v>183</v>
      </c>
      <c r="K258" s="19" t="s">
        <v>26</v>
      </c>
      <c r="L258" s="19" t="s">
        <v>217</v>
      </c>
      <c r="M258" s="19" t="s">
        <v>222</v>
      </c>
      <c r="N258" s="19" t="s">
        <v>228</v>
      </c>
      <c r="O258" s="38"/>
      <c r="P258" s="102">
        <f>VLOOKUP(Table3[[#This Row],[Depth of cover]],'TPI. Pa.'!$B$3:$C$52,2,0)</f>
        <v>2</v>
      </c>
      <c r="Q258" s="19">
        <f>VLOOKUP(Table3[[#This Row],[Additional protection]],'TPI. Pa.'!$B$3:$C$52,2,0)</f>
        <v>5</v>
      </c>
      <c r="R258" s="19">
        <f>VLOOKUP(Table3[[#This Row],[Failure due to TPI]],'TPI. Pa.'!$B$3:$C$52,2,0)</f>
        <v>4</v>
      </c>
      <c r="S258" s="19">
        <f>VLOOKUP(Table3[[#This Row],[Activity Level]],'TPI. Pa.'!$B$3:$C$52,2,0)</f>
        <v>10</v>
      </c>
      <c r="T258" s="19">
        <f>VLOOKUP(Table3[[#This Row],[Patrol frequency]],'TPI. Pa.'!$B$3:$C$52,2,0)</f>
        <v>1</v>
      </c>
      <c r="U258" s="19">
        <f>VLOOKUP(Table3[[#This Row],[Proxutil]],'TPI. Pa.'!$B$3:$C$52,2,0)</f>
        <v>5</v>
      </c>
      <c r="V258" s="19">
        <f>VLOOKUP(Table3[[#This Row],[ROW]],'TPI. Pa.'!$B$3:$C$52,2,0)</f>
        <v>10</v>
      </c>
      <c r="W258" s="19">
        <f>VLOOKUP(Table3[[#This Row],[ROW condition]],'TPI. Pa.'!$B$3:$C$52,2,0)</f>
        <v>3</v>
      </c>
      <c r="X25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59" spans="1:24">
      <c r="A259" s="84">
        <v>9</v>
      </c>
      <c r="B259" s="81">
        <v>4470</v>
      </c>
      <c r="C259" s="82" t="s">
        <v>341</v>
      </c>
      <c r="D259" s="19"/>
      <c r="E259" s="19"/>
      <c r="F259" s="19"/>
      <c r="G259" s="19" t="s">
        <v>179</v>
      </c>
      <c r="H259" s="19" t="s">
        <v>185</v>
      </c>
      <c r="I259" s="19" t="s">
        <v>168</v>
      </c>
      <c r="J259" s="19" t="s">
        <v>183</v>
      </c>
      <c r="K259" s="19" t="s">
        <v>26</v>
      </c>
      <c r="L259" s="19" t="s">
        <v>217</v>
      </c>
      <c r="M259" s="19" t="s">
        <v>222</v>
      </c>
      <c r="N259" s="19" t="s">
        <v>228</v>
      </c>
      <c r="O259" s="38"/>
      <c r="P259" s="102">
        <f>VLOOKUP(Table3[[#This Row],[Depth of cover]],'TPI. Pa.'!$B$3:$C$52,2,0)</f>
        <v>2</v>
      </c>
      <c r="Q259" s="19">
        <f>VLOOKUP(Table3[[#This Row],[Additional protection]],'TPI. Pa.'!$B$3:$C$52,2,0)</f>
        <v>5</v>
      </c>
      <c r="R259" s="19">
        <f>VLOOKUP(Table3[[#This Row],[Failure due to TPI]],'TPI. Pa.'!$B$3:$C$52,2,0)</f>
        <v>4</v>
      </c>
      <c r="S259" s="19">
        <f>VLOOKUP(Table3[[#This Row],[Activity Level]],'TPI. Pa.'!$B$3:$C$52,2,0)</f>
        <v>10</v>
      </c>
      <c r="T259" s="19">
        <f>VLOOKUP(Table3[[#This Row],[Patrol frequency]],'TPI. Pa.'!$B$3:$C$52,2,0)</f>
        <v>1</v>
      </c>
      <c r="U259" s="19">
        <f>VLOOKUP(Table3[[#This Row],[Proxutil]],'TPI. Pa.'!$B$3:$C$52,2,0)</f>
        <v>5</v>
      </c>
      <c r="V259" s="19">
        <f>VLOOKUP(Table3[[#This Row],[ROW]],'TPI. Pa.'!$B$3:$C$52,2,0)</f>
        <v>10</v>
      </c>
      <c r="W259" s="19">
        <f>VLOOKUP(Table3[[#This Row],[ROW condition]],'TPI. Pa.'!$B$3:$C$52,2,0)</f>
        <v>3</v>
      </c>
      <c r="X25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0" spans="1:24">
      <c r="A260" s="84">
        <v>9</v>
      </c>
      <c r="B260" s="81">
        <v>6203</v>
      </c>
      <c r="C260" s="82" t="s">
        <v>342</v>
      </c>
      <c r="D260" s="19"/>
      <c r="E260" s="19"/>
      <c r="F260" s="19"/>
      <c r="G260" s="19" t="s">
        <v>179</v>
      </c>
      <c r="H260" s="19" t="s">
        <v>185</v>
      </c>
      <c r="I260" s="19" t="s">
        <v>168</v>
      </c>
      <c r="J260" s="19" t="s">
        <v>183</v>
      </c>
      <c r="K260" s="19" t="s">
        <v>26</v>
      </c>
      <c r="L260" s="19" t="s">
        <v>217</v>
      </c>
      <c r="M260" s="19" t="s">
        <v>222</v>
      </c>
      <c r="N260" s="19" t="s">
        <v>228</v>
      </c>
      <c r="O260" s="38"/>
      <c r="P260" s="102">
        <f>VLOOKUP(Table3[[#This Row],[Depth of cover]],'TPI. Pa.'!$B$3:$C$52,2,0)</f>
        <v>2</v>
      </c>
      <c r="Q260" s="19">
        <f>VLOOKUP(Table3[[#This Row],[Additional protection]],'TPI. Pa.'!$B$3:$C$52,2,0)</f>
        <v>5</v>
      </c>
      <c r="R260" s="19">
        <f>VLOOKUP(Table3[[#This Row],[Failure due to TPI]],'TPI. Pa.'!$B$3:$C$52,2,0)</f>
        <v>4</v>
      </c>
      <c r="S260" s="19">
        <f>VLOOKUP(Table3[[#This Row],[Activity Level]],'TPI. Pa.'!$B$3:$C$52,2,0)</f>
        <v>10</v>
      </c>
      <c r="T260" s="19">
        <f>VLOOKUP(Table3[[#This Row],[Patrol frequency]],'TPI. Pa.'!$B$3:$C$52,2,0)</f>
        <v>1</v>
      </c>
      <c r="U260" s="19">
        <f>VLOOKUP(Table3[[#This Row],[Proxutil]],'TPI. Pa.'!$B$3:$C$52,2,0)</f>
        <v>5</v>
      </c>
      <c r="V260" s="19">
        <f>VLOOKUP(Table3[[#This Row],[ROW]],'TPI. Pa.'!$B$3:$C$52,2,0)</f>
        <v>10</v>
      </c>
      <c r="W260" s="19">
        <f>VLOOKUP(Table3[[#This Row],[ROW condition]],'TPI. Pa.'!$B$3:$C$52,2,0)</f>
        <v>3</v>
      </c>
      <c r="X26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1" spans="1:24">
      <c r="A261" s="84">
        <v>9</v>
      </c>
      <c r="B261" s="81">
        <v>6208</v>
      </c>
      <c r="C261" s="82" t="s">
        <v>343</v>
      </c>
      <c r="D261" s="19"/>
      <c r="E261" s="19"/>
      <c r="F261" s="19"/>
      <c r="G261" s="19" t="s">
        <v>179</v>
      </c>
      <c r="H261" s="19" t="s">
        <v>185</v>
      </c>
      <c r="I261" s="19" t="s">
        <v>168</v>
      </c>
      <c r="J261" s="19" t="s">
        <v>183</v>
      </c>
      <c r="K261" s="19" t="s">
        <v>26</v>
      </c>
      <c r="L261" s="19" t="s">
        <v>217</v>
      </c>
      <c r="M261" s="19" t="s">
        <v>222</v>
      </c>
      <c r="N261" s="19" t="s">
        <v>228</v>
      </c>
      <c r="O261" s="38"/>
      <c r="P261" s="102">
        <f>VLOOKUP(Table3[[#This Row],[Depth of cover]],'TPI. Pa.'!$B$3:$C$52,2,0)</f>
        <v>2</v>
      </c>
      <c r="Q261" s="19">
        <f>VLOOKUP(Table3[[#This Row],[Additional protection]],'TPI. Pa.'!$B$3:$C$52,2,0)</f>
        <v>5</v>
      </c>
      <c r="R261" s="19">
        <f>VLOOKUP(Table3[[#This Row],[Failure due to TPI]],'TPI. Pa.'!$B$3:$C$52,2,0)</f>
        <v>4</v>
      </c>
      <c r="S261" s="19">
        <f>VLOOKUP(Table3[[#This Row],[Activity Level]],'TPI. Pa.'!$B$3:$C$52,2,0)</f>
        <v>10</v>
      </c>
      <c r="T261" s="19">
        <f>VLOOKUP(Table3[[#This Row],[Patrol frequency]],'TPI. Pa.'!$B$3:$C$52,2,0)</f>
        <v>1</v>
      </c>
      <c r="U261" s="19">
        <f>VLOOKUP(Table3[[#This Row],[Proxutil]],'TPI. Pa.'!$B$3:$C$52,2,0)</f>
        <v>5</v>
      </c>
      <c r="V261" s="19">
        <f>VLOOKUP(Table3[[#This Row],[ROW]],'TPI. Pa.'!$B$3:$C$52,2,0)</f>
        <v>10</v>
      </c>
      <c r="W261" s="19">
        <f>VLOOKUP(Table3[[#This Row],[ROW condition]],'TPI. Pa.'!$B$3:$C$52,2,0)</f>
        <v>3</v>
      </c>
      <c r="X26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2" spans="1:24">
      <c r="A262" s="84">
        <v>9</v>
      </c>
      <c r="B262" s="81">
        <v>6531</v>
      </c>
      <c r="C262" s="82" t="s">
        <v>344</v>
      </c>
      <c r="D262" s="19"/>
      <c r="E262" s="19"/>
      <c r="F262" s="19"/>
      <c r="G262" s="19" t="s">
        <v>179</v>
      </c>
      <c r="H262" s="19" t="s">
        <v>185</v>
      </c>
      <c r="I262" s="19" t="s">
        <v>168</v>
      </c>
      <c r="J262" s="19" t="s">
        <v>191</v>
      </c>
      <c r="K262" s="19" t="s">
        <v>26</v>
      </c>
      <c r="L262" s="19" t="s">
        <v>217</v>
      </c>
      <c r="M262" s="19" t="s">
        <v>222</v>
      </c>
      <c r="N262" s="19" t="s">
        <v>228</v>
      </c>
      <c r="O262" s="38"/>
      <c r="P262" s="102">
        <f>VLOOKUP(Table3[[#This Row],[Depth of cover]],'TPI. Pa.'!$B$3:$C$52,2,0)</f>
        <v>2</v>
      </c>
      <c r="Q262" s="19">
        <f>VLOOKUP(Table3[[#This Row],[Additional protection]],'TPI. Pa.'!$B$3:$C$52,2,0)</f>
        <v>5</v>
      </c>
      <c r="R262" s="19">
        <f>VLOOKUP(Table3[[#This Row],[Failure due to TPI]],'TPI. Pa.'!$B$3:$C$52,2,0)</f>
        <v>4</v>
      </c>
      <c r="S262" s="19">
        <f>VLOOKUP(Table3[[#This Row],[Activity Level]],'TPI. Pa.'!$B$3:$C$52,2,0)</f>
        <v>3</v>
      </c>
      <c r="T262" s="19">
        <f>VLOOKUP(Table3[[#This Row],[Patrol frequency]],'TPI. Pa.'!$B$3:$C$52,2,0)</f>
        <v>1</v>
      </c>
      <c r="U262" s="19">
        <f>VLOOKUP(Table3[[#This Row],[Proxutil]],'TPI. Pa.'!$B$3:$C$52,2,0)</f>
        <v>5</v>
      </c>
      <c r="V262" s="19">
        <f>VLOOKUP(Table3[[#This Row],[ROW]],'TPI. Pa.'!$B$3:$C$52,2,0)</f>
        <v>10</v>
      </c>
      <c r="W262" s="19">
        <f>VLOOKUP(Table3[[#This Row],[ROW condition]],'TPI. Pa.'!$B$3:$C$52,2,0)</f>
        <v>3</v>
      </c>
      <c r="X26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63" spans="1:24">
      <c r="A263" s="80">
        <v>9</v>
      </c>
      <c r="B263" s="81">
        <v>653100001</v>
      </c>
      <c r="C263" s="82"/>
      <c r="D263" s="19"/>
      <c r="E263" s="19"/>
      <c r="F263" s="19"/>
      <c r="G263" s="19" t="s">
        <v>179</v>
      </c>
      <c r="H263" s="19" t="s">
        <v>185</v>
      </c>
      <c r="I263" s="19" t="s">
        <v>168</v>
      </c>
      <c r="J263" s="19" t="s">
        <v>183</v>
      </c>
      <c r="K263" s="19" t="s">
        <v>26</v>
      </c>
      <c r="L263" s="19" t="s">
        <v>217</v>
      </c>
      <c r="M263" s="19" t="s">
        <v>222</v>
      </c>
      <c r="N263" s="19" t="s">
        <v>228</v>
      </c>
      <c r="O263" s="38"/>
      <c r="P263" s="102">
        <f>VLOOKUP(Table3[[#This Row],[Depth of cover]],'TPI. Pa.'!$B$3:$C$52,2,0)</f>
        <v>2</v>
      </c>
      <c r="Q263" s="19">
        <f>VLOOKUP(Table3[[#This Row],[Additional protection]],'TPI. Pa.'!$B$3:$C$52,2,0)</f>
        <v>5</v>
      </c>
      <c r="R263" s="19">
        <f>VLOOKUP(Table3[[#This Row],[Failure due to TPI]],'TPI. Pa.'!$B$3:$C$52,2,0)</f>
        <v>4</v>
      </c>
      <c r="S263" s="19">
        <f>VLOOKUP(Table3[[#This Row],[Activity Level]],'TPI. Pa.'!$B$3:$C$52,2,0)</f>
        <v>10</v>
      </c>
      <c r="T263" s="19">
        <f>VLOOKUP(Table3[[#This Row],[Patrol frequency]],'TPI. Pa.'!$B$3:$C$52,2,0)</f>
        <v>1</v>
      </c>
      <c r="U263" s="19">
        <f>VLOOKUP(Table3[[#This Row],[Proxutil]],'TPI. Pa.'!$B$3:$C$52,2,0)</f>
        <v>5</v>
      </c>
      <c r="V263" s="19">
        <f>VLOOKUP(Table3[[#This Row],[ROW]],'TPI. Pa.'!$B$3:$C$52,2,0)</f>
        <v>10</v>
      </c>
      <c r="W263" s="19">
        <f>VLOOKUP(Table3[[#This Row],[ROW condition]],'TPI. Pa.'!$B$3:$C$52,2,0)</f>
        <v>3</v>
      </c>
      <c r="X26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4" spans="1:24">
      <c r="A264" s="80">
        <v>9</v>
      </c>
      <c r="B264" s="81">
        <v>65311</v>
      </c>
      <c r="C264" s="82" t="s">
        <v>817</v>
      </c>
      <c r="D264" s="19"/>
      <c r="E264" s="19"/>
      <c r="F264" s="19"/>
      <c r="G264" s="19" t="s">
        <v>179</v>
      </c>
      <c r="H264" s="19" t="s">
        <v>185</v>
      </c>
      <c r="I264" s="19" t="s">
        <v>168</v>
      </c>
      <c r="J264" s="19" t="s">
        <v>191</v>
      </c>
      <c r="K264" s="19" t="s">
        <v>26</v>
      </c>
      <c r="L264" s="19" t="s">
        <v>217</v>
      </c>
      <c r="M264" s="19" t="s">
        <v>222</v>
      </c>
      <c r="N264" s="19" t="s">
        <v>228</v>
      </c>
      <c r="O264" s="38"/>
      <c r="P264" s="102">
        <f>VLOOKUP(Table3[[#This Row],[Depth of cover]],'TPI. Pa.'!$B$3:$C$52,2,0)</f>
        <v>2</v>
      </c>
      <c r="Q264" s="19">
        <f>VLOOKUP(Table3[[#This Row],[Additional protection]],'TPI. Pa.'!$B$3:$C$52,2,0)</f>
        <v>5</v>
      </c>
      <c r="R264" s="19">
        <f>VLOOKUP(Table3[[#This Row],[Failure due to TPI]],'TPI. Pa.'!$B$3:$C$52,2,0)</f>
        <v>4</v>
      </c>
      <c r="S264" s="19">
        <f>VLOOKUP(Table3[[#This Row],[Activity Level]],'TPI. Pa.'!$B$3:$C$52,2,0)</f>
        <v>3</v>
      </c>
      <c r="T264" s="19">
        <f>VLOOKUP(Table3[[#This Row],[Patrol frequency]],'TPI. Pa.'!$B$3:$C$52,2,0)</f>
        <v>1</v>
      </c>
      <c r="U264" s="19">
        <f>VLOOKUP(Table3[[#This Row],[Proxutil]],'TPI. Pa.'!$B$3:$C$52,2,0)</f>
        <v>5</v>
      </c>
      <c r="V264" s="19">
        <f>VLOOKUP(Table3[[#This Row],[ROW]],'TPI. Pa.'!$B$3:$C$52,2,0)</f>
        <v>10</v>
      </c>
      <c r="W264" s="19">
        <f>VLOOKUP(Table3[[#This Row],[ROW condition]],'TPI. Pa.'!$B$3:$C$52,2,0)</f>
        <v>3</v>
      </c>
      <c r="X26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65" spans="1:24">
      <c r="A265" s="80">
        <v>9</v>
      </c>
      <c r="B265" s="81">
        <v>653110101</v>
      </c>
      <c r="C265" s="82" t="s">
        <v>823</v>
      </c>
      <c r="D265" s="19"/>
      <c r="E265" s="19"/>
      <c r="F265" s="19"/>
      <c r="G265" s="19" t="s">
        <v>179</v>
      </c>
      <c r="H265" s="19" t="s">
        <v>185</v>
      </c>
      <c r="I265" s="19" t="s">
        <v>168</v>
      </c>
      <c r="J265" s="19" t="s">
        <v>183</v>
      </c>
      <c r="K265" s="19" t="s">
        <v>26</v>
      </c>
      <c r="L265" s="19" t="s">
        <v>217</v>
      </c>
      <c r="M265" s="19" t="s">
        <v>222</v>
      </c>
      <c r="N265" s="19" t="s">
        <v>228</v>
      </c>
      <c r="O265" s="38"/>
      <c r="P265" s="102">
        <f>VLOOKUP(Table3[[#This Row],[Depth of cover]],'TPI. Pa.'!$B$3:$C$52,2,0)</f>
        <v>2</v>
      </c>
      <c r="Q265" s="19">
        <f>VLOOKUP(Table3[[#This Row],[Additional protection]],'TPI. Pa.'!$B$3:$C$52,2,0)</f>
        <v>5</v>
      </c>
      <c r="R265" s="19">
        <f>VLOOKUP(Table3[[#This Row],[Failure due to TPI]],'TPI. Pa.'!$B$3:$C$52,2,0)</f>
        <v>4</v>
      </c>
      <c r="S265" s="19">
        <f>VLOOKUP(Table3[[#This Row],[Activity Level]],'TPI. Pa.'!$B$3:$C$52,2,0)</f>
        <v>10</v>
      </c>
      <c r="T265" s="19">
        <f>VLOOKUP(Table3[[#This Row],[Patrol frequency]],'TPI. Pa.'!$B$3:$C$52,2,0)</f>
        <v>1</v>
      </c>
      <c r="U265" s="19">
        <f>VLOOKUP(Table3[[#This Row],[Proxutil]],'TPI. Pa.'!$B$3:$C$52,2,0)</f>
        <v>5</v>
      </c>
      <c r="V265" s="19">
        <f>VLOOKUP(Table3[[#This Row],[ROW]],'TPI. Pa.'!$B$3:$C$52,2,0)</f>
        <v>10</v>
      </c>
      <c r="W265" s="19">
        <f>VLOOKUP(Table3[[#This Row],[ROW condition]],'TPI. Pa.'!$B$3:$C$52,2,0)</f>
        <v>3</v>
      </c>
      <c r="X26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6" spans="1:24">
      <c r="A266" s="80">
        <v>9</v>
      </c>
      <c r="B266" s="81">
        <v>653110103</v>
      </c>
      <c r="C266" s="82" t="s">
        <v>826</v>
      </c>
      <c r="D266" s="19"/>
      <c r="E266" s="19"/>
      <c r="F266" s="19"/>
      <c r="G266" s="19" t="s">
        <v>179</v>
      </c>
      <c r="H266" s="19" t="s">
        <v>185</v>
      </c>
      <c r="I266" s="19" t="s">
        <v>168</v>
      </c>
      <c r="J266" s="19" t="s">
        <v>183</v>
      </c>
      <c r="K266" s="19" t="s">
        <v>26</v>
      </c>
      <c r="L266" s="19" t="s">
        <v>217</v>
      </c>
      <c r="M266" s="19" t="s">
        <v>222</v>
      </c>
      <c r="N266" s="19" t="s">
        <v>228</v>
      </c>
      <c r="O266" s="38"/>
      <c r="P266" s="102">
        <f>VLOOKUP(Table3[[#This Row],[Depth of cover]],'TPI. Pa.'!$B$3:$C$52,2,0)</f>
        <v>2</v>
      </c>
      <c r="Q266" s="19">
        <f>VLOOKUP(Table3[[#This Row],[Additional protection]],'TPI. Pa.'!$B$3:$C$52,2,0)</f>
        <v>5</v>
      </c>
      <c r="R266" s="19">
        <f>VLOOKUP(Table3[[#This Row],[Failure due to TPI]],'TPI. Pa.'!$B$3:$C$52,2,0)</f>
        <v>4</v>
      </c>
      <c r="S266" s="19">
        <f>VLOOKUP(Table3[[#This Row],[Activity Level]],'TPI. Pa.'!$B$3:$C$52,2,0)</f>
        <v>10</v>
      </c>
      <c r="T266" s="19">
        <f>VLOOKUP(Table3[[#This Row],[Patrol frequency]],'TPI. Pa.'!$B$3:$C$52,2,0)</f>
        <v>1</v>
      </c>
      <c r="U266" s="19">
        <f>VLOOKUP(Table3[[#This Row],[Proxutil]],'TPI. Pa.'!$B$3:$C$52,2,0)</f>
        <v>5</v>
      </c>
      <c r="V266" s="19">
        <f>VLOOKUP(Table3[[#This Row],[ROW]],'TPI. Pa.'!$B$3:$C$52,2,0)</f>
        <v>10</v>
      </c>
      <c r="W266" s="19">
        <f>VLOOKUP(Table3[[#This Row],[ROW condition]],'TPI. Pa.'!$B$3:$C$52,2,0)</f>
        <v>3</v>
      </c>
      <c r="X26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7" spans="1:24">
      <c r="A267" s="80">
        <v>9</v>
      </c>
      <c r="B267" s="81">
        <v>653110104</v>
      </c>
      <c r="C267" s="82" t="s">
        <v>828</v>
      </c>
      <c r="D267" s="19"/>
      <c r="E267" s="19"/>
      <c r="F267" s="19"/>
      <c r="G267" s="19" t="s">
        <v>179</v>
      </c>
      <c r="H267" s="19" t="s">
        <v>185</v>
      </c>
      <c r="I267" s="19" t="s">
        <v>168</v>
      </c>
      <c r="J267" s="19" t="s">
        <v>183</v>
      </c>
      <c r="K267" s="19" t="s">
        <v>26</v>
      </c>
      <c r="L267" s="19" t="s">
        <v>217</v>
      </c>
      <c r="M267" s="19" t="s">
        <v>222</v>
      </c>
      <c r="N267" s="19" t="s">
        <v>228</v>
      </c>
      <c r="O267" s="38"/>
      <c r="P267" s="102">
        <f>VLOOKUP(Table3[[#This Row],[Depth of cover]],'TPI. Pa.'!$B$3:$C$52,2,0)</f>
        <v>2</v>
      </c>
      <c r="Q267" s="19">
        <f>VLOOKUP(Table3[[#This Row],[Additional protection]],'TPI. Pa.'!$B$3:$C$52,2,0)</f>
        <v>5</v>
      </c>
      <c r="R267" s="19">
        <f>VLOOKUP(Table3[[#This Row],[Failure due to TPI]],'TPI. Pa.'!$B$3:$C$52,2,0)</f>
        <v>4</v>
      </c>
      <c r="S267" s="19">
        <f>VLOOKUP(Table3[[#This Row],[Activity Level]],'TPI. Pa.'!$B$3:$C$52,2,0)</f>
        <v>10</v>
      </c>
      <c r="T267" s="19">
        <f>VLOOKUP(Table3[[#This Row],[Patrol frequency]],'TPI. Pa.'!$B$3:$C$52,2,0)</f>
        <v>1</v>
      </c>
      <c r="U267" s="19">
        <f>VLOOKUP(Table3[[#This Row],[Proxutil]],'TPI. Pa.'!$B$3:$C$52,2,0)</f>
        <v>5</v>
      </c>
      <c r="V267" s="19">
        <f>VLOOKUP(Table3[[#This Row],[ROW]],'TPI. Pa.'!$B$3:$C$52,2,0)</f>
        <v>10</v>
      </c>
      <c r="W267" s="19">
        <f>VLOOKUP(Table3[[#This Row],[ROW condition]],'TPI. Pa.'!$B$3:$C$52,2,0)</f>
        <v>3</v>
      </c>
      <c r="X26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8" spans="1:24">
      <c r="A268" s="80">
        <v>9</v>
      </c>
      <c r="B268" s="81">
        <v>653110105</v>
      </c>
      <c r="C268" s="82" t="s">
        <v>830</v>
      </c>
      <c r="D268" s="19"/>
      <c r="E268" s="19"/>
      <c r="F268" s="19"/>
      <c r="G268" s="19" t="s">
        <v>179</v>
      </c>
      <c r="H268" s="19" t="s">
        <v>185</v>
      </c>
      <c r="I268" s="19" t="s">
        <v>168</v>
      </c>
      <c r="J268" s="19" t="s">
        <v>183</v>
      </c>
      <c r="K268" s="19" t="s">
        <v>26</v>
      </c>
      <c r="L268" s="19" t="s">
        <v>217</v>
      </c>
      <c r="M268" s="19" t="s">
        <v>222</v>
      </c>
      <c r="N268" s="19" t="s">
        <v>228</v>
      </c>
      <c r="O268" s="38"/>
      <c r="P268" s="102">
        <f>VLOOKUP(Table3[[#This Row],[Depth of cover]],'TPI. Pa.'!$B$3:$C$52,2,0)</f>
        <v>2</v>
      </c>
      <c r="Q268" s="19">
        <f>VLOOKUP(Table3[[#This Row],[Additional protection]],'TPI. Pa.'!$B$3:$C$52,2,0)</f>
        <v>5</v>
      </c>
      <c r="R268" s="19">
        <f>VLOOKUP(Table3[[#This Row],[Failure due to TPI]],'TPI. Pa.'!$B$3:$C$52,2,0)</f>
        <v>4</v>
      </c>
      <c r="S268" s="19">
        <f>VLOOKUP(Table3[[#This Row],[Activity Level]],'TPI. Pa.'!$B$3:$C$52,2,0)</f>
        <v>10</v>
      </c>
      <c r="T268" s="19">
        <f>VLOOKUP(Table3[[#This Row],[Patrol frequency]],'TPI. Pa.'!$B$3:$C$52,2,0)</f>
        <v>1</v>
      </c>
      <c r="U268" s="19">
        <f>VLOOKUP(Table3[[#This Row],[Proxutil]],'TPI. Pa.'!$B$3:$C$52,2,0)</f>
        <v>5</v>
      </c>
      <c r="V268" s="19">
        <f>VLOOKUP(Table3[[#This Row],[ROW]],'TPI. Pa.'!$B$3:$C$52,2,0)</f>
        <v>10</v>
      </c>
      <c r="W268" s="19">
        <f>VLOOKUP(Table3[[#This Row],[ROW condition]],'TPI. Pa.'!$B$3:$C$52,2,0)</f>
        <v>3</v>
      </c>
      <c r="X26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69" spans="1:24">
      <c r="A269" s="80">
        <v>9</v>
      </c>
      <c r="B269" s="81">
        <v>653110106</v>
      </c>
      <c r="C269" s="82" t="s">
        <v>832</v>
      </c>
      <c r="D269" s="19"/>
      <c r="E269" s="19"/>
      <c r="F269" s="19"/>
      <c r="G269" s="19" t="s">
        <v>179</v>
      </c>
      <c r="H269" s="19" t="s">
        <v>185</v>
      </c>
      <c r="I269" s="19" t="s">
        <v>168</v>
      </c>
      <c r="J269" s="19" t="s">
        <v>183</v>
      </c>
      <c r="K269" s="19" t="s">
        <v>26</v>
      </c>
      <c r="L269" s="19" t="s">
        <v>217</v>
      </c>
      <c r="M269" s="19" t="s">
        <v>222</v>
      </c>
      <c r="N269" s="19" t="s">
        <v>228</v>
      </c>
      <c r="O269" s="38"/>
      <c r="P269" s="102">
        <f>VLOOKUP(Table3[[#This Row],[Depth of cover]],'TPI. Pa.'!$B$3:$C$52,2,0)</f>
        <v>2</v>
      </c>
      <c r="Q269" s="19">
        <f>VLOOKUP(Table3[[#This Row],[Additional protection]],'TPI. Pa.'!$B$3:$C$52,2,0)</f>
        <v>5</v>
      </c>
      <c r="R269" s="19">
        <f>VLOOKUP(Table3[[#This Row],[Failure due to TPI]],'TPI. Pa.'!$B$3:$C$52,2,0)</f>
        <v>4</v>
      </c>
      <c r="S269" s="19">
        <f>VLOOKUP(Table3[[#This Row],[Activity Level]],'TPI. Pa.'!$B$3:$C$52,2,0)</f>
        <v>10</v>
      </c>
      <c r="T269" s="19">
        <f>VLOOKUP(Table3[[#This Row],[Patrol frequency]],'TPI. Pa.'!$B$3:$C$52,2,0)</f>
        <v>1</v>
      </c>
      <c r="U269" s="19">
        <f>VLOOKUP(Table3[[#This Row],[Proxutil]],'TPI. Pa.'!$B$3:$C$52,2,0)</f>
        <v>5</v>
      </c>
      <c r="V269" s="19">
        <f>VLOOKUP(Table3[[#This Row],[ROW]],'TPI. Pa.'!$B$3:$C$52,2,0)</f>
        <v>10</v>
      </c>
      <c r="W269" s="19">
        <f>VLOOKUP(Table3[[#This Row],[ROW condition]],'TPI. Pa.'!$B$3:$C$52,2,0)</f>
        <v>3</v>
      </c>
      <c r="X26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0" spans="1:24">
      <c r="A270" s="80">
        <v>9</v>
      </c>
      <c r="B270" s="81">
        <v>653110108</v>
      </c>
      <c r="C270" s="82" t="s">
        <v>834</v>
      </c>
      <c r="D270" s="19"/>
      <c r="E270" s="19"/>
      <c r="F270" s="19"/>
      <c r="G270" s="19" t="s">
        <v>179</v>
      </c>
      <c r="H270" s="19" t="s">
        <v>185</v>
      </c>
      <c r="I270" s="19" t="s">
        <v>168</v>
      </c>
      <c r="J270" s="19" t="s">
        <v>183</v>
      </c>
      <c r="K270" s="19" t="s">
        <v>26</v>
      </c>
      <c r="L270" s="19" t="s">
        <v>217</v>
      </c>
      <c r="M270" s="19" t="s">
        <v>222</v>
      </c>
      <c r="N270" s="19" t="s">
        <v>228</v>
      </c>
      <c r="O270" s="38"/>
      <c r="P270" s="102">
        <f>VLOOKUP(Table3[[#This Row],[Depth of cover]],'TPI. Pa.'!$B$3:$C$52,2,0)</f>
        <v>2</v>
      </c>
      <c r="Q270" s="19">
        <f>VLOOKUP(Table3[[#This Row],[Additional protection]],'TPI. Pa.'!$B$3:$C$52,2,0)</f>
        <v>5</v>
      </c>
      <c r="R270" s="19">
        <f>VLOOKUP(Table3[[#This Row],[Failure due to TPI]],'TPI. Pa.'!$B$3:$C$52,2,0)</f>
        <v>4</v>
      </c>
      <c r="S270" s="19">
        <f>VLOOKUP(Table3[[#This Row],[Activity Level]],'TPI. Pa.'!$B$3:$C$52,2,0)</f>
        <v>10</v>
      </c>
      <c r="T270" s="19">
        <f>VLOOKUP(Table3[[#This Row],[Patrol frequency]],'TPI. Pa.'!$B$3:$C$52,2,0)</f>
        <v>1</v>
      </c>
      <c r="U270" s="19">
        <f>VLOOKUP(Table3[[#This Row],[Proxutil]],'TPI. Pa.'!$B$3:$C$52,2,0)</f>
        <v>5</v>
      </c>
      <c r="V270" s="19">
        <f>VLOOKUP(Table3[[#This Row],[ROW]],'TPI. Pa.'!$B$3:$C$52,2,0)</f>
        <v>10</v>
      </c>
      <c r="W270" s="19">
        <f>VLOOKUP(Table3[[#This Row],[ROW condition]],'TPI. Pa.'!$B$3:$C$52,2,0)</f>
        <v>3</v>
      </c>
      <c r="X27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1" spans="1:24">
      <c r="A271" s="80">
        <v>9</v>
      </c>
      <c r="B271" s="81">
        <v>653110109</v>
      </c>
      <c r="C271" s="82" t="s">
        <v>836</v>
      </c>
      <c r="D271" s="19"/>
      <c r="E271" s="19"/>
      <c r="F271" s="19"/>
      <c r="G271" s="19" t="s">
        <v>179</v>
      </c>
      <c r="H271" s="19" t="s">
        <v>185</v>
      </c>
      <c r="I271" s="19" t="s">
        <v>168</v>
      </c>
      <c r="J271" s="19" t="s">
        <v>183</v>
      </c>
      <c r="K271" s="19" t="s">
        <v>26</v>
      </c>
      <c r="L271" s="19" t="s">
        <v>217</v>
      </c>
      <c r="M271" s="19" t="s">
        <v>222</v>
      </c>
      <c r="N271" s="19" t="s">
        <v>228</v>
      </c>
      <c r="O271" s="38"/>
      <c r="P271" s="102">
        <f>VLOOKUP(Table3[[#This Row],[Depth of cover]],'TPI. Pa.'!$B$3:$C$52,2,0)</f>
        <v>2</v>
      </c>
      <c r="Q271" s="19">
        <f>VLOOKUP(Table3[[#This Row],[Additional protection]],'TPI. Pa.'!$B$3:$C$52,2,0)</f>
        <v>5</v>
      </c>
      <c r="R271" s="19">
        <f>VLOOKUP(Table3[[#This Row],[Failure due to TPI]],'TPI. Pa.'!$B$3:$C$52,2,0)</f>
        <v>4</v>
      </c>
      <c r="S271" s="19">
        <f>VLOOKUP(Table3[[#This Row],[Activity Level]],'TPI. Pa.'!$B$3:$C$52,2,0)</f>
        <v>10</v>
      </c>
      <c r="T271" s="19">
        <f>VLOOKUP(Table3[[#This Row],[Patrol frequency]],'TPI. Pa.'!$B$3:$C$52,2,0)</f>
        <v>1</v>
      </c>
      <c r="U271" s="19">
        <f>VLOOKUP(Table3[[#This Row],[Proxutil]],'TPI. Pa.'!$B$3:$C$52,2,0)</f>
        <v>5</v>
      </c>
      <c r="V271" s="19">
        <f>VLOOKUP(Table3[[#This Row],[ROW]],'TPI. Pa.'!$B$3:$C$52,2,0)</f>
        <v>10</v>
      </c>
      <c r="W271" s="19">
        <f>VLOOKUP(Table3[[#This Row],[ROW condition]],'TPI. Pa.'!$B$3:$C$52,2,0)</f>
        <v>3</v>
      </c>
      <c r="X27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2" spans="1:24">
      <c r="A272" s="80">
        <v>9</v>
      </c>
      <c r="B272" s="81">
        <v>653110110</v>
      </c>
      <c r="C272" s="82" t="s">
        <v>838</v>
      </c>
      <c r="D272" s="19"/>
      <c r="E272" s="19"/>
      <c r="F272" s="19"/>
      <c r="G272" s="19" t="s">
        <v>179</v>
      </c>
      <c r="H272" s="19" t="s">
        <v>185</v>
      </c>
      <c r="I272" s="19" t="s">
        <v>168</v>
      </c>
      <c r="J272" s="19" t="s">
        <v>183</v>
      </c>
      <c r="K272" s="19" t="s">
        <v>26</v>
      </c>
      <c r="L272" s="19" t="s">
        <v>217</v>
      </c>
      <c r="M272" s="19" t="s">
        <v>222</v>
      </c>
      <c r="N272" s="19" t="s">
        <v>228</v>
      </c>
      <c r="O272" s="38"/>
      <c r="P272" s="102">
        <f>VLOOKUP(Table3[[#This Row],[Depth of cover]],'TPI. Pa.'!$B$3:$C$52,2,0)</f>
        <v>2</v>
      </c>
      <c r="Q272" s="19">
        <f>VLOOKUP(Table3[[#This Row],[Additional protection]],'TPI. Pa.'!$B$3:$C$52,2,0)</f>
        <v>5</v>
      </c>
      <c r="R272" s="19">
        <f>VLOOKUP(Table3[[#This Row],[Failure due to TPI]],'TPI. Pa.'!$B$3:$C$52,2,0)</f>
        <v>4</v>
      </c>
      <c r="S272" s="19">
        <f>VLOOKUP(Table3[[#This Row],[Activity Level]],'TPI. Pa.'!$B$3:$C$52,2,0)</f>
        <v>10</v>
      </c>
      <c r="T272" s="19">
        <f>VLOOKUP(Table3[[#This Row],[Patrol frequency]],'TPI. Pa.'!$B$3:$C$52,2,0)</f>
        <v>1</v>
      </c>
      <c r="U272" s="19">
        <f>VLOOKUP(Table3[[#This Row],[Proxutil]],'TPI. Pa.'!$B$3:$C$52,2,0)</f>
        <v>5</v>
      </c>
      <c r="V272" s="19">
        <f>VLOOKUP(Table3[[#This Row],[ROW]],'TPI. Pa.'!$B$3:$C$52,2,0)</f>
        <v>10</v>
      </c>
      <c r="W272" s="19">
        <f>VLOOKUP(Table3[[#This Row],[ROW condition]],'TPI. Pa.'!$B$3:$C$52,2,0)</f>
        <v>3</v>
      </c>
      <c r="X27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3" spans="1:24">
      <c r="A273" s="80">
        <v>9</v>
      </c>
      <c r="B273" s="81">
        <v>653110111</v>
      </c>
      <c r="C273" s="82" t="s">
        <v>840</v>
      </c>
      <c r="D273" s="19"/>
      <c r="E273" s="19"/>
      <c r="F273" s="19"/>
      <c r="G273" s="19" t="s">
        <v>179</v>
      </c>
      <c r="H273" s="19" t="s">
        <v>185</v>
      </c>
      <c r="I273" s="19" t="s">
        <v>168</v>
      </c>
      <c r="J273" s="19" t="s">
        <v>183</v>
      </c>
      <c r="K273" s="19" t="s">
        <v>26</v>
      </c>
      <c r="L273" s="19" t="s">
        <v>217</v>
      </c>
      <c r="M273" s="19" t="s">
        <v>222</v>
      </c>
      <c r="N273" s="19" t="s">
        <v>228</v>
      </c>
      <c r="O273" s="38"/>
      <c r="P273" s="102">
        <f>VLOOKUP(Table3[[#This Row],[Depth of cover]],'TPI. Pa.'!$B$3:$C$52,2,0)</f>
        <v>2</v>
      </c>
      <c r="Q273" s="19">
        <f>VLOOKUP(Table3[[#This Row],[Additional protection]],'TPI. Pa.'!$B$3:$C$52,2,0)</f>
        <v>5</v>
      </c>
      <c r="R273" s="19">
        <f>VLOOKUP(Table3[[#This Row],[Failure due to TPI]],'TPI. Pa.'!$B$3:$C$52,2,0)</f>
        <v>4</v>
      </c>
      <c r="S273" s="19">
        <f>VLOOKUP(Table3[[#This Row],[Activity Level]],'TPI. Pa.'!$B$3:$C$52,2,0)</f>
        <v>10</v>
      </c>
      <c r="T273" s="19">
        <f>VLOOKUP(Table3[[#This Row],[Patrol frequency]],'TPI. Pa.'!$B$3:$C$52,2,0)</f>
        <v>1</v>
      </c>
      <c r="U273" s="19">
        <f>VLOOKUP(Table3[[#This Row],[Proxutil]],'TPI. Pa.'!$B$3:$C$52,2,0)</f>
        <v>5</v>
      </c>
      <c r="V273" s="19">
        <f>VLOOKUP(Table3[[#This Row],[ROW]],'TPI. Pa.'!$B$3:$C$52,2,0)</f>
        <v>10</v>
      </c>
      <c r="W273" s="19">
        <f>VLOOKUP(Table3[[#This Row],[ROW condition]],'TPI. Pa.'!$B$3:$C$52,2,0)</f>
        <v>3</v>
      </c>
      <c r="X27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4" spans="1:24">
      <c r="A274" s="80">
        <v>9</v>
      </c>
      <c r="B274" s="81">
        <v>653110112</v>
      </c>
      <c r="C274" s="82" t="s">
        <v>842</v>
      </c>
      <c r="D274" s="19"/>
      <c r="E274" s="19"/>
      <c r="F274" s="19"/>
      <c r="G274" s="19" t="s">
        <v>179</v>
      </c>
      <c r="H274" s="19" t="s">
        <v>185</v>
      </c>
      <c r="I274" s="19" t="s">
        <v>168</v>
      </c>
      <c r="J274" s="19" t="s">
        <v>183</v>
      </c>
      <c r="K274" s="19" t="s">
        <v>26</v>
      </c>
      <c r="L274" s="19" t="s">
        <v>217</v>
      </c>
      <c r="M274" s="19" t="s">
        <v>222</v>
      </c>
      <c r="N274" s="19" t="s">
        <v>228</v>
      </c>
      <c r="O274" s="38"/>
      <c r="P274" s="102">
        <f>VLOOKUP(Table3[[#This Row],[Depth of cover]],'TPI. Pa.'!$B$3:$C$52,2,0)</f>
        <v>2</v>
      </c>
      <c r="Q274" s="19">
        <f>VLOOKUP(Table3[[#This Row],[Additional protection]],'TPI. Pa.'!$B$3:$C$52,2,0)</f>
        <v>5</v>
      </c>
      <c r="R274" s="19">
        <f>VLOOKUP(Table3[[#This Row],[Failure due to TPI]],'TPI. Pa.'!$B$3:$C$52,2,0)</f>
        <v>4</v>
      </c>
      <c r="S274" s="19">
        <f>VLOOKUP(Table3[[#This Row],[Activity Level]],'TPI. Pa.'!$B$3:$C$52,2,0)</f>
        <v>10</v>
      </c>
      <c r="T274" s="19">
        <f>VLOOKUP(Table3[[#This Row],[Patrol frequency]],'TPI. Pa.'!$B$3:$C$52,2,0)</f>
        <v>1</v>
      </c>
      <c r="U274" s="19">
        <f>VLOOKUP(Table3[[#This Row],[Proxutil]],'TPI. Pa.'!$B$3:$C$52,2,0)</f>
        <v>5</v>
      </c>
      <c r="V274" s="19">
        <f>VLOOKUP(Table3[[#This Row],[ROW]],'TPI. Pa.'!$B$3:$C$52,2,0)</f>
        <v>10</v>
      </c>
      <c r="W274" s="19">
        <f>VLOOKUP(Table3[[#This Row],[ROW condition]],'TPI. Pa.'!$B$3:$C$52,2,0)</f>
        <v>3</v>
      </c>
      <c r="X27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5" spans="1:24">
      <c r="A275" s="80">
        <v>9</v>
      </c>
      <c r="B275" s="81">
        <v>553110113</v>
      </c>
      <c r="C275" s="82" t="s">
        <v>843</v>
      </c>
      <c r="D275" s="19"/>
      <c r="E275" s="19"/>
      <c r="F275" s="19"/>
      <c r="G275" s="19" t="s">
        <v>179</v>
      </c>
      <c r="H275" s="19" t="s">
        <v>185</v>
      </c>
      <c r="I275" s="19" t="s">
        <v>168</v>
      </c>
      <c r="J275" s="19" t="s">
        <v>183</v>
      </c>
      <c r="K275" s="19" t="s">
        <v>26</v>
      </c>
      <c r="L275" s="19" t="s">
        <v>217</v>
      </c>
      <c r="M275" s="19" t="s">
        <v>222</v>
      </c>
      <c r="N275" s="19" t="s">
        <v>228</v>
      </c>
      <c r="O275" s="38"/>
      <c r="P275" s="102">
        <f>VLOOKUP(Table3[[#This Row],[Depth of cover]],'TPI. Pa.'!$B$3:$C$52,2,0)</f>
        <v>2</v>
      </c>
      <c r="Q275" s="19">
        <f>VLOOKUP(Table3[[#This Row],[Additional protection]],'TPI. Pa.'!$B$3:$C$52,2,0)</f>
        <v>5</v>
      </c>
      <c r="R275" s="19">
        <f>VLOOKUP(Table3[[#This Row],[Failure due to TPI]],'TPI. Pa.'!$B$3:$C$52,2,0)</f>
        <v>4</v>
      </c>
      <c r="S275" s="19">
        <f>VLOOKUP(Table3[[#This Row],[Activity Level]],'TPI. Pa.'!$B$3:$C$52,2,0)</f>
        <v>10</v>
      </c>
      <c r="T275" s="19">
        <f>VLOOKUP(Table3[[#This Row],[Patrol frequency]],'TPI. Pa.'!$B$3:$C$52,2,0)</f>
        <v>1</v>
      </c>
      <c r="U275" s="19">
        <f>VLOOKUP(Table3[[#This Row],[Proxutil]],'TPI. Pa.'!$B$3:$C$52,2,0)</f>
        <v>5</v>
      </c>
      <c r="V275" s="19">
        <f>VLOOKUP(Table3[[#This Row],[ROW]],'TPI. Pa.'!$B$3:$C$52,2,0)</f>
        <v>10</v>
      </c>
      <c r="W275" s="19">
        <f>VLOOKUP(Table3[[#This Row],[ROW condition]],'TPI. Pa.'!$B$3:$C$52,2,0)</f>
        <v>3</v>
      </c>
      <c r="X27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6" spans="1:24">
      <c r="A276" s="80">
        <v>9</v>
      </c>
      <c r="B276" s="81">
        <v>653110114</v>
      </c>
      <c r="C276" s="82"/>
      <c r="D276" s="19"/>
      <c r="E276" s="19"/>
      <c r="F276" s="19"/>
      <c r="G276" s="19" t="s">
        <v>179</v>
      </c>
      <c r="H276" s="19" t="s">
        <v>185</v>
      </c>
      <c r="I276" s="19" t="s">
        <v>168</v>
      </c>
      <c r="J276" s="19" t="s">
        <v>183</v>
      </c>
      <c r="K276" s="19" t="s">
        <v>26</v>
      </c>
      <c r="L276" s="19" t="s">
        <v>217</v>
      </c>
      <c r="M276" s="19" t="s">
        <v>222</v>
      </c>
      <c r="N276" s="19" t="s">
        <v>228</v>
      </c>
      <c r="O276" s="38"/>
      <c r="P276" s="102">
        <f>VLOOKUP(Table3[[#This Row],[Depth of cover]],'TPI. Pa.'!$B$3:$C$52,2,0)</f>
        <v>2</v>
      </c>
      <c r="Q276" s="19">
        <f>VLOOKUP(Table3[[#This Row],[Additional protection]],'TPI. Pa.'!$B$3:$C$52,2,0)</f>
        <v>5</v>
      </c>
      <c r="R276" s="19">
        <f>VLOOKUP(Table3[[#This Row],[Failure due to TPI]],'TPI. Pa.'!$B$3:$C$52,2,0)</f>
        <v>4</v>
      </c>
      <c r="S276" s="19">
        <f>VLOOKUP(Table3[[#This Row],[Activity Level]],'TPI. Pa.'!$B$3:$C$52,2,0)</f>
        <v>10</v>
      </c>
      <c r="T276" s="19">
        <f>VLOOKUP(Table3[[#This Row],[Patrol frequency]],'TPI. Pa.'!$B$3:$C$52,2,0)</f>
        <v>1</v>
      </c>
      <c r="U276" s="19">
        <f>VLOOKUP(Table3[[#This Row],[Proxutil]],'TPI. Pa.'!$B$3:$C$52,2,0)</f>
        <v>5</v>
      </c>
      <c r="V276" s="19">
        <f>VLOOKUP(Table3[[#This Row],[ROW]],'TPI. Pa.'!$B$3:$C$52,2,0)</f>
        <v>10</v>
      </c>
      <c r="W276" s="19">
        <f>VLOOKUP(Table3[[#This Row],[ROW condition]],'TPI. Pa.'!$B$3:$C$52,2,0)</f>
        <v>3</v>
      </c>
      <c r="X27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7" spans="1:24">
      <c r="A277" s="80">
        <v>9</v>
      </c>
      <c r="B277" s="81">
        <v>653110115</v>
      </c>
      <c r="C277" s="82" t="s">
        <v>846</v>
      </c>
      <c r="D277" s="19"/>
      <c r="E277" s="19"/>
      <c r="F277" s="19"/>
      <c r="G277" s="19" t="s">
        <v>179</v>
      </c>
      <c r="H277" s="19" t="s">
        <v>185</v>
      </c>
      <c r="I277" s="19" t="s">
        <v>168</v>
      </c>
      <c r="J277" s="19" t="s">
        <v>183</v>
      </c>
      <c r="K277" s="19" t="s">
        <v>26</v>
      </c>
      <c r="L277" s="19" t="s">
        <v>217</v>
      </c>
      <c r="M277" s="19" t="s">
        <v>222</v>
      </c>
      <c r="N277" s="19" t="s">
        <v>228</v>
      </c>
      <c r="O277" s="38"/>
      <c r="P277" s="102">
        <f>VLOOKUP(Table3[[#This Row],[Depth of cover]],'TPI. Pa.'!$B$3:$C$52,2,0)</f>
        <v>2</v>
      </c>
      <c r="Q277" s="19">
        <f>VLOOKUP(Table3[[#This Row],[Additional protection]],'TPI. Pa.'!$B$3:$C$52,2,0)</f>
        <v>5</v>
      </c>
      <c r="R277" s="19">
        <f>VLOOKUP(Table3[[#This Row],[Failure due to TPI]],'TPI. Pa.'!$B$3:$C$52,2,0)</f>
        <v>4</v>
      </c>
      <c r="S277" s="19">
        <f>VLOOKUP(Table3[[#This Row],[Activity Level]],'TPI. Pa.'!$B$3:$C$52,2,0)</f>
        <v>10</v>
      </c>
      <c r="T277" s="19">
        <f>VLOOKUP(Table3[[#This Row],[Patrol frequency]],'TPI. Pa.'!$B$3:$C$52,2,0)</f>
        <v>1</v>
      </c>
      <c r="U277" s="19">
        <f>VLOOKUP(Table3[[#This Row],[Proxutil]],'TPI. Pa.'!$B$3:$C$52,2,0)</f>
        <v>5</v>
      </c>
      <c r="V277" s="19">
        <f>VLOOKUP(Table3[[#This Row],[ROW]],'TPI. Pa.'!$B$3:$C$52,2,0)</f>
        <v>10</v>
      </c>
      <c r="W277" s="19">
        <f>VLOOKUP(Table3[[#This Row],[ROW condition]],'TPI. Pa.'!$B$3:$C$52,2,0)</f>
        <v>3</v>
      </c>
      <c r="X27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8" spans="1:24">
      <c r="A278" s="80">
        <v>9</v>
      </c>
      <c r="B278" s="81">
        <v>653110116</v>
      </c>
      <c r="C278" s="82" t="s">
        <v>848</v>
      </c>
      <c r="D278" s="19"/>
      <c r="E278" s="19"/>
      <c r="F278" s="19"/>
      <c r="G278" s="19" t="s">
        <v>179</v>
      </c>
      <c r="H278" s="19" t="s">
        <v>185</v>
      </c>
      <c r="I278" s="19" t="s">
        <v>168</v>
      </c>
      <c r="J278" s="19" t="s">
        <v>183</v>
      </c>
      <c r="K278" s="19" t="s">
        <v>26</v>
      </c>
      <c r="L278" s="19" t="s">
        <v>217</v>
      </c>
      <c r="M278" s="19" t="s">
        <v>222</v>
      </c>
      <c r="N278" s="19" t="s">
        <v>228</v>
      </c>
      <c r="O278" s="38"/>
      <c r="P278" s="102">
        <f>VLOOKUP(Table3[[#This Row],[Depth of cover]],'TPI. Pa.'!$B$3:$C$52,2,0)</f>
        <v>2</v>
      </c>
      <c r="Q278" s="19">
        <f>VLOOKUP(Table3[[#This Row],[Additional protection]],'TPI. Pa.'!$B$3:$C$52,2,0)</f>
        <v>5</v>
      </c>
      <c r="R278" s="19">
        <f>VLOOKUP(Table3[[#This Row],[Failure due to TPI]],'TPI. Pa.'!$B$3:$C$52,2,0)</f>
        <v>4</v>
      </c>
      <c r="S278" s="19">
        <f>VLOOKUP(Table3[[#This Row],[Activity Level]],'TPI. Pa.'!$B$3:$C$52,2,0)</f>
        <v>10</v>
      </c>
      <c r="T278" s="19">
        <f>VLOOKUP(Table3[[#This Row],[Patrol frequency]],'TPI. Pa.'!$B$3:$C$52,2,0)</f>
        <v>1</v>
      </c>
      <c r="U278" s="19">
        <f>VLOOKUP(Table3[[#This Row],[Proxutil]],'TPI. Pa.'!$B$3:$C$52,2,0)</f>
        <v>5</v>
      </c>
      <c r="V278" s="19">
        <f>VLOOKUP(Table3[[#This Row],[ROW]],'TPI. Pa.'!$B$3:$C$52,2,0)</f>
        <v>10</v>
      </c>
      <c r="W278" s="19">
        <f>VLOOKUP(Table3[[#This Row],[ROW condition]],'TPI. Pa.'!$B$3:$C$52,2,0)</f>
        <v>3</v>
      </c>
      <c r="X27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79" spans="1:24">
      <c r="A279" s="80">
        <v>9</v>
      </c>
      <c r="B279" s="81">
        <v>653110117</v>
      </c>
      <c r="C279" s="82" t="s">
        <v>850</v>
      </c>
      <c r="D279" s="19"/>
      <c r="E279" s="19"/>
      <c r="F279" s="19"/>
      <c r="G279" s="19" t="s">
        <v>179</v>
      </c>
      <c r="H279" s="19" t="s">
        <v>185</v>
      </c>
      <c r="I279" s="19" t="s">
        <v>168</v>
      </c>
      <c r="J279" s="19" t="s">
        <v>183</v>
      </c>
      <c r="K279" s="19" t="s">
        <v>26</v>
      </c>
      <c r="L279" s="19" t="s">
        <v>217</v>
      </c>
      <c r="M279" s="19" t="s">
        <v>222</v>
      </c>
      <c r="N279" s="19" t="s">
        <v>228</v>
      </c>
      <c r="O279" s="38"/>
      <c r="P279" s="102">
        <f>VLOOKUP(Table3[[#This Row],[Depth of cover]],'TPI. Pa.'!$B$3:$C$52,2,0)</f>
        <v>2</v>
      </c>
      <c r="Q279" s="19">
        <f>VLOOKUP(Table3[[#This Row],[Additional protection]],'TPI. Pa.'!$B$3:$C$52,2,0)</f>
        <v>5</v>
      </c>
      <c r="R279" s="19">
        <f>VLOOKUP(Table3[[#This Row],[Failure due to TPI]],'TPI. Pa.'!$B$3:$C$52,2,0)</f>
        <v>4</v>
      </c>
      <c r="S279" s="19">
        <f>VLOOKUP(Table3[[#This Row],[Activity Level]],'TPI. Pa.'!$B$3:$C$52,2,0)</f>
        <v>10</v>
      </c>
      <c r="T279" s="19">
        <f>VLOOKUP(Table3[[#This Row],[Patrol frequency]],'TPI. Pa.'!$B$3:$C$52,2,0)</f>
        <v>1</v>
      </c>
      <c r="U279" s="19">
        <f>VLOOKUP(Table3[[#This Row],[Proxutil]],'TPI. Pa.'!$B$3:$C$52,2,0)</f>
        <v>5</v>
      </c>
      <c r="V279" s="19">
        <f>VLOOKUP(Table3[[#This Row],[ROW]],'TPI. Pa.'!$B$3:$C$52,2,0)</f>
        <v>10</v>
      </c>
      <c r="W279" s="19">
        <f>VLOOKUP(Table3[[#This Row],[ROW condition]],'TPI. Pa.'!$B$3:$C$52,2,0)</f>
        <v>3</v>
      </c>
      <c r="X27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0" spans="1:24">
      <c r="A280" s="80">
        <v>9</v>
      </c>
      <c r="B280" s="81">
        <v>6531102</v>
      </c>
      <c r="C280" s="82" t="s">
        <v>819</v>
      </c>
      <c r="D280" s="19"/>
      <c r="E280" s="19"/>
      <c r="F280" s="19"/>
      <c r="G280" s="19" t="s">
        <v>179</v>
      </c>
      <c r="H280" s="19" t="s">
        <v>185</v>
      </c>
      <c r="I280" s="19" t="s">
        <v>168</v>
      </c>
      <c r="J280" s="19" t="s">
        <v>183</v>
      </c>
      <c r="K280" s="19" t="s">
        <v>26</v>
      </c>
      <c r="L280" s="19" t="s">
        <v>217</v>
      </c>
      <c r="M280" s="19" t="s">
        <v>222</v>
      </c>
      <c r="N280" s="19" t="s">
        <v>228</v>
      </c>
      <c r="O280" s="38"/>
      <c r="P280" s="102">
        <f>VLOOKUP(Table3[[#This Row],[Depth of cover]],'TPI. Pa.'!$B$3:$C$52,2,0)</f>
        <v>2</v>
      </c>
      <c r="Q280" s="19">
        <f>VLOOKUP(Table3[[#This Row],[Additional protection]],'TPI. Pa.'!$B$3:$C$52,2,0)</f>
        <v>5</v>
      </c>
      <c r="R280" s="19">
        <f>VLOOKUP(Table3[[#This Row],[Failure due to TPI]],'TPI. Pa.'!$B$3:$C$52,2,0)</f>
        <v>4</v>
      </c>
      <c r="S280" s="19">
        <f>VLOOKUP(Table3[[#This Row],[Activity Level]],'TPI. Pa.'!$B$3:$C$52,2,0)</f>
        <v>10</v>
      </c>
      <c r="T280" s="19">
        <f>VLOOKUP(Table3[[#This Row],[Patrol frequency]],'TPI. Pa.'!$B$3:$C$52,2,0)</f>
        <v>1</v>
      </c>
      <c r="U280" s="19">
        <f>VLOOKUP(Table3[[#This Row],[Proxutil]],'TPI. Pa.'!$B$3:$C$52,2,0)</f>
        <v>5</v>
      </c>
      <c r="V280" s="19">
        <f>VLOOKUP(Table3[[#This Row],[ROW]],'TPI. Pa.'!$B$3:$C$52,2,0)</f>
        <v>10</v>
      </c>
      <c r="W280" s="19">
        <f>VLOOKUP(Table3[[#This Row],[ROW condition]],'TPI. Pa.'!$B$3:$C$52,2,0)</f>
        <v>3</v>
      </c>
      <c r="X28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1" spans="1:24">
      <c r="A281" s="80">
        <v>9</v>
      </c>
      <c r="B281" s="81">
        <v>653110201</v>
      </c>
      <c r="C281" s="82" t="s">
        <v>852</v>
      </c>
      <c r="D281" s="19"/>
      <c r="E281" s="19"/>
      <c r="F281" s="19"/>
      <c r="G281" s="19" t="s">
        <v>179</v>
      </c>
      <c r="H281" s="19" t="s">
        <v>185</v>
      </c>
      <c r="I281" s="19" t="s">
        <v>168</v>
      </c>
      <c r="J281" s="19" t="s">
        <v>183</v>
      </c>
      <c r="K281" s="19" t="s">
        <v>26</v>
      </c>
      <c r="L281" s="19" t="s">
        <v>217</v>
      </c>
      <c r="M281" s="19" t="s">
        <v>222</v>
      </c>
      <c r="N281" s="19" t="s">
        <v>228</v>
      </c>
      <c r="O281" s="38"/>
      <c r="P281" s="102">
        <f>VLOOKUP(Table3[[#This Row],[Depth of cover]],'TPI. Pa.'!$B$3:$C$52,2,0)</f>
        <v>2</v>
      </c>
      <c r="Q281" s="19">
        <f>VLOOKUP(Table3[[#This Row],[Additional protection]],'TPI. Pa.'!$B$3:$C$52,2,0)</f>
        <v>5</v>
      </c>
      <c r="R281" s="19">
        <f>VLOOKUP(Table3[[#This Row],[Failure due to TPI]],'TPI. Pa.'!$B$3:$C$52,2,0)</f>
        <v>4</v>
      </c>
      <c r="S281" s="19">
        <f>VLOOKUP(Table3[[#This Row],[Activity Level]],'TPI. Pa.'!$B$3:$C$52,2,0)</f>
        <v>10</v>
      </c>
      <c r="T281" s="19">
        <f>VLOOKUP(Table3[[#This Row],[Patrol frequency]],'TPI. Pa.'!$B$3:$C$52,2,0)</f>
        <v>1</v>
      </c>
      <c r="U281" s="19">
        <f>VLOOKUP(Table3[[#This Row],[Proxutil]],'TPI. Pa.'!$B$3:$C$52,2,0)</f>
        <v>5</v>
      </c>
      <c r="V281" s="19">
        <f>VLOOKUP(Table3[[#This Row],[ROW]],'TPI. Pa.'!$B$3:$C$52,2,0)</f>
        <v>10</v>
      </c>
      <c r="W281" s="19">
        <f>VLOOKUP(Table3[[#This Row],[ROW condition]],'TPI. Pa.'!$B$3:$C$52,2,0)</f>
        <v>3</v>
      </c>
      <c r="X28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2" spans="1:24">
      <c r="A282" s="80">
        <v>9</v>
      </c>
      <c r="B282" s="81">
        <v>653110202</v>
      </c>
      <c r="C282" s="82" t="s">
        <v>819</v>
      </c>
      <c r="D282" s="19"/>
      <c r="E282" s="19"/>
      <c r="F282" s="19"/>
      <c r="G282" s="19" t="s">
        <v>179</v>
      </c>
      <c r="H282" s="19" t="s">
        <v>185</v>
      </c>
      <c r="I282" s="19" t="s">
        <v>168</v>
      </c>
      <c r="J282" s="19" t="s">
        <v>183</v>
      </c>
      <c r="K282" s="19" t="s">
        <v>26</v>
      </c>
      <c r="L282" s="19" t="s">
        <v>217</v>
      </c>
      <c r="M282" s="19" t="s">
        <v>222</v>
      </c>
      <c r="N282" s="19" t="s">
        <v>228</v>
      </c>
      <c r="O282" s="38"/>
      <c r="P282" s="102">
        <f>VLOOKUP(Table3[[#This Row],[Depth of cover]],'TPI. Pa.'!$B$3:$C$52,2,0)</f>
        <v>2</v>
      </c>
      <c r="Q282" s="19">
        <f>VLOOKUP(Table3[[#This Row],[Additional protection]],'TPI. Pa.'!$B$3:$C$52,2,0)</f>
        <v>5</v>
      </c>
      <c r="R282" s="19">
        <f>VLOOKUP(Table3[[#This Row],[Failure due to TPI]],'TPI. Pa.'!$B$3:$C$52,2,0)</f>
        <v>4</v>
      </c>
      <c r="S282" s="19">
        <f>VLOOKUP(Table3[[#This Row],[Activity Level]],'TPI. Pa.'!$B$3:$C$52,2,0)</f>
        <v>10</v>
      </c>
      <c r="T282" s="19">
        <f>VLOOKUP(Table3[[#This Row],[Patrol frequency]],'TPI. Pa.'!$B$3:$C$52,2,0)</f>
        <v>1</v>
      </c>
      <c r="U282" s="19">
        <f>VLOOKUP(Table3[[#This Row],[Proxutil]],'TPI. Pa.'!$B$3:$C$52,2,0)</f>
        <v>5</v>
      </c>
      <c r="V282" s="19">
        <f>VLOOKUP(Table3[[#This Row],[ROW]],'TPI. Pa.'!$B$3:$C$52,2,0)</f>
        <v>10</v>
      </c>
      <c r="W282" s="19">
        <f>VLOOKUP(Table3[[#This Row],[ROW condition]],'TPI. Pa.'!$B$3:$C$52,2,0)</f>
        <v>3</v>
      </c>
      <c r="X28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3" spans="1:24">
      <c r="A283" s="80">
        <v>9</v>
      </c>
      <c r="B283" s="81">
        <v>6531103</v>
      </c>
      <c r="C283" s="82"/>
      <c r="D283" s="19"/>
      <c r="E283" s="19"/>
      <c r="F283" s="19"/>
      <c r="G283" s="19" t="s">
        <v>179</v>
      </c>
      <c r="H283" s="19" t="s">
        <v>185</v>
      </c>
      <c r="I283" s="19" t="s">
        <v>168</v>
      </c>
      <c r="J283" s="19" t="s">
        <v>183</v>
      </c>
      <c r="K283" s="19" t="s">
        <v>26</v>
      </c>
      <c r="L283" s="19" t="s">
        <v>217</v>
      </c>
      <c r="M283" s="19" t="s">
        <v>222</v>
      </c>
      <c r="N283" s="19" t="s">
        <v>228</v>
      </c>
      <c r="O283" s="38"/>
      <c r="P283" s="102">
        <f>VLOOKUP(Table3[[#This Row],[Depth of cover]],'TPI. Pa.'!$B$3:$C$52,2,0)</f>
        <v>2</v>
      </c>
      <c r="Q283" s="19">
        <f>VLOOKUP(Table3[[#This Row],[Additional protection]],'TPI. Pa.'!$B$3:$C$52,2,0)</f>
        <v>5</v>
      </c>
      <c r="R283" s="19">
        <f>VLOOKUP(Table3[[#This Row],[Failure due to TPI]],'TPI. Pa.'!$B$3:$C$52,2,0)</f>
        <v>4</v>
      </c>
      <c r="S283" s="19">
        <f>VLOOKUP(Table3[[#This Row],[Activity Level]],'TPI. Pa.'!$B$3:$C$52,2,0)</f>
        <v>10</v>
      </c>
      <c r="T283" s="19">
        <f>VLOOKUP(Table3[[#This Row],[Patrol frequency]],'TPI. Pa.'!$B$3:$C$52,2,0)</f>
        <v>1</v>
      </c>
      <c r="U283" s="19">
        <f>VLOOKUP(Table3[[#This Row],[Proxutil]],'TPI. Pa.'!$B$3:$C$52,2,0)</f>
        <v>5</v>
      </c>
      <c r="V283" s="19">
        <f>VLOOKUP(Table3[[#This Row],[ROW]],'TPI. Pa.'!$B$3:$C$52,2,0)</f>
        <v>10</v>
      </c>
      <c r="W283" s="19">
        <f>VLOOKUP(Table3[[#This Row],[ROW condition]],'TPI. Pa.'!$B$3:$C$52,2,0)</f>
        <v>3</v>
      </c>
      <c r="X28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4" spans="1:24">
      <c r="A284" s="80">
        <v>9</v>
      </c>
      <c r="B284" s="81">
        <v>6531104</v>
      </c>
      <c r="C284" s="82"/>
      <c r="D284" s="19"/>
      <c r="E284" s="19"/>
      <c r="F284" s="19"/>
      <c r="G284" s="19" t="s">
        <v>179</v>
      </c>
      <c r="H284" s="19" t="s">
        <v>185</v>
      </c>
      <c r="I284" s="19" t="s">
        <v>168</v>
      </c>
      <c r="J284" s="19" t="s">
        <v>183</v>
      </c>
      <c r="K284" s="19" t="s">
        <v>26</v>
      </c>
      <c r="L284" s="19" t="s">
        <v>217</v>
      </c>
      <c r="M284" s="19" t="s">
        <v>222</v>
      </c>
      <c r="N284" s="19" t="s">
        <v>228</v>
      </c>
      <c r="O284" s="38"/>
      <c r="P284" s="102">
        <f>VLOOKUP(Table3[[#This Row],[Depth of cover]],'TPI. Pa.'!$B$3:$C$52,2,0)</f>
        <v>2</v>
      </c>
      <c r="Q284" s="19">
        <f>VLOOKUP(Table3[[#This Row],[Additional protection]],'TPI. Pa.'!$B$3:$C$52,2,0)</f>
        <v>5</v>
      </c>
      <c r="R284" s="19">
        <f>VLOOKUP(Table3[[#This Row],[Failure due to TPI]],'TPI. Pa.'!$B$3:$C$52,2,0)</f>
        <v>4</v>
      </c>
      <c r="S284" s="19">
        <f>VLOOKUP(Table3[[#This Row],[Activity Level]],'TPI. Pa.'!$B$3:$C$52,2,0)</f>
        <v>10</v>
      </c>
      <c r="T284" s="19">
        <f>VLOOKUP(Table3[[#This Row],[Patrol frequency]],'TPI. Pa.'!$B$3:$C$52,2,0)</f>
        <v>1</v>
      </c>
      <c r="U284" s="19">
        <f>VLOOKUP(Table3[[#This Row],[Proxutil]],'TPI. Pa.'!$B$3:$C$52,2,0)</f>
        <v>5</v>
      </c>
      <c r="V284" s="19">
        <f>VLOOKUP(Table3[[#This Row],[ROW]],'TPI. Pa.'!$B$3:$C$52,2,0)</f>
        <v>10</v>
      </c>
      <c r="W284" s="19">
        <f>VLOOKUP(Table3[[#This Row],[ROW condition]],'TPI. Pa.'!$B$3:$C$52,2,0)</f>
        <v>3</v>
      </c>
      <c r="X28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5" spans="1:24">
      <c r="A285" s="84">
        <v>9</v>
      </c>
      <c r="B285" s="81">
        <v>63401</v>
      </c>
      <c r="C285" s="82" t="s">
        <v>345</v>
      </c>
      <c r="D285" s="19"/>
      <c r="E285" s="19"/>
      <c r="F285" s="19"/>
      <c r="G285" s="19" t="s">
        <v>179</v>
      </c>
      <c r="H285" s="19" t="s">
        <v>185</v>
      </c>
      <c r="I285" s="19" t="s">
        <v>168</v>
      </c>
      <c r="J285" s="19" t="s">
        <v>191</v>
      </c>
      <c r="K285" s="19" t="s">
        <v>26</v>
      </c>
      <c r="L285" s="19" t="s">
        <v>217</v>
      </c>
      <c r="M285" s="19" t="s">
        <v>222</v>
      </c>
      <c r="N285" s="19" t="s">
        <v>228</v>
      </c>
      <c r="O285" s="38"/>
      <c r="P285" s="102">
        <f>VLOOKUP(Table3[[#This Row],[Depth of cover]],'TPI. Pa.'!$B$3:$C$52,2,0)</f>
        <v>2</v>
      </c>
      <c r="Q285" s="19">
        <f>VLOOKUP(Table3[[#This Row],[Additional protection]],'TPI. Pa.'!$B$3:$C$52,2,0)</f>
        <v>5</v>
      </c>
      <c r="R285" s="19">
        <f>VLOOKUP(Table3[[#This Row],[Failure due to TPI]],'TPI. Pa.'!$B$3:$C$52,2,0)</f>
        <v>4</v>
      </c>
      <c r="S285" s="19">
        <f>VLOOKUP(Table3[[#This Row],[Activity Level]],'TPI. Pa.'!$B$3:$C$52,2,0)</f>
        <v>3</v>
      </c>
      <c r="T285" s="19">
        <f>VLOOKUP(Table3[[#This Row],[Patrol frequency]],'TPI. Pa.'!$B$3:$C$52,2,0)</f>
        <v>1</v>
      </c>
      <c r="U285" s="19">
        <f>VLOOKUP(Table3[[#This Row],[Proxutil]],'TPI. Pa.'!$B$3:$C$52,2,0)</f>
        <v>5</v>
      </c>
      <c r="V285" s="19">
        <f>VLOOKUP(Table3[[#This Row],[ROW]],'TPI. Pa.'!$B$3:$C$52,2,0)</f>
        <v>10</v>
      </c>
      <c r="W285" s="19">
        <f>VLOOKUP(Table3[[#This Row],[ROW condition]],'TPI. Pa.'!$B$3:$C$52,2,0)</f>
        <v>3</v>
      </c>
      <c r="X28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86" spans="1:24">
      <c r="A286" s="80">
        <v>9</v>
      </c>
      <c r="B286" s="81">
        <v>6340101</v>
      </c>
      <c r="C286" s="82" t="s">
        <v>793</v>
      </c>
      <c r="D286" s="19"/>
      <c r="E286" s="19"/>
      <c r="F286" s="19"/>
      <c r="G286" s="19" t="s">
        <v>179</v>
      </c>
      <c r="H286" s="19" t="s">
        <v>185</v>
      </c>
      <c r="I286" s="19" t="s">
        <v>168</v>
      </c>
      <c r="J286" s="19" t="s">
        <v>183</v>
      </c>
      <c r="K286" s="19" t="s">
        <v>26</v>
      </c>
      <c r="L286" s="19" t="s">
        <v>217</v>
      </c>
      <c r="M286" s="19" t="s">
        <v>222</v>
      </c>
      <c r="N286" s="19" t="s">
        <v>228</v>
      </c>
      <c r="O286" s="38"/>
      <c r="P286" s="102">
        <f>VLOOKUP(Table3[[#This Row],[Depth of cover]],'TPI. Pa.'!$B$3:$C$52,2,0)</f>
        <v>2</v>
      </c>
      <c r="Q286" s="19">
        <f>VLOOKUP(Table3[[#This Row],[Additional protection]],'TPI. Pa.'!$B$3:$C$52,2,0)</f>
        <v>5</v>
      </c>
      <c r="R286" s="19">
        <f>VLOOKUP(Table3[[#This Row],[Failure due to TPI]],'TPI. Pa.'!$B$3:$C$52,2,0)</f>
        <v>4</v>
      </c>
      <c r="S286" s="19">
        <f>VLOOKUP(Table3[[#This Row],[Activity Level]],'TPI. Pa.'!$B$3:$C$52,2,0)</f>
        <v>10</v>
      </c>
      <c r="T286" s="19">
        <f>VLOOKUP(Table3[[#This Row],[Patrol frequency]],'TPI. Pa.'!$B$3:$C$52,2,0)</f>
        <v>1</v>
      </c>
      <c r="U286" s="19">
        <f>VLOOKUP(Table3[[#This Row],[Proxutil]],'TPI. Pa.'!$B$3:$C$52,2,0)</f>
        <v>5</v>
      </c>
      <c r="V286" s="19">
        <f>VLOOKUP(Table3[[#This Row],[ROW]],'TPI. Pa.'!$B$3:$C$52,2,0)</f>
        <v>10</v>
      </c>
      <c r="W286" s="19">
        <f>VLOOKUP(Table3[[#This Row],[ROW condition]],'TPI. Pa.'!$B$3:$C$52,2,0)</f>
        <v>3</v>
      </c>
      <c r="X28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7" spans="1:24">
      <c r="A287" s="80">
        <v>9</v>
      </c>
      <c r="B287" s="81">
        <v>634010101</v>
      </c>
      <c r="C287" s="82" t="s">
        <v>793</v>
      </c>
      <c r="D287" s="19"/>
      <c r="E287" s="19"/>
      <c r="F287" s="19"/>
      <c r="G287" s="19" t="s">
        <v>179</v>
      </c>
      <c r="H287" s="19" t="s">
        <v>185</v>
      </c>
      <c r="I287" s="19" t="s">
        <v>168</v>
      </c>
      <c r="J287" s="19" t="s">
        <v>183</v>
      </c>
      <c r="K287" s="19" t="s">
        <v>26</v>
      </c>
      <c r="L287" s="19" t="s">
        <v>217</v>
      </c>
      <c r="M287" s="19" t="s">
        <v>222</v>
      </c>
      <c r="N287" s="19" t="s">
        <v>228</v>
      </c>
      <c r="O287" s="38"/>
      <c r="P287" s="102">
        <f>VLOOKUP(Table3[[#This Row],[Depth of cover]],'TPI. Pa.'!$B$3:$C$52,2,0)</f>
        <v>2</v>
      </c>
      <c r="Q287" s="19">
        <f>VLOOKUP(Table3[[#This Row],[Additional protection]],'TPI. Pa.'!$B$3:$C$52,2,0)</f>
        <v>5</v>
      </c>
      <c r="R287" s="19">
        <f>VLOOKUP(Table3[[#This Row],[Failure due to TPI]],'TPI. Pa.'!$B$3:$C$52,2,0)</f>
        <v>4</v>
      </c>
      <c r="S287" s="19">
        <f>VLOOKUP(Table3[[#This Row],[Activity Level]],'TPI. Pa.'!$B$3:$C$52,2,0)</f>
        <v>10</v>
      </c>
      <c r="T287" s="19">
        <f>VLOOKUP(Table3[[#This Row],[Patrol frequency]],'TPI. Pa.'!$B$3:$C$52,2,0)</f>
        <v>1</v>
      </c>
      <c r="U287" s="19">
        <f>VLOOKUP(Table3[[#This Row],[Proxutil]],'TPI. Pa.'!$B$3:$C$52,2,0)</f>
        <v>5</v>
      </c>
      <c r="V287" s="19">
        <f>VLOOKUP(Table3[[#This Row],[ROW]],'TPI. Pa.'!$B$3:$C$52,2,0)</f>
        <v>10</v>
      </c>
      <c r="W287" s="19">
        <f>VLOOKUP(Table3[[#This Row],[ROW condition]],'TPI. Pa.'!$B$3:$C$52,2,0)</f>
        <v>3</v>
      </c>
      <c r="X28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88" spans="1:24">
      <c r="A288" s="80">
        <v>9</v>
      </c>
      <c r="B288" s="81">
        <v>6340102</v>
      </c>
      <c r="C288" s="82" t="s">
        <v>795</v>
      </c>
      <c r="D288" s="19"/>
      <c r="E288" s="19"/>
      <c r="F288" s="19"/>
      <c r="G288" s="19" t="s">
        <v>179</v>
      </c>
      <c r="H288" s="19" t="s">
        <v>185</v>
      </c>
      <c r="I288" s="19" t="s">
        <v>168</v>
      </c>
      <c r="J288" s="19" t="s">
        <v>191</v>
      </c>
      <c r="K288" s="19" t="s">
        <v>26</v>
      </c>
      <c r="L288" s="19" t="s">
        <v>217</v>
      </c>
      <c r="M288" s="19" t="s">
        <v>222</v>
      </c>
      <c r="N288" s="19" t="s">
        <v>228</v>
      </c>
      <c r="O288" s="38"/>
      <c r="P288" s="102">
        <f>VLOOKUP(Table3[[#This Row],[Depth of cover]],'TPI. Pa.'!$B$3:$C$52,2,0)</f>
        <v>2</v>
      </c>
      <c r="Q288" s="19">
        <f>VLOOKUP(Table3[[#This Row],[Additional protection]],'TPI. Pa.'!$B$3:$C$52,2,0)</f>
        <v>5</v>
      </c>
      <c r="R288" s="19">
        <f>VLOOKUP(Table3[[#This Row],[Failure due to TPI]],'TPI. Pa.'!$B$3:$C$52,2,0)</f>
        <v>4</v>
      </c>
      <c r="S288" s="19">
        <f>VLOOKUP(Table3[[#This Row],[Activity Level]],'TPI. Pa.'!$B$3:$C$52,2,0)</f>
        <v>3</v>
      </c>
      <c r="T288" s="19">
        <f>VLOOKUP(Table3[[#This Row],[Patrol frequency]],'TPI. Pa.'!$B$3:$C$52,2,0)</f>
        <v>1</v>
      </c>
      <c r="U288" s="19">
        <f>VLOOKUP(Table3[[#This Row],[Proxutil]],'TPI. Pa.'!$B$3:$C$52,2,0)</f>
        <v>5</v>
      </c>
      <c r="V288" s="19">
        <f>VLOOKUP(Table3[[#This Row],[ROW]],'TPI. Pa.'!$B$3:$C$52,2,0)</f>
        <v>10</v>
      </c>
      <c r="W288" s="19">
        <f>VLOOKUP(Table3[[#This Row],[ROW condition]],'TPI. Pa.'!$B$3:$C$52,2,0)</f>
        <v>3</v>
      </c>
      <c r="X28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89" spans="1:24">
      <c r="A289" s="84">
        <v>9</v>
      </c>
      <c r="B289" s="81">
        <v>65306</v>
      </c>
      <c r="C289" s="82" t="s">
        <v>346</v>
      </c>
      <c r="D289" s="19"/>
      <c r="E289" s="19"/>
      <c r="F289" s="19"/>
      <c r="G289" s="19" t="s">
        <v>179</v>
      </c>
      <c r="H289" s="19" t="s">
        <v>185</v>
      </c>
      <c r="I289" s="19" t="s">
        <v>168</v>
      </c>
      <c r="J289" s="19" t="s">
        <v>183</v>
      </c>
      <c r="K289" s="19" t="s">
        <v>26</v>
      </c>
      <c r="L289" s="19" t="s">
        <v>217</v>
      </c>
      <c r="M289" s="19" t="s">
        <v>222</v>
      </c>
      <c r="N289" s="19" t="s">
        <v>228</v>
      </c>
      <c r="O289" s="38"/>
      <c r="P289" s="102">
        <f>VLOOKUP(Table3[[#This Row],[Depth of cover]],'TPI. Pa.'!$B$3:$C$52,2,0)</f>
        <v>2</v>
      </c>
      <c r="Q289" s="19">
        <f>VLOOKUP(Table3[[#This Row],[Additional protection]],'TPI. Pa.'!$B$3:$C$52,2,0)</f>
        <v>5</v>
      </c>
      <c r="R289" s="19">
        <f>VLOOKUP(Table3[[#This Row],[Failure due to TPI]],'TPI. Pa.'!$B$3:$C$52,2,0)</f>
        <v>4</v>
      </c>
      <c r="S289" s="19">
        <f>VLOOKUP(Table3[[#This Row],[Activity Level]],'TPI. Pa.'!$B$3:$C$52,2,0)</f>
        <v>10</v>
      </c>
      <c r="T289" s="19">
        <f>VLOOKUP(Table3[[#This Row],[Patrol frequency]],'TPI. Pa.'!$B$3:$C$52,2,0)</f>
        <v>1</v>
      </c>
      <c r="U289" s="19">
        <f>VLOOKUP(Table3[[#This Row],[Proxutil]],'TPI. Pa.'!$B$3:$C$52,2,0)</f>
        <v>5</v>
      </c>
      <c r="V289" s="19">
        <f>VLOOKUP(Table3[[#This Row],[ROW]],'TPI. Pa.'!$B$3:$C$52,2,0)</f>
        <v>10</v>
      </c>
      <c r="W289" s="19">
        <f>VLOOKUP(Table3[[#This Row],[ROW condition]],'TPI. Pa.'!$B$3:$C$52,2,0)</f>
        <v>3</v>
      </c>
      <c r="X28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0" spans="1:24">
      <c r="A290" s="80">
        <v>9</v>
      </c>
      <c r="B290" s="81">
        <v>653050001</v>
      </c>
      <c r="C290" s="82" t="s">
        <v>801</v>
      </c>
      <c r="D290" s="19"/>
      <c r="E290" s="19"/>
      <c r="F290" s="19"/>
      <c r="G290" s="19" t="s">
        <v>179</v>
      </c>
      <c r="H290" s="19" t="s">
        <v>185</v>
      </c>
      <c r="I290" s="19" t="s">
        <v>168</v>
      </c>
      <c r="J290" s="19" t="s">
        <v>183</v>
      </c>
      <c r="K290" s="19" t="s">
        <v>26</v>
      </c>
      <c r="L290" s="19" t="s">
        <v>217</v>
      </c>
      <c r="M290" s="19" t="s">
        <v>222</v>
      </c>
      <c r="N290" s="19" t="s">
        <v>228</v>
      </c>
      <c r="O290" s="38"/>
      <c r="P290" s="102">
        <f>VLOOKUP(Table3[[#This Row],[Depth of cover]],'TPI. Pa.'!$B$3:$C$52,2,0)</f>
        <v>2</v>
      </c>
      <c r="Q290" s="19">
        <f>VLOOKUP(Table3[[#This Row],[Additional protection]],'TPI. Pa.'!$B$3:$C$52,2,0)</f>
        <v>5</v>
      </c>
      <c r="R290" s="19">
        <f>VLOOKUP(Table3[[#This Row],[Failure due to TPI]],'TPI. Pa.'!$B$3:$C$52,2,0)</f>
        <v>4</v>
      </c>
      <c r="S290" s="19">
        <f>VLOOKUP(Table3[[#This Row],[Activity Level]],'TPI. Pa.'!$B$3:$C$52,2,0)</f>
        <v>10</v>
      </c>
      <c r="T290" s="19">
        <f>VLOOKUP(Table3[[#This Row],[Patrol frequency]],'TPI. Pa.'!$B$3:$C$52,2,0)</f>
        <v>1</v>
      </c>
      <c r="U290" s="19">
        <f>VLOOKUP(Table3[[#This Row],[Proxutil]],'TPI. Pa.'!$B$3:$C$52,2,0)</f>
        <v>5</v>
      </c>
      <c r="V290" s="19">
        <f>VLOOKUP(Table3[[#This Row],[ROW]],'TPI. Pa.'!$B$3:$C$52,2,0)</f>
        <v>10</v>
      </c>
      <c r="W290" s="19">
        <f>VLOOKUP(Table3[[#This Row],[ROW condition]],'TPI. Pa.'!$B$3:$C$52,2,0)</f>
        <v>3</v>
      </c>
      <c r="X29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1" spans="1:24">
      <c r="A291" s="80">
        <v>9</v>
      </c>
      <c r="B291" s="81">
        <v>653050002</v>
      </c>
      <c r="C291" s="82" t="s">
        <v>803</v>
      </c>
      <c r="D291" s="19"/>
      <c r="E291" s="19"/>
      <c r="F291" s="19"/>
      <c r="G291" s="19" t="s">
        <v>179</v>
      </c>
      <c r="H291" s="19" t="s">
        <v>185</v>
      </c>
      <c r="I291" s="19" t="s">
        <v>168</v>
      </c>
      <c r="J291" s="19" t="s">
        <v>183</v>
      </c>
      <c r="K291" s="19" t="s">
        <v>26</v>
      </c>
      <c r="L291" s="19" t="s">
        <v>217</v>
      </c>
      <c r="M291" s="19" t="s">
        <v>222</v>
      </c>
      <c r="N291" s="19" t="s">
        <v>228</v>
      </c>
      <c r="O291" s="38"/>
      <c r="P291" s="102">
        <f>VLOOKUP(Table3[[#This Row],[Depth of cover]],'TPI. Pa.'!$B$3:$C$52,2,0)</f>
        <v>2</v>
      </c>
      <c r="Q291" s="19">
        <f>VLOOKUP(Table3[[#This Row],[Additional protection]],'TPI. Pa.'!$B$3:$C$52,2,0)</f>
        <v>5</v>
      </c>
      <c r="R291" s="19">
        <f>VLOOKUP(Table3[[#This Row],[Failure due to TPI]],'TPI. Pa.'!$B$3:$C$52,2,0)</f>
        <v>4</v>
      </c>
      <c r="S291" s="19">
        <f>VLOOKUP(Table3[[#This Row],[Activity Level]],'TPI. Pa.'!$B$3:$C$52,2,0)</f>
        <v>10</v>
      </c>
      <c r="T291" s="19">
        <f>VLOOKUP(Table3[[#This Row],[Patrol frequency]],'TPI. Pa.'!$B$3:$C$52,2,0)</f>
        <v>1</v>
      </c>
      <c r="U291" s="19">
        <f>VLOOKUP(Table3[[#This Row],[Proxutil]],'TPI. Pa.'!$B$3:$C$52,2,0)</f>
        <v>5</v>
      </c>
      <c r="V291" s="19">
        <f>VLOOKUP(Table3[[#This Row],[ROW]],'TPI. Pa.'!$B$3:$C$52,2,0)</f>
        <v>10</v>
      </c>
      <c r="W291" s="19">
        <f>VLOOKUP(Table3[[#This Row],[ROW condition]],'TPI. Pa.'!$B$3:$C$52,2,0)</f>
        <v>3</v>
      </c>
      <c r="X29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2" spans="1:24">
      <c r="A292" s="80">
        <v>9</v>
      </c>
      <c r="B292" s="81">
        <v>653060001</v>
      </c>
      <c r="C292" s="82" t="s">
        <v>346</v>
      </c>
      <c r="D292" s="19"/>
      <c r="E292" s="19"/>
      <c r="F292" s="19"/>
      <c r="G292" s="19" t="s">
        <v>179</v>
      </c>
      <c r="H292" s="19" t="s">
        <v>185</v>
      </c>
      <c r="I292" s="19" t="s">
        <v>168</v>
      </c>
      <c r="J292" s="19" t="s">
        <v>183</v>
      </c>
      <c r="K292" s="19" t="s">
        <v>26</v>
      </c>
      <c r="L292" s="19" t="s">
        <v>217</v>
      </c>
      <c r="M292" s="19" t="s">
        <v>222</v>
      </c>
      <c r="N292" s="19" t="s">
        <v>228</v>
      </c>
      <c r="O292" s="38"/>
      <c r="P292" s="102">
        <f>VLOOKUP(Table3[[#This Row],[Depth of cover]],'TPI. Pa.'!$B$3:$C$52,2,0)</f>
        <v>2</v>
      </c>
      <c r="Q292" s="19">
        <f>VLOOKUP(Table3[[#This Row],[Additional protection]],'TPI. Pa.'!$B$3:$C$52,2,0)</f>
        <v>5</v>
      </c>
      <c r="R292" s="19">
        <f>VLOOKUP(Table3[[#This Row],[Failure due to TPI]],'TPI. Pa.'!$B$3:$C$52,2,0)</f>
        <v>4</v>
      </c>
      <c r="S292" s="19">
        <f>VLOOKUP(Table3[[#This Row],[Activity Level]],'TPI. Pa.'!$B$3:$C$52,2,0)</f>
        <v>10</v>
      </c>
      <c r="T292" s="19">
        <f>VLOOKUP(Table3[[#This Row],[Patrol frequency]],'TPI. Pa.'!$B$3:$C$52,2,0)</f>
        <v>1</v>
      </c>
      <c r="U292" s="19">
        <f>VLOOKUP(Table3[[#This Row],[Proxutil]],'TPI. Pa.'!$B$3:$C$52,2,0)</f>
        <v>5</v>
      </c>
      <c r="V292" s="19">
        <f>VLOOKUP(Table3[[#This Row],[ROW]],'TPI. Pa.'!$B$3:$C$52,2,0)</f>
        <v>10</v>
      </c>
      <c r="W292" s="19">
        <f>VLOOKUP(Table3[[#This Row],[ROW condition]],'TPI. Pa.'!$B$3:$C$52,2,0)</f>
        <v>3</v>
      </c>
      <c r="X29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3" spans="1:24">
      <c r="A293" s="84">
        <v>9</v>
      </c>
      <c r="B293" s="81">
        <v>410903</v>
      </c>
      <c r="C293" s="82" t="s">
        <v>347</v>
      </c>
      <c r="D293" s="19"/>
      <c r="E293" s="19"/>
      <c r="F293" s="19"/>
      <c r="G293" s="19" t="s">
        <v>179</v>
      </c>
      <c r="H293" s="19" t="s">
        <v>185</v>
      </c>
      <c r="I293" s="19" t="s">
        <v>168</v>
      </c>
      <c r="J293" s="19" t="s">
        <v>183</v>
      </c>
      <c r="K293" s="19" t="s">
        <v>26</v>
      </c>
      <c r="L293" s="19" t="s">
        <v>217</v>
      </c>
      <c r="M293" s="19" t="s">
        <v>222</v>
      </c>
      <c r="N293" s="19" t="s">
        <v>228</v>
      </c>
      <c r="O293" s="38"/>
      <c r="P293" s="102">
        <f>VLOOKUP(Table3[[#This Row],[Depth of cover]],'TPI. Pa.'!$B$3:$C$52,2,0)</f>
        <v>2</v>
      </c>
      <c r="Q293" s="19">
        <f>VLOOKUP(Table3[[#This Row],[Additional protection]],'TPI. Pa.'!$B$3:$C$52,2,0)</f>
        <v>5</v>
      </c>
      <c r="R293" s="19">
        <f>VLOOKUP(Table3[[#This Row],[Failure due to TPI]],'TPI. Pa.'!$B$3:$C$52,2,0)</f>
        <v>4</v>
      </c>
      <c r="S293" s="19">
        <f>VLOOKUP(Table3[[#This Row],[Activity Level]],'TPI. Pa.'!$B$3:$C$52,2,0)</f>
        <v>10</v>
      </c>
      <c r="T293" s="19">
        <f>VLOOKUP(Table3[[#This Row],[Patrol frequency]],'TPI. Pa.'!$B$3:$C$52,2,0)</f>
        <v>1</v>
      </c>
      <c r="U293" s="19">
        <f>VLOOKUP(Table3[[#This Row],[Proxutil]],'TPI. Pa.'!$B$3:$C$52,2,0)</f>
        <v>5</v>
      </c>
      <c r="V293" s="19">
        <f>VLOOKUP(Table3[[#This Row],[ROW]],'TPI. Pa.'!$B$3:$C$52,2,0)</f>
        <v>10</v>
      </c>
      <c r="W293" s="19">
        <f>VLOOKUP(Table3[[#This Row],[ROW condition]],'TPI. Pa.'!$B$3:$C$52,2,0)</f>
        <v>3</v>
      </c>
      <c r="X29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4" spans="1:24">
      <c r="A294" s="84">
        <v>9</v>
      </c>
      <c r="B294" s="81">
        <v>6203004</v>
      </c>
      <c r="C294" s="82" t="s">
        <v>348</v>
      </c>
      <c r="D294" s="19"/>
      <c r="E294" s="19"/>
      <c r="F294" s="19"/>
      <c r="G294" s="19" t="s">
        <v>179</v>
      </c>
      <c r="H294" s="19" t="s">
        <v>185</v>
      </c>
      <c r="I294" s="19" t="s">
        <v>168</v>
      </c>
      <c r="J294" s="19" t="s">
        <v>183</v>
      </c>
      <c r="K294" s="19" t="s">
        <v>26</v>
      </c>
      <c r="L294" s="19" t="s">
        <v>217</v>
      </c>
      <c r="M294" s="19" t="s">
        <v>222</v>
      </c>
      <c r="N294" s="19" t="s">
        <v>228</v>
      </c>
      <c r="O294" s="38"/>
      <c r="P294" s="102">
        <f>VLOOKUP(Table3[[#This Row],[Depth of cover]],'TPI. Pa.'!$B$3:$C$52,2,0)</f>
        <v>2</v>
      </c>
      <c r="Q294" s="19">
        <f>VLOOKUP(Table3[[#This Row],[Additional protection]],'TPI. Pa.'!$B$3:$C$52,2,0)</f>
        <v>5</v>
      </c>
      <c r="R294" s="19">
        <f>VLOOKUP(Table3[[#This Row],[Failure due to TPI]],'TPI. Pa.'!$B$3:$C$52,2,0)</f>
        <v>4</v>
      </c>
      <c r="S294" s="19">
        <f>VLOOKUP(Table3[[#This Row],[Activity Level]],'TPI. Pa.'!$B$3:$C$52,2,0)</f>
        <v>10</v>
      </c>
      <c r="T294" s="19">
        <f>VLOOKUP(Table3[[#This Row],[Patrol frequency]],'TPI. Pa.'!$B$3:$C$52,2,0)</f>
        <v>1</v>
      </c>
      <c r="U294" s="19">
        <f>VLOOKUP(Table3[[#This Row],[Proxutil]],'TPI. Pa.'!$B$3:$C$52,2,0)</f>
        <v>5</v>
      </c>
      <c r="V294" s="19">
        <f>VLOOKUP(Table3[[#This Row],[ROW]],'TPI. Pa.'!$B$3:$C$52,2,0)</f>
        <v>10</v>
      </c>
      <c r="W294" s="19">
        <f>VLOOKUP(Table3[[#This Row],[ROW condition]],'TPI. Pa.'!$B$3:$C$52,2,0)</f>
        <v>3</v>
      </c>
      <c r="X29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5" spans="1:24">
      <c r="A295" s="84">
        <v>9</v>
      </c>
      <c r="B295" s="81">
        <v>651100001</v>
      </c>
      <c r="C295" s="82" t="s">
        <v>349</v>
      </c>
      <c r="D295" s="19"/>
      <c r="E295" s="19"/>
      <c r="F295" s="19"/>
      <c r="G295" s="19" t="s">
        <v>179</v>
      </c>
      <c r="H295" s="19" t="s">
        <v>185</v>
      </c>
      <c r="I295" s="19" t="s">
        <v>168</v>
      </c>
      <c r="J295" s="19" t="s">
        <v>183</v>
      </c>
      <c r="K295" s="19" t="s">
        <v>26</v>
      </c>
      <c r="L295" s="19" t="s">
        <v>217</v>
      </c>
      <c r="M295" s="19" t="s">
        <v>222</v>
      </c>
      <c r="N295" s="19" t="s">
        <v>228</v>
      </c>
      <c r="O295" s="38"/>
      <c r="P295" s="102">
        <f>VLOOKUP(Table3[[#This Row],[Depth of cover]],'TPI. Pa.'!$B$3:$C$52,2,0)</f>
        <v>2</v>
      </c>
      <c r="Q295" s="19">
        <f>VLOOKUP(Table3[[#This Row],[Additional protection]],'TPI. Pa.'!$B$3:$C$52,2,0)</f>
        <v>5</v>
      </c>
      <c r="R295" s="19">
        <f>VLOOKUP(Table3[[#This Row],[Failure due to TPI]],'TPI. Pa.'!$B$3:$C$52,2,0)</f>
        <v>4</v>
      </c>
      <c r="S295" s="19">
        <f>VLOOKUP(Table3[[#This Row],[Activity Level]],'TPI. Pa.'!$B$3:$C$52,2,0)</f>
        <v>10</v>
      </c>
      <c r="T295" s="19">
        <f>VLOOKUP(Table3[[#This Row],[Patrol frequency]],'TPI. Pa.'!$B$3:$C$52,2,0)</f>
        <v>1</v>
      </c>
      <c r="U295" s="19">
        <f>VLOOKUP(Table3[[#This Row],[Proxutil]],'TPI. Pa.'!$B$3:$C$52,2,0)</f>
        <v>5</v>
      </c>
      <c r="V295" s="19">
        <f>VLOOKUP(Table3[[#This Row],[ROW]],'TPI. Pa.'!$B$3:$C$52,2,0)</f>
        <v>10</v>
      </c>
      <c r="W295" s="19">
        <f>VLOOKUP(Table3[[#This Row],[ROW condition]],'TPI. Pa.'!$B$3:$C$52,2,0)</f>
        <v>3</v>
      </c>
      <c r="X29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6" spans="1:24">
      <c r="A296" s="80">
        <v>9</v>
      </c>
      <c r="B296" s="81">
        <v>651100002</v>
      </c>
      <c r="C296" s="82" t="s">
        <v>809</v>
      </c>
      <c r="D296" s="19"/>
      <c r="E296" s="19"/>
      <c r="F296" s="19"/>
      <c r="G296" s="19" t="s">
        <v>179</v>
      </c>
      <c r="H296" s="19" t="s">
        <v>185</v>
      </c>
      <c r="I296" s="19" t="s">
        <v>168</v>
      </c>
      <c r="J296" s="19" t="s">
        <v>183</v>
      </c>
      <c r="K296" s="19" t="s">
        <v>26</v>
      </c>
      <c r="L296" s="19" t="s">
        <v>217</v>
      </c>
      <c r="M296" s="19" t="s">
        <v>222</v>
      </c>
      <c r="N296" s="19" t="s">
        <v>228</v>
      </c>
      <c r="O296" s="38"/>
      <c r="P296" s="102">
        <f>VLOOKUP(Table3[[#This Row],[Depth of cover]],'TPI. Pa.'!$B$3:$C$52,2,0)</f>
        <v>2</v>
      </c>
      <c r="Q296" s="19">
        <f>VLOOKUP(Table3[[#This Row],[Additional protection]],'TPI. Pa.'!$B$3:$C$52,2,0)</f>
        <v>5</v>
      </c>
      <c r="R296" s="19">
        <f>VLOOKUP(Table3[[#This Row],[Failure due to TPI]],'TPI. Pa.'!$B$3:$C$52,2,0)</f>
        <v>4</v>
      </c>
      <c r="S296" s="19">
        <f>VLOOKUP(Table3[[#This Row],[Activity Level]],'TPI. Pa.'!$B$3:$C$52,2,0)</f>
        <v>10</v>
      </c>
      <c r="T296" s="19">
        <f>VLOOKUP(Table3[[#This Row],[Patrol frequency]],'TPI. Pa.'!$B$3:$C$52,2,0)</f>
        <v>1</v>
      </c>
      <c r="U296" s="19">
        <f>VLOOKUP(Table3[[#This Row],[Proxutil]],'TPI. Pa.'!$B$3:$C$52,2,0)</f>
        <v>5</v>
      </c>
      <c r="V296" s="19">
        <f>VLOOKUP(Table3[[#This Row],[ROW]],'TPI. Pa.'!$B$3:$C$52,2,0)</f>
        <v>10</v>
      </c>
      <c r="W296" s="19">
        <f>VLOOKUP(Table3[[#This Row],[ROW condition]],'TPI. Pa.'!$B$3:$C$52,2,0)</f>
        <v>3</v>
      </c>
      <c r="X29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7" spans="1:24">
      <c r="A297" s="80">
        <v>9</v>
      </c>
      <c r="B297" s="81">
        <v>651100003</v>
      </c>
      <c r="C297" s="82" t="s">
        <v>811</v>
      </c>
      <c r="D297" s="19"/>
      <c r="E297" s="19"/>
      <c r="F297" s="19"/>
      <c r="G297" s="19" t="s">
        <v>179</v>
      </c>
      <c r="H297" s="19" t="s">
        <v>185</v>
      </c>
      <c r="I297" s="19" t="s">
        <v>168</v>
      </c>
      <c r="J297" s="19" t="s">
        <v>183</v>
      </c>
      <c r="K297" s="19" t="s">
        <v>26</v>
      </c>
      <c r="L297" s="19" t="s">
        <v>217</v>
      </c>
      <c r="M297" s="19" t="s">
        <v>222</v>
      </c>
      <c r="N297" s="19" t="s">
        <v>228</v>
      </c>
      <c r="O297" s="38"/>
      <c r="P297" s="102">
        <f>VLOOKUP(Table3[[#This Row],[Depth of cover]],'TPI. Pa.'!$B$3:$C$52,2,0)</f>
        <v>2</v>
      </c>
      <c r="Q297" s="19">
        <f>VLOOKUP(Table3[[#This Row],[Additional protection]],'TPI. Pa.'!$B$3:$C$52,2,0)</f>
        <v>5</v>
      </c>
      <c r="R297" s="19">
        <f>VLOOKUP(Table3[[#This Row],[Failure due to TPI]],'TPI. Pa.'!$B$3:$C$52,2,0)</f>
        <v>4</v>
      </c>
      <c r="S297" s="19">
        <f>VLOOKUP(Table3[[#This Row],[Activity Level]],'TPI. Pa.'!$B$3:$C$52,2,0)</f>
        <v>10</v>
      </c>
      <c r="T297" s="19">
        <f>VLOOKUP(Table3[[#This Row],[Patrol frequency]],'TPI. Pa.'!$B$3:$C$52,2,0)</f>
        <v>1</v>
      </c>
      <c r="U297" s="19">
        <f>VLOOKUP(Table3[[#This Row],[Proxutil]],'TPI. Pa.'!$B$3:$C$52,2,0)</f>
        <v>5</v>
      </c>
      <c r="V297" s="19">
        <f>VLOOKUP(Table3[[#This Row],[ROW]],'TPI. Pa.'!$B$3:$C$52,2,0)</f>
        <v>10</v>
      </c>
      <c r="W297" s="19">
        <f>VLOOKUP(Table3[[#This Row],[ROW condition]],'TPI. Pa.'!$B$3:$C$52,2,0)</f>
        <v>3</v>
      </c>
      <c r="X29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298" spans="1:24">
      <c r="A298" s="80">
        <v>9</v>
      </c>
      <c r="B298" s="81">
        <v>651100004</v>
      </c>
      <c r="C298" s="82" t="s">
        <v>813</v>
      </c>
      <c r="D298" s="19"/>
      <c r="E298" s="19"/>
      <c r="F298" s="19"/>
      <c r="G298" s="19" t="s">
        <v>179</v>
      </c>
      <c r="H298" s="19" t="s">
        <v>185</v>
      </c>
      <c r="I298" s="19" t="s">
        <v>168</v>
      </c>
      <c r="J298" s="167" t="s">
        <v>191</v>
      </c>
      <c r="K298" s="19" t="s">
        <v>26</v>
      </c>
      <c r="L298" s="19" t="s">
        <v>217</v>
      </c>
      <c r="M298" s="19" t="s">
        <v>222</v>
      </c>
      <c r="N298" s="19" t="s">
        <v>228</v>
      </c>
      <c r="O298" s="38"/>
      <c r="P298" s="102">
        <f>VLOOKUP(Table3[[#This Row],[Depth of cover]],'TPI. Pa.'!$B$3:$C$52,2,0)</f>
        <v>2</v>
      </c>
      <c r="Q298" s="19">
        <f>VLOOKUP(Table3[[#This Row],[Additional protection]],'TPI. Pa.'!$B$3:$C$52,2,0)</f>
        <v>5</v>
      </c>
      <c r="R298" s="19">
        <f>VLOOKUP(Table3[[#This Row],[Failure due to TPI]],'TPI. Pa.'!$B$3:$C$52,2,0)</f>
        <v>4</v>
      </c>
      <c r="S298" s="19">
        <f>VLOOKUP(Table3[[#This Row],[Activity Level]],'TPI. Pa.'!$B$3:$C$52,2,0)</f>
        <v>3</v>
      </c>
      <c r="T298" s="19">
        <f>VLOOKUP(Table3[[#This Row],[Patrol frequency]],'TPI. Pa.'!$B$3:$C$52,2,0)</f>
        <v>1</v>
      </c>
      <c r="U298" s="19">
        <f>VLOOKUP(Table3[[#This Row],[Proxutil]],'TPI. Pa.'!$B$3:$C$52,2,0)</f>
        <v>5</v>
      </c>
      <c r="V298" s="19">
        <f>VLOOKUP(Table3[[#This Row],[ROW]],'TPI. Pa.'!$B$3:$C$52,2,0)</f>
        <v>10</v>
      </c>
      <c r="W298" s="19">
        <f>VLOOKUP(Table3[[#This Row],[ROW condition]],'TPI. Pa.'!$B$3:$C$52,2,0)</f>
        <v>3</v>
      </c>
      <c r="X29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40.454545454545453</v>
      </c>
    </row>
    <row r="299" spans="1:24">
      <c r="A299" s="80">
        <v>9</v>
      </c>
      <c r="B299" s="81">
        <v>651200001</v>
      </c>
      <c r="C299" s="82" t="s">
        <v>815</v>
      </c>
      <c r="D299" s="19"/>
      <c r="E299" s="19"/>
      <c r="F299" s="19"/>
      <c r="G299" s="19" t="s">
        <v>179</v>
      </c>
      <c r="H299" s="19" t="s">
        <v>185</v>
      </c>
      <c r="I299" s="19" t="s">
        <v>168</v>
      </c>
      <c r="J299" s="19" t="s">
        <v>183</v>
      </c>
      <c r="K299" s="19" t="s">
        <v>26</v>
      </c>
      <c r="L299" s="19" t="s">
        <v>217</v>
      </c>
      <c r="M299" s="19" t="s">
        <v>222</v>
      </c>
      <c r="N299" s="19" t="s">
        <v>228</v>
      </c>
      <c r="O299" s="38"/>
      <c r="P299" s="102">
        <f>VLOOKUP(Table3[[#This Row],[Depth of cover]],'TPI. Pa.'!$B$3:$C$52,2,0)</f>
        <v>2</v>
      </c>
      <c r="Q299" s="19">
        <f>VLOOKUP(Table3[[#This Row],[Additional protection]],'TPI. Pa.'!$B$3:$C$52,2,0)</f>
        <v>5</v>
      </c>
      <c r="R299" s="19">
        <f>VLOOKUP(Table3[[#This Row],[Failure due to TPI]],'TPI. Pa.'!$B$3:$C$52,2,0)</f>
        <v>4</v>
      </c>
      <c r="S299" s="19">
        <f>VLOOKUP(Table3[[#This Row],[Activity Level]],'TPI. Pa.'!$B$3:$C$52,2,0)</f>
        <v>10</v>
      </c>
      <c r="T299" s="19">
        <f>VLOOKUP(Table3[[#This Row],[Patrol frequency]],'TPI. Pa.'!$B$3:$C$52,2,0)</f>
        <v>1</v>
      </c>
      <c r="U299" s="19">
        <f>VLOOKUP(Table3[[#This Row],[Proxutil]],'TPI. Pa.'!$B$3:$C$52,2,0)</f>
        <v>5</v>
      </c>
      <c r="V299" s="19">
        <f>VLOOKUP(Table3[[#This Row],[ROW]],'TPI. Pa.'!$B$3:$C$52,2,0)</f>
        <v>10</v>
      </c>
      <c r="W299" s="19">
        <f>VLOOKUP(Table3[[#This Row],[ROW condition]],'TPI. Pa.'!$B$3:$C$52,2,0)</f>
        <v>3</v>
      </c>
      <c r="X29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0" spans="1:24">
      <c r="A300" s="94">
        <v>9</v>
      </c>
      <c r="B300" s="96">
        <v>651300001</v>
      </c>
      <c r="C300" s="97" t="s">
        <v>350</v>
      </c>
      <c r="D300" s="19"/>
      <c r="E300" s="19"/>
      <c r="F300" s="19"/>
      <c r="G300" s="19" t="s">
        <v>179</v>
      </c>
      <c r="H300" s="19" t="s">
        <v>185</v>
      </c>
      <c r="I300" s="19" t="s">
        <v>168</v>
      </c>
      <c r="J300" s="19" t="s">
        <v>183</v>
      </c>
      <c r="K300" s="19" t="s">
        <v>26</v>
      </c>
      <c r="L300" s="19" t="s">
        <v>217</v>
      </c>
      <c r="M300" s="19" t="s">
        <v>222</v>
      </c>
      <c r="N300" s="19" t="s">
        <v>228</v>
      </c>
      <c r="O300" s="38"/>
      <c r="P300" s="102">
        <f>VLOOKUP(Table3[[#This Row],[Depth of cover]],'TPI. Pa.'!$B$3:$C$52,2,0)</f>
        <v>2</v>
      </c>
      <c r="Q300" s="19">
        <f>VLOOKUP(Table3[[#This Row],[Additional protection]],'TPI. Pa.'!$B$3:$C$52,2,0)</f>
        <v>5</v>
      </c>
      <c r="R300" s="19">
        <f>VLOOKUP(Table3[[#This Row],[Failure due to TPI]],'TPI. Pa.'!$B$3:$C$52,2,0)</f>
        <v>4</v>
      </c>
      <c r="S300" s="19">
        <f>VLOOKUP(Table3[[#This Row],[Activity Level]],'TPI. Pa.'!$B$3:$C$52,2,0)</f>
        <v>10</v>
      </c>
      <c r="T300" s="19">
        <f>VLOOKUP(Table3[[#This Row],[Patrol frequency]],'TPI. Pa.'!$B$3:$C$52,2,0)</f>
        <v>1</v>
      </c>
      <c r="U300" s="19">
        <f>VLOOKUP(Table3[[#This Row],[Proxutil]],'TPI. Pa.'!$B$3:$C$52,2,0)</f>
        <v>5</v>
      </c>
      <c r="V300" s="19">
        <f>VLOOKUP(Table3[[#This Row],[ROW]],'TPI. Pa.'!$B$3:$C$52,2,0)</f>
        <v>10</v>
      </c>
      <c r="W300" s="19">
        <f>VLOOKUP(Table3[[#This Row],[ROW condition]],'TPI. Pa.'!$B$3:$C$52,2,0)</f>
        <v>3</v>
      </c>
      <c r="X30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1" spans="1:24">
      <c r="A301" s="80">
        <v>9</v>
      </c>
      <c r="B301" s="81">
        <v>65130101</v>
      </c>
      <c r="C301" s="82" t="s">
        <v>805</v>
      </c>
      <c r="D301" s="19"/>
      <c r="E301" s="19"/>
      <c r="F301" s="19"/>
      <c r="G301" s="19" t="s">
        <v>179</v>
      </c>
      <c r="H301" s="19" t="s">
        <v>185</v>
      </c>
      <c r="I301" s="19" t="s">
        <v>168</v>
      </c>
      <c r="J301" s="19" t="s">
        <v>183</v>
      </c>
      <c r="K301" s="19" t="s">
        <v>26</v>
      </c>
      <c r="L301" s="19" t="s">
        <v>217</v>
      </c>
      <c r="M301" s="19" t="s">
        <v>222</v>
      </c>
      <c r="N301" s="19" t="s">
        <v>228</v>
      </c>
      <c r="O301" s="38"/>
      <c r="P301" s="102">
        <f>VLOOKUP(Table3[[#This Row],[Depth of cover]],'TPI. Pa.'!$B$3:$C$52,2,0)</f>
        <v>2</v>
      </c>
      <c r="Q301" s="19">
        <f>VLOOKUP(Table3[[#This Row],[Additional protection]],'TPI. Pa.'!$B$3:$C$52,2,0)</f>
        <v>5</v>
      </c>
      <c r="R301" s="19">
        <f>VLOOKUP(Table3[[#This Row],[Failure due to TPI]],'TPI. Pa.'!$B$3:$C$52,2,0)</f>
        <v>4</v>
      </c>
      <c r="S301" s="19">
        <f>VLOOKUP(Table3[[#This Row],[Activity Level]],'TPI. Pa.'!$B$3:$C$52,2,0)</f>
        <v>10</v>
      </c>
      <c r="T301" s="19">
        <f>VLOOKUP(Table3[[#This Row],[Patrol frequency]],'TPI. Pa.'!$B$3:$C$52,2,0)</f>
        <v>1</v>
      </c>
      <c r="U301" s="19">
        <f>VLOOKUP(Table3[[#This Row],[Proxutil]],'TPI. Pa.'!$B$3:$C$52,2,0)</f>
        <v>5</v>
      </c>
      <c r="V301" s="19">
        <f>VLOOKUP(Table3[[#This Row],[ROW]],'TPI. Pa.'!$B$3:$C$52,2,0)</f>
        <v>10</v>
      </c>
      <c r="W301" s="19">
        <f>VLOOKUP(Table3[[#This Row],[ROW condition]],'TPI. Pa.'!$B$3:$C$52,2,0)</f>
        <v>3</v>
      </c>
      <c r="X30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2" spans="1:24">
      <c r="A302" s="80">
        <v>9</v>
      </c>
      <c r="B302" s="81">
        <v>65130201</v>
      </c>
      <c r="C302" s="82" t="s">
        <v>807</v>
      </c>
      <c r="D302" s="19"/>
      <c r="E302" s="19"/>
      <c r="F302" s="19"/>
      <c r="G302" s="19" t="s">
        <v>179</v>
      </c>
      <c r="H302" s="19" t="s">
        <v>185</v>
      </c>
      <c r="I302" s="19" t="s">
        <v>168</v>
      </c>
      <c r="J302" s="19" t="s">
        <v>183</v>
      </c>
      <c r="K302" s="19" t="s">
        <v>26</v>
      </c>
      <c r="L302" s="19" t="s">
        <v>217</v>
      </c>
      <c r="M302" s="19" t="s">
        <v>222</v>
      </c>
      <c r="N302" s="19" t="s">
        <v>228</v>
      </c>
      <c r="O302" s="38"/>
      <c r="P302" s="102">
        <f>VLOOKUP(Table3[[#This Row],[Depth of cover]],'TPI. Pa.'!$B$3:$C$52,2,0)</f>
        <v>2</v>
      </c>
      <c r="Q302" s="19">
        <f>VLOOKUP(Table3[[#This Row],[Additional protection]],'TPI. Pa.'!$B$3:$C$52,2,0)</f>
        <v>5</v>
      </c>
      <c r="R302" s="19">
        <f>VLOOKUP(Table3[[#This Row],[Failure due to TPI]],'TPI. Pa.'!$B$3:$C$52,2,0)</f>
        <v>4</v>
      </c>
      <c r="S302" s="19">
        <f>VLOOKUP(Table3[[#This Row],[Activity Level]],'TPI. Pa.'!$B$3:$C$52,2,0)</f>
        <v>10</v>
      </c>
      <c r="T302" s="19">
        <f>VLOOKUP(Table3[[#This Row],[Patrol frequency]],'TPI. Pa.'!$B$3:$C$52,2,0)</f>
        <v>1</v>
      </c>
      <c r="U302" s="19">
        <f>VLOOKUP(Table3[[#This Row],[Proxutil]],'TPI. Pa.'!$B$3:$C$52,2,0)</f>
        <v>5</v>
      </c>
      <c r="V302" s="19">
        <f>VLOOKUP(Table3[[#This Row],[ROW]],'TPI. Pa.'!$B$3:$C$52,2,0)</f>
        <v>10</v>
      </c>
      <c r="W302" s="19">
        <f>VLOOKUP(Table3[[#This Row],[ROW condition]],'TPI. Pa.'!$B$3:$C$52,2,0)</f>
        <v>3</v>
      </c>
      <c r="X30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3" spans="1:24">
      <c r="A303" s="80">
        <v>9</v>
      </c>
      <c r="B303" s="81" t="s">
        <v>537</v>
      </c>
      <c r="C303" s="82"/>
      <c r="D303" s="19"/>
      <c r="E303" s="19"/>
      <c r="F303" s="19"/>
      <c r="G303" s="19" t="s">
        <v>179</v>
      </c>
      <c r="H303" s="19" t="s">
        <v>183</v>
      </c>
      <c r="I303" s="19" t="s">
        <v>171</v>
      </c>
      <c r="J303" s="19" t="s">
        <v>183</v>
      </c>
      <c r="K303" s="19" t="s">
        <v>26</v>
      </c>
      <c r="L303" s="19" t="s">
        <v>217</v>
      </c>
      <c r="M303" s="19" t="s">
        <v>222</v>
      </c>
      <c r="N303" s="19" t="s">
        <v>228</v>
      </c>
      <c r="O303" s="38"/>
      <c r="P303" s="102">
        <f>VLOOKUP(Table3[[#This Row],[Depth of cover]],'TPI. Pa.'!$B$3:$C$52,2,0)</f>
        <v>2</v>
      </c>
      <c r="Q303" s="19">
        <f>VLOOKUP(Table3[[#This Row],[Additional protection]],'TPI. Pa.'!$B$3:$C$52,2,0)</f>
        <v>10</v>
      </c>
      <c r="R303" s="19">
        <f>VLOOKUP(Table3[[#This Row],[Failure due to TPI]],'TPI. Pa.'!$B$3:$C$52,2,0)</f>
        <v>1</v>
      </c>
      <c r="S303" s="19">
        <f>VLOOKUP(Table3[[#This Row],[Activity Level]],'TPI. Pa.'!$B$3:$C$52,2,0)</f>
        <v>10</v>
      </c>
      <c r="T303" s="19">
        <f>VLOOKUP(Table3[[#This Row],[Patrol frequency]],'TPI. Pa.'!$B$3:$C$52,2,0)</f>
        <v>1</v>
      </c>
      <c r="U303" s="19">
        <f>VLOOKUP(Table3[[#This Row],[Proxutil]],'TPI. Pa.'!$B$3:$C$52,2,0)</f>
        <v>5</v>
      </c>
      <c r="V303" s="19">
        <f>VLOOKUP(Table3[[#This Row],[ROW]],'TPI. Pa.'!$B$3:$C$52,2,0)</f>
        <v>10</v>
      </c>
      <c r="W303" s="19">
        <f>VLOOKUP(Table3[[#This Row],[ROW condition]],'TPI. Pa.'!$B$3:$C$52,2,0)</f>
        <v>3</v>
      </c>
      <c r="X30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53.63636363636364</v>
      </c>
    </row>
    <row r="304" spans="1:24">
      <c r="A304" s="80">
        <v>9</v>
      </c>
      <c r="B304" s="81" t="s">
        <v>547</v>
      </c>
      <c r="C304" s="82"/>
      <c r="D304" s="19"/>
      <c r="E304" s="19"/>
      <c r="F304" s="19"/>
      <c r="G304" s="19" t="s">
        <v>177</v>
      </c>
      <c r="H304" s="19" t="s">
        <v>183</v>
      </c>
      <c r="I304" s="19" t="s">
        <v>173</v>
      </c>
      <c r="J304" s="19" t="s">
        <v>183</v>
      </c>
      <c r="K304" s="19" t="s">
        <v>26</v>
      </c>
      <c r="L304" s="19" t="s">
        <v>217</v>
      </c>
      <c r="M304" s="19" t="s">
        <v>222</v>
      </c>
      <c r="N304" s="19" t="s">
        <v>228</v>
      </c>
      <c r="O304" s="38"/>
      <c r="P304" s="102">
        <f>VLOOKUP(Table3[[#This Row],[Depth of cover]],'TPI. Pa.'!$B$3:$C$52,2,0)</f>
        <v>10</v>
      </c>
      <c r="Q304" s="19">
        <f>VLOOKUP(Table3[[#This Row],[Additional protection]],'TPI. Pa.'!$B$3:$C$52,2,0)</f>
        <v>10</v>
      </c>
      <c r="R304" s="19">
        <f>VLOOKUP(Table3[[#This Row],[Failure due to TPI]],'TPI. Pa.'!$B$3:$C$52,2,0)</f>
        <v>10</v>
      </c>
      <c r="S304" s="19">
        <f>VLOOKUP(Table3[[#This Row],[Activity Level]],'TPI. Pa.'!$B$3:$C$52,2,0)</f>
        <v>10</v>
      </c>
      <c r="T304" s="19">
        <f>VLOOKUP(Table3[[#This Row],[Patrol frequency]],'TPI. Pa.'!$B$3:$C$52,2,0)</f>
        <v>1</v>
      </c>
      <c r="U304" s="19">
        <f>VLOOKUP(Table3[[#This Row],[Proxutil]],'TPI. Pa.'!$B$3:$C$52,2,0)</f>
        <v>5</v>
      </c>
      <c r="V304" s="19">
        <f>VLOOKUP(Table3[[#This Row],[ROW]],'TPI. Pa.'!$B$3:$C$52,2,0)</f>
        <v>10</v>
      </c>
      <c r="W304" s="19">
        <f>VLOOKUP(Table3[[#This Row],[ROW condition]],'TPI. Pa.'!$B$3:$C$52,2,0)</f>
        <v>3</v>
      </c>
      <c r="X30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75.909090909090921</v>
      </c>
    </row>
    <row r="305" spans="1:24" hidden="1">
      <c r="A305" s="84">
        <v>3</v>
      </c>
      <c r="B305" s="81">
        <v>3301</v>
      </c>
      <c r="C305" s="82" t="s">
        <v>943</v>
      </c>
      <c r="D305" s="19"/>
      <c r="E305" s="19"/>
      <c r="F305" s="19"/>
      <c r="G305" s="19" t="s">
        <v>179</v>
      </c>
      <c r="H305" s="19" t="s">
        <v>185</v>
      </c>
      <c r="I305" s="19" t="s">
        <v>168</v>
      </c>
      <c r="J305" s="19" t="s">
        <v>183</v>
      </c>
      <c r="K305" s="19" t="s">
        <v>26</v>
      </c>
      <c r="L305" s="19" t="s">
        <v>217</v>
      </c>
      <c r="M305" s="19" t="s">
        <v>222</v>
      </c>
      <c r="N305" s="19" t="s">
        <v>228</v>
      </c>
      <c r="O305" s="38"/>
      <c r="P305" s="102">
        <f>VLOOKUP(Table3[[#This Row],[Depth of cover]],'TPI. Pa.'!$B$3:$C$52,2,0)</f>
        <v>2</v>
      </c>
      <c r="Q305" s="19">
        <f>VLOOKUP(Table3[[#This Row],[Additional protection]],'TPI. Pa.'!$B$3:$C$52,2,0)</f>
        <v>5</v>
      </c>
      <c r="R305" s="19">
        <f>VLOOKUP(Table3[[#This Row],[Failure due to TPI]],'TPI. Pa.'!$B$3:$C$52,2,0)</f>
        <v>4</v>
      </c>
      <c r="S305" s="102">
        <f>VLOOKUP(Table3[[#This Row],[Activity Level]],'TPI. Pa.'!$B$3:$C$52,2,0)</f>
        <v>10</v>
      </c>
      <c r="T305" s="19">
        <f>VLOOKUP(Table3[[#This Row],[Patrol frequency]],'TPI. Pa.'!$B$3:$C$52,2,0)</f>
        <v>1</v>
      </c>
      <c r="U305" s="19">
        <f>VLOOKUP(Table3[[#This Row],[Proxutil]],'TPI. Pa.'!$B$3:$C$52,2,0)</f>
        <v>5</v>
      </c>
      <c r="V305" s="19">
        <f>VLOOKUP(Table3[[#This Row],[ROW]],'TPI. Pa.'!$B$3:$C$52,2,0)</f>
        <v>10</v>
      </c>
      <c r="W305" s="19">
        <f>VLOOKUP(Table3[[#This Row],[ROW condition]],'TPI. Pa.'!$B$3:$C$52,2,0)</f>
        <v>3</v>
      </c>
      <c r="X30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6" spans="1:24" hidden="1">
      <c r="A306" s="84">
        <v>3</v>
      </c>
      <c r="B306" s="81">
        <v>330100001</v>
      </c>
      <c r="C306" s="82" t="s">
        <v>930</v>
      </c>
      <c r="D306" s="19"/>
      <c r="E306" s="19"/>
      <c r="F306" s="19"/>
      <c r="G306" s="19" t="s">
        <v>179</v>
      </c>
      <c r="H306" s="19" t="s">
        <v>185</v>
      </c>
      <c r="I306" s="19" t="s">
        <v>168</v>
      </c>
      <c r="J306" s="19" t="s">
        <v>183</v>
      </c>
      <c r="K306" s="19" t="s">
        <v>26</v>
      </c>
      <c r="L306" s="19" t="s">
        <v>217</v>
      </c>
      <c r="M306" s="19" t="s">
        <v>222</v>
      </c>
      <c r="N306" s="19" t="s">
        <v>228</v>
      </c>
      <c r="O306" s="38"/>
      <c r="P306" s="102">
        <f>VLOOKUP(Table3[[#This Row],[Depth of cover]],'TPI. Pa.'!$B$3:$C$52,2,0)</f>
        <v>2</v>
      </c>
      <c r="Q306" s="19">
        <f>VLOOKUP(Table3[[#This Row],[Additional protection]],'TPI. Pa.'!$B$3:$C$52,2,0)</f>
        <v>5</v>
      </c>
      <c r="R306" s="19">
        <f>VLOOKUP(Table3[[#This Row],[Failure due to TPI]],'TPI. Pa.'!$B$3:$C$52,2,0)</f>
        <v>4</v>
      </c>
      <c r="S306" s="102">
        <f>VLOOKUP(Table3[[#This Row],[Activity Level]],'TPI. Pa.'!$B$3:$C$52,2,0)</f>
        <v>10</v>
      </c>
      <c r="T306" s="19">
        <f>VLOOKUP(Table3[[#This Row],[Patrol frequency]],'TPI. Pa.'!$B$3:$C$52,2,0)</f>
        <v>1</v>
      </c>
      <c r="U306" s="19">
        <f>VLOOKUP(Table3[[#This Row],[Proxutil]],'TPI. Pa.'!$B$3:$C$52,2,0)</f>
        <v>5</v>
      </c>
      <c r="V306" s="19">
        <f>VLOOKUP(Table3[[#This Row],[ROW]],'TPI. Pa.'!$B$3:$C$52,2,0)</f>
        <v>10</v>
      </c>
      <c r="W306" s="19">
        <f>VLOOKUP(Table3[[#This Row],[ROW condition]],'TPI. Pa.'!$B$3:$C$52,2,0)</f>
        <v>3</v>
      </c>
      <c r="X30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7" spans="1:24" hidden="1">
      <c r="A307" s="84">
        <v>3</v>
      </c>
      <c r="B307" s="81">
        <v>330100004</v>
      </c>
      <c r="C307" s="82" t="s">
        <v>769</v>
      </c>
      <c r="D307" s="19"/>
      <c r="E307" s="19"/>
      <c r="F307" s="19"/>
      <c r="G307" s="19" t="s">
        <v>179</v>
      </c>
      <c r="H307" s="19" t="s">
        <v>185</v>
      </c>
      <c r="I307" s="19" t="s">
        <v>168</v>
      </c>
      <c r="J307" s="19" t="s">
        <v>183</v>
      </c>
      <c r="K307" s="19" t="s">
        <v>26</v>
      </c>
      <c r="L307" s="19" t="s">
        <v>217</v>
      </c>
      <c r="M307" s="19" t="s">
        <v>222</v>
      </c>
      <c r="N307" s="19" t="s">
        <v>228</v>
      </c>
      <c r="O307" s="38"/>
      <c r="P307" s="102">
        <f>VLOOKUP(Table3[[#This Row],[Depth of cover]],'TPI. Pa.'!$B$3:$C$52,2,0)</f>
        <v>2</v>
      </c>
      <c r="Q307" s="19">
        <f>VLOOKUP(Table3[[#This Row],[Additional protection]],'TPI. Pa.'!$B$3:$C$52,2,0)</f>
        <v>5</v>
      </c>
      <c r="R307" s="19">
        <f>VLOOKUP(Table3[[#This Row],[Failure due to TPI]],'TPI. Pa.'!$B$3:$C$52,2,0)</f>
        <v>4</v>
      </c>
      <c r="S307" s="102">
        <f>VLOOKUP(Table3[[#This Row],[Activity Level]],'TPI. Pa.'!$B$3:$C$52,2,0)</f>
        <v>10</v>
      </c>
      <c r="T307" s="19">
        <f>VLOOKUP(Table3[[#This Row],[Patrol frequency]],'TPI. Pa.'!$B$3:$C$52,2,0)</f>
        <v>1</v>
      </c>
      <c r="U307" s="19">
        <f>VLOOKUP(Table3[[#This Row],[Proxutil]],'TPI. Pa.'!$B$3:$C$52,2,0)</f>
        <v>5</v>
      </c>
      <c r="V307" s="19">
        <f>VLOOKUP(Table3[[#This Row],[ROW]],'TPI. Pa.'!$B$3:$C$52,2,0)</f>
        <v>10</v>
      </c>
      <c r="W307" s="19">
        <f>VLOOKUP(Table3[[#This Row],[ROW condition]],'TPI. Pa.'!$B$3:$C$52,2,0)</f>
        <v>3</v>
      </c>
      <c r="X30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8" spans="1:24" hidden="1">
      <c r="A308" s="84">
        <v>3</v>
      </c>
      <c r="B308" s="81">
        <v>3302</v>
      </c>
      <c r="C308" s="82" t="s">
        <v>917</v>
      </c>
      <c r="D308" s="19"/>
      <c r="E308" s="19"/>
      <c r="F308" s="19"/>
      <c r="G308" s="19" t="s">
        <v>179</v>
      </c>
      <c r="H308" s="19" t="s">
        <v>185</v>
      </c>
      <c r="I308" s="19" t="s">
        <v>168</v>
      </c>
      <c r="J308" s="19" t="s">
        <v>183</v>
      </c>
      <c r="K308" s="19" t="s">
        <v>26</v>
      </c>
      <c r="L308" s="19" t="s">
        <v>217</v>
      </c>
      <c r="M308" s="19" t="s">
        <v>222</v>
      </c>
      <c r="N308" s="19" t="s">
        <v>228</v>
      </c>
      <c r="O308" s="38"/>
      <c r="P308" s="102">
        <f>VLOOKUP(Table3[[#This Row],[Depth of cover]],'TPI. Pa.'!$B$3:$C$52,2,0)</f>
        <v>2</v>
      </c>
      <c r="Q308" s="19">
        <f>VLOOKUP(Table3[[#This Row],[Additional protection]],'TPI. Pa.'!$B$3:$C$52,2,0)</f>
        <v>5</v>
      </c>
      <c r="R308" s="19">
        <f>VLOOKUP(Table3[[#This Row],[Failure due to TPI]],'TPI. Pa.'!$B$3:$C$52,2,0)</f>
        <v>4</v>
      </c>
      <c r="S308" s="102">
        <f>VLOOKUP(Table3[[#This Row],[Activity Level]],'TPI. Pa.'!$B$3:$C$52,2,0)</f>
        <v>10</v>
      </c>
      <c r="T308" s="19">
        <f>VLOOKUP(Table3[[#This Row],[Patrol frequency]],'TPI. Pa.'!$B$3:$C$52,2,0)</f>
        <v>1</v>
      </c>
      <c r="U308" s="19">
        <f>VLOOKUP(Table3[[#This Row],[Proxutil]],'TPI. Pa.'!$B$3:$C$52,2,0)</f>
        <v>5</v>
      </c>
      <c r="V308" s="19">
        <f>VLOOKUP(Table3[[#This Row],[ROW]],'TPI. Pa.'!$B$3:$C$52,2,0)</f>
        <v>10</v>
      </c>
      <c r="W308" s="19">
        <f>VLOOKUP(Table3[[#This Row],[ROW condition]],'TPI. Pa.'!$B$3:$C$52,2,0)</f>
        <v>3</v>
      </c>
      <c r="X30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09" spans="1:24" hidden="1">
      <c r="A309" s="84">
        <v>3</v>
      </c>
      <c r="B309" s="81">
        <v>3303</v>
      </c>
      <c r="C309" s="82" t="s">
        <v>923</v>
      </c>
      <c r="D309" s="19"/>
      <c r="E309" s="19"/>
      <c r="F309" s="19"/>
      <c r="G309" s="19" t="s">
        <v>179</v>
      </c>
      <c r="H309" s="19" t="s">
        <v>185</v>
      </c>
      <c r="I309" s="19" t="s">
        <v>168</v>
      </c>
      <c r="J309" s="19" t="s">
        <v>183</v>
      </c>
      <c r="K309" s="19" t="s">
        <v>26</v>
      </c>
      <c r="L309" s="19" t="s">
        <v>217</v>
      </c>
      <c r="M309" s="19" t="s">
        <v>222</v>
      </c>
      <c r="N309" s="19" t="s">
        <v>228</v>
      </c>
      <c r="O309" s="38"/>
      <c r="P309" s="102">
        <f>VLOOKUP(Table3[[#This Row],[Depth of cover]],'TPI. Pa.'!$B$3:$C$52,2,0)</f>
        <v>2</v>
      </c>
      <c r="Q309" s="19">
        <f>VLOOKUP(Table3[[#This Row],[Additional protection]],'TPI. Pa.'!$B$3:$C$52,2,0)</f>
        <v>5</v>
      </c>
      <c r="R309" s="19">
        <f>VLOOKUP(Table3[[#This Row],[Failure due to TPI]],'TPI. Pa.'!$B$3:$C$52,2,0)</f>
        <v>4</v>
      </c>
      <c r="S309" s="102">
        <f>VLOOKUP(Table3[[#This Row],[Activity Level]],'TPI. Pa.'!$B$3:$C$52,2,0)</f>
        <v>10</v>
      </c>
      <c r="T309" s="19">
        <f>VLOOKUP(Table3[[#This Row],[Patrol frequency]],'TPI. Pa.'!$B$3:$C$52,2,0)</f>
        <v>1</v>
      </c>
      <c r="U309" s="19">
        <f>VLOOKUP(Table3[[#This Row],[Proxutil]],'TPI. Pa.'!$B$3:$C$52,2,0)</f>
        <v>5</v>
      </c>
      <c r="V309" s="19">
        <f>VLOOKUP(Table3[[#This Row],[ROW]],'TPI. Pa.'!$B$3:$C$52,2,0)</f>
        <v>10</v>
      </c>
      <c r="W309" s="19">
        <f>VLOOKUP(Table3[[#This Row],[ROW condition]],'TPI. Pa.'!$B$3:$C$52,2,0)</f>
        <v>3</v>
      </c>
      <c r="X30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0" spans="1:24" hidden="1">
      <c r="A310" s="84">
        <v>3</v>
      </c>
      <c r="B310" s="81">
        <v>330300002</v>
      </c>
      <c r="C310" s="82" t="s">
        <v>927</v>
      </c>
      <c r="D310" s="19"/>
      <c r="E310" s="19"/>
      <c r="F310" s="19"/>
      <c r="G310" s="19" t="s">
        <v>179</v>
      </c>
      <c r="H310" s="19" t="s">
        <v>185</v>
      </c>
      <c r="I310" s="19" t="s">
        <v>168</v>
      </c>
      <c r="J310" s="19" t="s">
        <v>183</v>
      </c>
      <c r="K310" s="19" t="s">
        <v>26</v>
      </c>
      <c r="L310" s="19" t="s">
        <v>217</v>
      </c>
      <c r="M310" s="19" t="s">
        <v>222</v>
      </c>
      <c r="N310" s="19" t="s">
        <v>228</v>
      </c>
      <c r="O310" s="38"/>
      <c r="P310" s="102">
        <f>VLOOKUP(Table3[[#This Row],[Depth of cover]],'TPI. Pa.'!$B$3:$C$52,2,0)</f>
        <v>2</v>
      </c>
      <c r="Q310" s="19">
        <f>VLOOKUP(Table3[[#This Row],[Additional protection]],'TPI. Pa.'!$B$3:$C$52,2,0)</f>
        <v>5</v>
      </c>
      <c r="R310" s="19">
        <f>VLOOKUP(Table3[[#This Row],[Failure due to TPI]],'TPI. Pa.'!$B$3:$C$52,2,0)</f>
        <v>4</v>
      </c>
      <c r="S310" s="102">
        <f>VLOOKUP(Table3[[#This Row],[Activity Level]],'TPI. Pa.'!$B$3:$C$52,2,0)</f>
        <v>10</v>
      </c>
      <c r="T310" s="19">
        <f>VLOOKUP(Table3[[#This Row],[Patrol frequency]],'TPI. Pa.'!$B$3:$C$52,2,0)</f>
        <v>1</v>
      </c>
      <c r="U310" s="19">
        <f>VLOOKUP(Table3[[#This Row],[Proxutil]],'TPI. Pa.'!$B$3:$C$52,2,0)</f>
        <v>5</v>
      </c>
      <c r="V310" s="19">
        <f>VLOOKUP(Table3[[#This Row],[ROW]],'TPI. Pa.'!$B$3:$C$52,2,0)</f>
        <v>10</v>
      </c>
      <c r="W310" s="19">
        <f>VLOOKUP(Table3[[#This Row],[ROW condition]],'TPI. Pa.'!$B$3:$C$52,2,0)</f>
        <v>3</v>
      </c>
      <c r="X31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1" spans="1:24" hidden="1">
      <c r="A311" s="84">
        <v>3</v>
      </c>
      <c r="B311" s="81">
        <v>330300004</v>
      </c>
      <c r="C311" s="82" t="s">
        <v>925</v>
      </c>
      <c r="D311" s="19"/>
      <c r="E311" s="19"/>
      <c r="F311" s="19"/>
      <c r="G311" s="19" t="s">
        <v>179</v>
      </c>
      <c r="H311" s="19" t="s">
        <v>185</v>
      </c>
      <c r="I311" s="19" t="s">
        <v>168</v>
      </c>
      <c r="J311" s="19" t="s">
        <v>183</v>
      </c>
      <c r="K311" s="19" t="s">
        <v>26</v>
      </c>
      <c r="L311" s="19" t="s">
        <v>217</v>
      </c>
      <c r="M311" s="19" t="s">
        <v>222</v>
      </c>
      <c r="N311" s="19" t="s">
        <v>228</v>
      </c>
      <c r="O311" s="38"/>
      <c r="P311" s="102">
        <f>VLOOKUP(Table3[[#This Row],[Depth of cover]],'TPI. Pa.'!$B$3:$C$52,2,0)</f>
        <v>2</v>
      </c>
      <c r="Q311" s="19">
        <f>VLOOKUP(Table3[[#This Row],[Additional protection]],'TPI. Pa.'!$B$3:$C$52,2,0)</f>
        <v>5</v>
      </c>
      <c r="R311" s="19">
        <f>VLOOKUP(Table3[[#This Row],[Failure due to TPI]],'TPI. Pa.'!$B$3:$C$52,2,0)</f>
        <v>4</v>
      </c>
      <c r="S311" s="102">
        <f>VLOOKUP(Table3[[#This Row],[Activity Level]],'TPI. Pa.'!$B$3:$C$52,2,0)</f>
        <v>10</v>
      </c>
      <c r="T311" s="19">
        <f>VLOOKUP(Table3[[#This Row],[Patrol frequency]],'TPI. Pa.'!$B$3:$C$52,2,0)</f>
        <v>1</v>
      </c>
      <c r="U311" s="19">
        <f>VLOOKUP(Table3[[#This Row],[Proxutil]],'TPI. Pa.'!$B$3:$C$52,2,0)</f>
        <v>5</v>
      </c>
      <c r="V311" s="19">
        <f>VLOOKUP(Table3[[#This Row],[ROW]],'TPI. Pa.'!$B$3:$C$52,2,0)</f>
        <v>10</v>
      </c>
      <c r="W311" s="19">
        <f>VLOOKUP(Table3[[#This Row],[ROW condition]],'TPI. Pa.'!$B$3:$C$52,2,0)</f>
        <v>3</v>
      </c>
      <c r="X31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2" spans="1:24" hidden="1">
      <c r="A312" s="84">
        <v>3</v>
      </c>
      <c r="B312" s="81">
        <v>330400005</v>
      </c>
      <c r="C312" s="82" t="s">
        <v>931</v>
      </c>
      <c r="D312" s="19"/>
      <c r="E312" s="19"/>
      <c r="F312" s="19"/>
      <c r="G312" s="19" t="s">
        <v>179</v>
      </c>
      <c r="H312" s="19" t="s">
        <v>185</v>
      </c>
      <c r="I312" s="19" t="s">
        <v>168</v>
      </c>
      <c r="J312" s="19" t="s">
        <v>183</v>
      </c>
      <c r="K312" s="19" t="s">
        <v>26</v>
      </c>
      <c r="L312" s="19" t="s">
        <v>217</v>
      </c>
      <c r="M312" s="19" t="s">
        <v>222</v>
      </c>
      <c r="N312" s="19" t="s">
        <v>228</v>
      </c>
      <c r="O312" s="38"/>
      <c r="P312" s="102">
        <f>VLOOKUP(Table3[[#This Row],[Depth of cover]],'TPI. Pa.'!$B$3:$C$52,2,0)</f>
        <v>2</v>
      </c>
      <c r="Q312" s="19">
        <f>VLOOKUP(Table3[[#This Row],[Additional protection]],'TPI. Pa.'!$B$3:$C$52,2,0)</f>
        <v>5</v>
      </c>
      <c r="R312" s="19">
        <f>VLOOKUP(Table3[[#This Row],[Failure due to TPI]],'TPI. Pa.'!$B$3:$C$52,2,0)</f>
        <v>4</v>
      </c>
      <c r="S312" s="102">
        <f>VLOOKUP(Table3[[#This Row],[Activity Level]],'TPI. Pa.'!$B$3:$C$52,2,0)</f>
        <v>10</v>
      </c>
      <c r="T312" s="19">
        <f>VLOOKUP(Table3[[#This Row],[Patrol frequency]],'TPI. Pa.'!$B$3:$C$52,2,0)</f>
        <v>1</v>
      </c>
      <c r="U312" s="19">
        <f>VLOOKUP(Table3[[#This Row],[Proxutil]],'TPI. Pa.'!$B$3:$C$52,2,0)</f>
        <v>5</v>
      </c>
      <c r="V312" s="19">
        <f>VLOOKUP(Table3[[#This Row],[ROW]],'TPI. Pa.'!$B$3:$C$52,2,0)</f>
        <v>10</v>
      </c>
      <c r="W312" s="19">
        <f>VLOOKUP(Table3[[#This Row],[ROW condition]],'TPI. Pa.'!$B$3:$C$52,2,0)</f>
        <v>3</v>
      </c>
      <c r="X312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3" spans="1:24" hidden="1">
      <c r="A313" s="84">
        <v>3</v>
      </c>
      <c r="B313" s="81">
        <v>3304</v>
      </c>
      <c r="C313" s="82" t="s">
        <v>915</v>
      </c>
      <c r="D313" s="19"/>
      <c r="E313" s="19"/>
      <c r="F313" s="19"/>
      <c r="G313" s="19" t="s">
        <v>179</v>
      </c>
      <c r="H313" s="19" t="s">
        <v>185</v>
      </c>
      <c r="I313" s="19" t="s">
        <v>168</v>
      </c>
      <c r="J313" s="19" t="s">
        <v>183</v>
      </c>
      <c r="K313" s="19" t="s">
        <v>26</v>
      </c>
      <c r="L313" s="19" t="s">
        <v>217</v>
      </c>
      <c r="M313" s="19" t="s">
        <v>222</v>
      </c>
      <c r="N313" s="19" t="s">
        <v>228</v>
      </c>
      <c r="O313" s="38"/>
      <c r="P313" s="102">
        <f>VLOOKUP(Table3[[#This Row],[Depth of cover]],'TPI. Pa.'!$B$3:$C$52,2,0)</f>
        <v>2</v>
      </c>
      <c r="Q313" s="19">
        <f>VLOOKUP(Table3[[#This Row],[Additional protection]],'TPI. Pa.'!$B$3:$C$52,2,0)</f>
        <v>5</v>
      </c>
      <c r="R313" s="19">
        <f>VLOOKUP(Table3[[#This Row],[Failure due to TPI]],'TPI. Pa.'!$B$3:$C$52,2,0)</f>
        <v>4</v>
      </c>
      <c r="S313" s="102">
        <f>VLOOKUP(Table3[[#This Row],[Activity Level]],'TPI. Pa.'!$B$3:$C$52,2,0)</f>
        <v>10</v>
      </c>
      <c r="T313" s="19">
        <f>VLOOKUP(Table3[[#This Row],[Patrol frequency]],'TPI. Pa.'!$B$3:$C$52,2,0)</f>
        <v>1</v>
      </c>
      <c r="U313" s="19">
        <f>VLOOKUP(Table3[[#This Row],[Proxutil]],'TPI. Pa.'!$B$3:$C$52,2,0)</f>
        <v>5</v>
      </c>
      <c r="V313" s="19">
        <f>VLOOKUP(Table3[[#This Row],[ROW]],'TPI. Pa.'!$B$3:$C$52,2,0)</f>
        <v>10</v>
      </c>
      <c r="W313" s="19">
        <f>VLOOKUP(Table3[[#This Row],[ROW condition]],'TPI. Pa.'!$B$3:$C$52,2,0)</f>
        <v>3</v>
      </c>
      <c r="X313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4" spans="1:24" hidden="1">
      <c r="A314" s="84">
        <v>3</v>
      </c>
      <c r="B314" s="81">
        <v>330401</v>
      </c>
      <c r="C314" s="82" t="s">
        <v>919</v>
      </c>
      <c r="D314" s="19"/>
      <c r="E314" s="19"/>
      <c r="F314" s="19"/>
      <c r="G314" s="19" t="s">
        <v>179</v>
      </c>
      <c r="H314" s="19" t="s">
        <v>185</v>
      </c>
      <c r="I314" s="19" t="s">
        <v>168</v>
      </c>
      <c r="J314" s="19" t="s">
        <v>183</v>
      </c>
      <c r="K314" s="19" t="s">
        <v>26</v>
      </c>
      <c r="L314" s="19" t="s">
        <v>217</v>
      </c>
      <c r="M314" s="19" t="s">
        <v>222</v>
      </c>
      <c r="N314" s="19" t="s">
        <v>228</v>
      </c>
      <c r="O314" s="38"/>
      <c r="P314" s="102">
        <f>VLOOKUP(Table3[[#This Row],[Depth of cover]],'TPI. Pa.'!$B$3:$C$52,2,0)</f>
        <v>2</v>
      </c>
      <c r="Q314" s="19">
        <f>VLOOKUP(Table3[[#This Row],[Additional protection]],'TPI. Pa.'!$B$3:$C$52,2,0)</f>
        <v>5</v>
      </c>
      <c r="R314" s="19">
        <f>VLOOKUP(Table3[[#This Row],[Failure due to TPI]],'TPI. Pa.'!$B$3:$C$52,2,0)</f>
        <v>4</v>
      </c>
      <c r="S314" s="102">
        <f>VLOOKUP(Table3[[#This Row],[Activity Level]],'TPI. Pa.'!$B$3:$C$52,2,0)</f>
        <v>10</v>
      </c>
      <c r="T314" s="19">
        <f>VLOOKUP(Table3[[#This Row],[Patrol frequency]],'TPI. Pa.'!$B$3:$C$52,2,0)</f>
        <v>1</v>
      </c>
      <c r="U314" s="19">
        <f>VLOOKUP(Table3[[#This Row],[Proxutil]],'TPI. Pa.'!$B$3:$C$52,2,0)</f>
        <v>5</v>
      </c>
      <c r="V314" s="19">
        <f>VLOOKUP(Table3[[#This Row],[ROW]],'TPI. Pa.'!$B$3:$C$52,2,0)</f>
        <v>10</v>
      </c>
      <c r="W314" s="19">
        <f>VLOOKUP(Table3[[#This Row],[ROW condition]],'TPI. Pa.'!$B$3:$C$52,2,0)</f>
        <v>3</v>
      </c>
      <c r="X314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5" spans="1:24" hidden="1">
      <c r="A315" s="84">
        <v>3</v>
      </c>
      <c r="B315" s="81">
        <v>3305</v>
      </c>
      <c r="C315" s="82" t="s">
        <v>910</v>
      </c>
      <c r="D315" s="19"/>
      <c r="E315" s="19"/>
      <c r="F315" s="19"/>
      <c r="G315" s="19" t="s">
        <v>179</v>
      </c>
      <c r="H315" s="19" t="s">
        <v>185</v>
      </c>
      <c r="I315" s="19" t="s">
        <v>168</v>
      </c>
      <c r="J315" s="19" t="s">
        <v>183</v>
      </c>
      <c r="K315" s="19" t="s">
        <v>26</v>
      </c>
      <c r="L315" s="19" t="s">
        <v>217</v>
      </c>
      <c r="M315" s="19" t="s">
        <v>222</v>
      </c>
      <c r="N315" s="19" t="s">
        <v>228</v>
      </c>
      <c r="O315" s="38"/>
      <c r="P315" s="102">
        <f>VLOOKUP(Table3[[#This Row],[Depth of cover]],'TPI. Pa.'!$B$3:$C$52,2,0)</f>
        <v>2</v>
      </c>
      <c r="Q315" s="19">
        <f>VLOOKUP(Table3[[#This Row],[Additional protection]],'TPI. Pa.'!$B$3:$C$52,2,0)</f>
        <v>5</v>
      </c>
      <c r="R315" s="19">
        <f>VLOOKUP(Table3[[#This Row],[Failure due to TPI]],'TPI. Pa.'!$B$3:$C$52,2,0)</f>
        <v>4</v>
      </c>
      <c r="S315" s="102">
        <f>VLOOKUP(Table3[[#This Row],[Activity Level]],'TPI. Pa.'!$B$3:$C$52,2,0)</f>
        <v>10</v>
      </c>
      <c r="T315" s="19">
        <f>VLOOKUP(Table3[[#This Row],[Patrol frequency]],'TPI. Pa.'!$B$3:$C$52,2,0)</f>
        <v>1</v>
      </c>
      <c r="U315" s="19">
        <f>VLOOKUP(Table3[[#This Row],[Proxutil]],'TPI. Pa.'!$B$3:$C$52,2,0)</f>
        <v>5</v>
      </c>
      <c r="V315" s="19">
        <f>VLOOKUP(Table3[[#This Row],[ROW]],'TPI. Pa.'!$B$3:$C$52,2,0)</f>
        <v>10</v>
      </c>
      <c r="W315" s="19">
        <f>VLOOKUP(Table3[[#This Row],[ROW condition]],'TPI. Pa.'!$B$3:$C$52,2,0)</f>
        <v>3</v>
      </c>
      <c r="X315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6" spans="1:24" hidden="1">
      <c r="A316" s="84">
        <v>3</v>
      </c>
      <c r="B316" s="81">
        <v>330500006</v>
      </c>
      <c r="C316" s="82" t="s">
        <v>934</v>
      </c>
      <c r="D316" s="19"/>
      <c r="E316" s="19"/>
      <c r="F316" s="19"/>
      <c r="G316" s="19" t="s">
        <v>179</v>
      </c>
      <c r="H316" s="19" t="s">
        <v>185</v>
      </c>
      <c r="I316" s="19" t="s">
        <v>168</v>
      </c>
      <c r="J316" s="19" t="s">
        <v>183</v>
      </c>
      <c r="K316" s="19" t="s">
        <v>26</v>
      </c>
      <c r="L316" s="19" t="s">
        <v>217</v>
      </c>
      <c r="M316" s="19" t="s">
        <v>222</v>
      </c>
      <c r="N316" s="19" t="s">
        <v>228</v>
      </c>
      <c r="O316" s="38"/>
      <c r="P316" s="102">
        <f>VLOOKUP(Table3[[#This Row],[Depth of cover]],'TPI. Pa.'!$B$3:$C$52,2,0)</f>
        <v>2</v>
      </c>
      <c r="Q316" s="19">
        <f>VLOOKUP(Table3[[#This Row],[Additional protection]],'TPI. Pa.'!$B$3:$C$52,2,0)</f>
        <v>5</v>
      </c>
      <c r="R316" s="19">
        <f>VLOOKUP(Table3[[#This Row],[Failure due to TPI]],'TPI. Pa.'!$B$3:$C$52,2,0)</f>
        <v>4</v>
      </c>
      <c r="S316" s="102">
        <f>VLOOKUP(Table3[[#This Row],[Activity Level]],'TPI. Pa.'!$B$3:$C$52,2,0)</f>
        <v>10</v>
      </c>
      <c r="T316" s="19">
        <f>VLOOKUP(Table3[[#This Row],[Patrol frequency]],'TPI. Pa.'!$B$3:$C$52,2,0)</f>
        <v>1</v>
      </c>
      <c r="U316" s="19">
        <f>VLOOKUP(Table3[[#This Row],[Proxutil]],'TPI. Pa.'!$B$3:$C$52,2,0)</f>
        <v>5</v>
      </c>
      <c r="V316" s="19">
        <f>VLOOKUP(Table3[[#This Row],[ROW]],'TPI. Pa.'!$B$3:$C$52,2,0)</f>
        <v>10</v>
      </c>
      <c r="W316" s="19">
        <f>VLOOKUP(Table3[[#This Row],[ROW condition]],'TPI. Pa.'!$B$3:$C$52,2,0)</f>
        <v>3</v>
      </c>
      <c r="X316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7" spans="1:24" hidden="1">
      <c r="A317" s="84">
        <v>3</v>
      </c>
      <c r="B317" s="81">
        <v>330500010</v>
      </c>
      <c r="C317" s="82" t="s">
        <v>936</v>
      </c>
      <c r="D317" s="19"/>
      <c r="E317" s="19"/>
      <c r="F317" s="19"/>
      <c r="G317" s="19" t="s">
        <v>179</v>
      </c>
      <c r="H317" s="19" t="s">
        <v>185</v>
      </c>
      <c r="I317" s="19" t="s">
        <v>168</v>
      </c>
      <c r="J317" s="19" t="s">
        <v>183</v>
      </c>
      <c r="K317" s="19" t="s">
        <v>26</v>
      </c>
      <c r="L317" s="19" t="s">
        <v>217</v>
      </c>
      <c r="M317" s="19" t="s">
        <v>222</v>
      </c>
      <c r="N317" s="19" t="s">
        <v>228</v>
      </c>
      <c r="O317" s="38"/>
      <c r="P317" s="102">
        <f>VLOOKUP(Table3[[#This Row],[Depth of cover]],'TPI. Pa.'!$B$3:$C$52,2,0)</f>
        <v>2</v>
      </c>
      <c r="Q317" s="19">
        <f>VLOOKUP(Table3[[#This Row],[Additional protection]],'TPI. Pa.'!$B$3:$C$52,2,0)</f>
        <v>5</v>
      </c>
      <c r="R317" s="19">
        <f>VLOOKUP(Table3[[#This Row],[Failure due to TPI]],'TPI. Pa.'!$B$3:$C$52,2,0)</f>
        <v>4</v>
      </c>
      <c r="S317" s="102">
        <f>VLOOKUP(Table3[[#This Row],[Activity Level]],'TPI. Pa.'!$B$3:$C$52,2,0)</f>
        <v>10</v>
      </c>
      <c r="T317" s="19">
        <f>VLOOKUP(Table3[[#This Row],[Patrol frequency]],'TPI. Pa.'!$B$3:$C$52,2,0)</f>
        <v>1</v>
      </c>
      <c r="U317" s="19">
        <f>VLOOKUP(Table3[[#This Row],[Proxutil]],'TPI. Pa.'!$B$3:$C$52,2,0)</f>
        <v>5</v>
      </c>
      <c r="V317" s="19">
        <f>VLOOKUP(Table3[[#This Row],[ROW]],'TPI. Pa.'!$B$3:$C$52,2,0)</f>
        <v>10</v>
      </c>
      <c r="W317" s="19">
        <f>VLOOKUP(Table3[[#This Row],[ROW condition]],'TPI. Pa.'!$B$3:$C$52,2,0)</f>
        <v>3</v>
      </c>
      <c r="X317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8" spans="1:24" hidden="1">
      <c r="A318" s="84">
        <v>3</v>
      </c>
      <c r="B318" s="81">
        <v>330500011</v>
      </c>
      <c r="C318" s="82" t="s">
        <v>940</v>
      </c>
      <c r="D318" s="19"/>
      <c r="E318" s="19"/>
      <c r="F318" s="19"/>
      <c r="G318" s="19" t="s">
        <v>179</v>
      </c>
      <c r="H318" s="19" t="s">
        <v>185</v>
      </c>
      <c r="I318" s="19" t="s">
        <v>168</v>
      </c>
      <c r="J318" s="19" t="s">
        <v>183</v>
      </c>
      <c r="K318" s="19" t="s">
        <v>26</v>
      </c>
      <c r="L318" s="19" t="s">
        <v>217</v>
      </c>
      <c r="M318" s="19" t="s">
        <v>222</v>
      </c>
      <c r="N318" s="19" t="s">
        <v>228</v>
      </c>
      <c r="O318" s="38"/>
      <c r="P318" s="102">
        <f>VLOOKUP(Table3[[#This Row],[Depth of cover]],'TPI. Pa.'!$B$3:$C$52,2,0)</f>
        <v>2</v>
      </c>
      <c r="Q318" s="19">
        <f>VLOOKUP(Table3[[#This Row],[Additional protection]],'TPI. Pa.'!$B$3:$C$52,2,0)</f>
        <v>5</v>
      </c>
      <c r="R318" s="19">
        <f>VLOOKUP(Table3[[#This Row],[Failure due to TPI]],'TPI. Pa.'!$B$3:$C$52,2,0)</f>
        <v>4</v>
      </c>
      <c r="S318" s="102">
        <f>VLOOKUP(Table3[[#This Row],[Activity Level]],'TPI. Pa.'!$B$3:$C$52,2,0)</f>
        <v>10</v>
      </c>
      <c r="T318" s="19">
        <f>VLOOKUP(Table3[[#This Row],[Patrol frequency]],'TPI. Pa.'!$B$3:$C$52,2,0)</f>
        <v>1</v>
      </c>
      <c r="U318" s="19">
        <f>VLOOKUP(Table3[[#This Row],[Proxutil]],'TPI. Pa.'!$B$3:$C$52,2,0)</f>
        <v>5</v>
      </c>
      <c r="V318" s="19">
        <f>VLOOKUP(Table3[[#This Row],[ROW]],'TPI. Pa.'!$B$3:$C$52,2,0)</f>
        <v>10</v>
      </c>
      <c r="W318" s="19">
        <f>VLOOKUP(Table3[[#This Row],[ROW condition]],'TPI. Pa.'!$B$3:$C$52,2,0)</f>
        <v>3</v>
      </c>
      <c r="X318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19" spans="1:24" hidden="1">
      <c r="A319" s="84">
        <v>3</v>
      </c>
      <c r="B319" s="81">
        <v>330500013</v>
      </c>
      <c r="C319" s="82" t="s">
        <v>921</v>
      </c>
      <c r="D319" s="19"/>
      <c r="E319" s="19"/>
      <c r="F319" s="19"/>
      <c r="G319" s="19" t="s">
        <v>179</v>
      </c>
      <c r="H319" s="19" t="s">
        <v>185</v>
      </c>
      <c r="I319" s="19" t="s">
        <v>168</v>
      </c>
      <c r="J319" s="19" t="s">
        <v>183</v>
      </c>
      <c r="K319" s="19" t="s">
        <v>26</v>
      </c>
      <c r="L319" s="19" t="s">
        <v>217</v>
      </c>
      <c r="M319" s="19" t="s">
        <v>222</v>
      </c>
      <c r="N319" s="19" t="s">
        <v>228</v>
      </c>
      <c r="O319" s="38"/>
      <c r="P319" s="102">
        <f>VLOOKUP(Table3[[#This Row],[Depth of cover]],'TPI. Pa.'!$B$3:$C$52,2,0)</f>
        <v>2</v>
      </c>
      <c r="Q319" s="19">
        <f>VLOOKUP(Table3[[#This Row],[Additional protection]],'TPI. Pa.'!$B$3:$C$52,2,0)</f>
        <v>5</v>
      </c>
      <c r="R319" s="19">
        <f>VLOOKUP(Table3[[#This Row],[Failure due to TPI]],'TPI. Pa.'!$B$3:$C$52,2,0)</f>
        <v>4</v>
      </c>
      <c r="S319" s="102">
        <f>VLOOKUP(Table3[[#This Row],[Activity Level]],'TPI. Pa.'!$B$3:$C$52,2,0)</f>
        <v>10</v>
      </c>
      <c r="T319" s="19">
        <f>VLOOKUP(Table3[[#This Row],[Patrol frequency]],'TPI. Pa.'!$B$3:$C$52,2,0)</f>
        <v>1</v>
      </c>
      <c r="U319" s="19">
        <f>VLOOKUP(Table3[[#This Row],[Proxutil]],'TPI. Pa.'!$B$3:$C$52,2,0)</f>
        <v>5</v>
      </c>
      <c r="V319" s="19">
        <f>VLOOKUP(Table3[[#This Row],[ROW]],'TPI. Pa.'!$B$3:$C$52,2,0)</f>
        <v>10</v>
      </c>
      <c r="W319" s="19">
        <f>VLOOKUP(Table3[[#This Row],[ROW condition]],'TPI. Pa.'!$B$3:$C$52,2,0)</f>
        <v>3</v>
      </c>
      <c r="X319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20" spans="1:24" hidden="1">
      <c r="A320" s="84">
        <v>3</v>
      </c>
      <c r="B320" s="81">
        <v>3307</v>
      </c>
      <c r="C320" s="82" t="s">
        <v>913</v>
      </c>
      <c r="D320" s="19"/>
      <c r="E320" s="19"/>
      <c r="F320" s="19"/>
      <c r="G320" s="19" t="s">
        <v>179</v>
      </c>
      <c r="H320" s="19" t="s">
        <v>185</v>
      </c>
      <c r="I320" s="19" t="s">
        <v>168</v>
      </c>
      <c r="J320" s="19" t="s">
        <v>183</v>
      </c>
      <c r="K320" s="19" t="s">
        <v>26</v>
      </c>
      <c r="L320" s="19" t="s">
        <v>217</v>
      </c>
      <c r="M320" s="19" t="s">
        <v>222</v>
      </c>
      <c r="N320" s="19" t="s">
        <v>228</v>
      </c>
      <c r="O320" s="38"/>
      <c r="P320" s="102">
        <f>VLOOKUP(Table3[[#This Row],[Depth of cover]],'TPI. Pa.'!$B$3:$C$52,2,0)</f>
        <v>2</v>
      </c>
      <c r="Q320" s="19">
        <f>VLOOKUP(Table3[[#This Row],[Additional protection]],'TPI. Pa.'!$B$3:$C$52,2,0)</f>
        <v>5</v>
      </c>
      <c r="R320" s="19">
        <f>VLOOKUP(Table3[[#This Row],[Failure due to TPI]],'TPI. Pa.'!$B$3:$C$52,2,0)</f>
        <v>4</v>
      </c>
      <c r="S320" s="102">
        <f>VLOOKUP(Table3[[#This Row],[Activity Level]],'TPI. Pa.'!$B$3:$C$52,2,0)</f>
        <v>10</v>
      </c>
      <c r="T320" s="19">
        <f>VLOOKUP(Table3[[#This Row],[Patrol frequency]],'TPI. Pa.'!$B$3:$C$52,2,0)</f>
        <v>1</v>
      </c>
      <c r="U320" s="19">
        <f>VLOOKUP(Table3[[#This Row],[Proxutil]],'TPI. Pa.'!$B$3:$C$52,2,0)</f>
        <v>5</v>
      </c>
      <c r="V320" s="19">
        <f>VLOOKUP(Table3[[#This Row],[ROW]],'TPI. Pa.'!$B$3:$C$52,2,0)</f>
        <v>10</v>
      </c>
      <c r="W320" s="19">
        <f>VLOOKUP(Table3[[#This Row],[ROW condition]],'TPI. Pa.'!$B$3:$C$52,2,0)</f>
        <v>3</v>
      </c>
      <c r="X320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21" spans="1:24" hidden="1">
      <c r="A321" s="84">
        <v>3</v>
      </c>
      <c r="B321" s="81">
        <v>330500005</v>
      </c>
      <c r="C321" s="82" t="s">
        <v>938</v>
      </c>
      <c r="D321" s="19"/>
      <c r="E321" s="19"/>
      <c r="F321" s="19"/>
      <c r="G321" s="19" t="s">
        <v>179</v>
      </c>
      <c r="H321" s="19" t="s">
        <v>185</v>
      </c>
      <c r="I321" s="19" t="s">
        <v>168</v>
      </c>
      <c r="J321" s="19" t="s">
        <v>183</v>
      </c>
      <c r="K321" s="19" t="s">
        <v>26</v>
      </c>
      <c r="L321" s="19" t="s">
        <v>217</v>
      </c>
      <c r="M321" s="19" t="s">
        <v>222</v>
      </c>
      <c r="N321" s="19" t="s">
        <v>228</v>
      </c>
      <c r="O321" s="38"/>
      <c r="P321" s="102">
        <f>VLOOKUP(Table3[[#This Row],[Depth of cover]],'TPI. Pa.'!$B$3:$C$52,2,0)</f>
        <v>2</v>
      </c>
      <c r="Q321" s="19">
        <f>VLOOKUP(Table3[[#This Row],[Additional protection]],'TPI. Pa.'!$B$3:$C$52,2,0)</f>
        <v>5</v>
      </c>
      <c r="R321" s="19">
        <f>VLOOKUP(Table3[[#This Row],[Failure due to TPI]],'TPI. Pa.'!$B$3:$C$52,2,0)</f>
        <v>4</v>
      </c>
      <c r="S321" s="102">
        <f>VLOOKUP(Table3[[#This Row],[Activity Level]],'TPI. Pa.'!$B$3:$C$52,2,0)</f>
        <v>10</v>
      </c>
      <c r="T321" s="19">
        <f>VLOOKUP(Table3[[#This Row],[Patrol frequency]],'TPI. Pa.'!$B$3:$C$52,2,0)</f>
        <v>1</v>
      </c>
      <c r="U321" s="19">
        <f>VLOOKUP(Table3[[#This Row],[Proxutil]],'TPI. Pa.'!$B$3:$C$52,2,0)</f>
        <v>5</v>
      </c>
      <c r="V321" s="19">
        <f>VLOOKUP(Table3[[#This Row],[ROW]],'TPI. Pa.'!$B$3:$C$52,2,0)</f>
        <v>10</v>
      </c>
      <c r="W321" s="19">
        <f>VLOOKUP(Table3[[#This Row],[ROW condition]],'TPI. Pa.'!$B$3:$C$52,2,0)</f>
        <v>3</v>
      </c>
      <c r="X321" s="102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  <row r="322" spans="1:24" hidden="1">
      <c r="A322" s="142">
        <v>3</v>
      </c>
      <c r="B322" s="141">
        <v>33050001</v>
      </c>
      <c r="C322" s="140" t="s">
        <v>760</v>
      </c>
      <c r="D322" s="42"/>
      <c r="E322" s="42"/>
      <c r="F322" s="42"/>
      <c r="G322" s="19" t="s">
        <v>179</v>
      </c>
      <c r="H322" s="19" t="s">
        <v>185</v>
      </c>
      <c r="I322" s="19" t="s">
        <v>168</v>
      </c>
      <c r="J322" s="19" t="s">
        <v>183</v>
      </c>
      <c r="K322" s="19" t="s">
        <v>26</v>
      </c>
      <c r="L322" s="19" t="s">
        <v>217</v>
      </c>
      <c r="M322" s="19" t="s">
        <v>222</v>
      </c>
      <c r="N322" s="19" t="s">
        <v>228</v>
      </c>
      <c r="O322" s="37"/>
      <c r="P322" s="67">
        <f>VLOOKUP(Table3[[#This Row],[Depth of cover]],'TPI. Pa.'!$B$3:$C$52,2,0)</f>
        <v>2</v>
      </c>
      <c r="Q322" s="42">
        <f>VLOOKUP(Table3[[#This Row],[Additional protection]],'TPI. Pa.'!$B$3:$C$52,2,0)</f>
        <v>5</v>
      </c>
      <c r="R322" s="42">
        <f>VLOOKUP(Table3[[#This Row],[Failure due to TPI]],'TPI. Pa.'!$B$3:$C$52,2,0)</f>
        <v>4</v>
      </c>
      <c r="S322" s="67">
        <f>VLOOKUP(Table3[[#This Row],[Activity Level]],'TPI. Pa.'!$B$3:$C$52,2,0)</f>
        <v>10</v>
      </c>
      <c r="T322" s="42">
        <f>VLOOKUP(Table3[[#This Row],[Patrol frequency]],'TPI. Pa.'!$B$3:$C$52,2,0)</f>
        <v>1</v>
      </c>
      <c r="U322" s="42">
        <f>VLOOKUP(Table3[[#This Row],[Proxutil]],'TPI. Pa.'!$B$3:$C$52,2,0)</f>
        <v>5</v>
      </c>
      <c r="V322" s="42">
        <f>VLOOKUP(Table3[[#This Row],[ROW]],'TPI. Pa.'!$B$3:$C$52,2,0)</f>
        <v>10</v>
      </c>
      <c r="W322" s="42">
        <f>VLOOKUP(Table3[[#This Row],[ROW condition]],'TPI. Pa.'!$B$3:$C$52,2,0)</f>
        <v>3</v>
      </c>
      <c r="X322" s="67">
        <f>($G$1*Table3[[#This Row],[Depth of cover2]]+$H$1*Table3[[#This Row],[Additional protection2]]+$I$1*Table3[[#This Row],[Failure due to TPI2]]+$J$1*Table3[[#This Row],[Activity Level5]]+$K$1*Table3[[#This Row],[Patrol frequency6]]+$L$1*Table3[[#This Row],[Proxutil7]]+$M$1*Table3[[#This Row],[ROW8]]+$N$1*Table3[[#This Row],[ROW condition9]])</f>
        <v>43.63636363636364</v>
      </c>
    </row>
  </sheetData>
  <dataConsolidate/>
  <conditionalFormatting sqref="G2:N2">
    <cfRule type="colorScale" priority="1">
      <colorScale>
        <cfvo type="min"/>
        <cfvo type="max"/>
        <color rgb="FFFF0000"/>
        <color rgb="FFFFEF9C"/>
      </colorScale>
    </cfRule>
  </conditionalFormatting>
  <dataValidations count="1">
    <dataValidation type="list" allowBlank="1" showInputMessage="1" showErrorMessage="1" sqref="B112:B146">
      <formula1>$C$3:$C$6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'\\pttgrp-fs03\NASDATA5\01.Pipeline_Integrity\00.PL-Integrity_Planning\Y2016\9.TMMC\2nd-TMMC_May 2016\Distribution risk assessment\[Risk Distribution 2558 TMMC_4_revJump.xlsx]TPI. Pa.'!#REF!</xm:f>
          </x14:formula1>
          <xm:sqref>I221:I304 I3:I171</xm:sqref>
        </x14:dataValidation>
        <x14:dataValidation type="list" allowBlank="1" showInputMessage="1" showErrorMessage="1">
          <x14:formula1>
            <xm:f>'\\pttgrp-fs03\NASDATA5\01.Pipeline_Integrity\00.PL-Integrity_Planning\Y2016\9.TMMC\2nd-TMMC_May 2016\Distribution risk assessment\[Risk Distribution 2558 TMMC_4_revJump.xlsx]TPI. Pa.'!#REF!</xm:f>
          </x14:formula1>
          <xm:sqref>H3:H171 H221:H304</xm:sqref>
        </x14:dataValidation>
        <x14:dataValidation type="list" allowBlank="1" showInputMessage="1" showErrorMessage="1">
          <x14:formula1>
            <xm:f>'\\pttgrp-fs03\NASDATA5\01.Pipeline_Integrity\00.PL-Integrity_Planning\Y2016\9.TMMC\2nd-TMMC_May 2016\Distribution risk assessment\[Risk Distribution 2558 TMMC_4_revJump.xlsx]TPI. Pa.'!#REF!</xm:f>
          </x14:formula1>
          <xm:sqref>G3:G171 G221:G304</xm:sqref>
        </x14:dataValidation>
        <x14:dataValidation type="list" allowBlank="1" showInputMessage="1" showErrorMessage="1">
          <x14:formula1>
            <xm:f>'TPI. Pa.'!$B$23:$B$26</xm:f>
          </x14:formula1>
          <xm:sqref>J3:J322</xm:sqref>
        </x14:dataValidation>
        <x14:dataValidation type="list" allowBlank="1" showInputMessage="1" showErrorMessage="1">
          <x14:formula1>
            <xm:f>'TPI. Pa.'!$B$28:$B$33</xm:f>
          </x14:formula1>
          <xm:sqref>K3:K322</xm:sqref>
        </x14:dataValidation>
        <x14:dataValidation type="list" allowBlank="1" showInputMessage="1" showErrorMessage="1">
          <x14:formula1>
            <xm:f>'TPI. Pa.'!$B$41:$B$43</xm:f>
          </x14:formula1>
          <xm:sqref>L3:L322</xm:sqref>
        </x14:dataValidation>
        <x14:dataValidation type="list" allowBlank="1" showInputMessage="1" showErrorMessage="1">
          <x14:formula1>
            <xm:f>'TPI. Pa.'!$B$45:$B$47</xm:f>
          </x14:formula1>
          <xm:sqref>M3:M322</xm:sqref>
        </x14:dataValidation>
        <x14:dataValidation type="list" allowBlank="1" showInputMessage="1" showErrorMessage="1">
          <x14:formula1>
            <xm:f>'TPI. Pa.'!$B$49:$B$52</xm:f>
          </x14:formula1>
          <xm:sqref>N3:N322</xm:sqref>
        </x14:dataValidation>
        <x14:dataValidation type="list" allowBlank="1" showInputMessage="1" showErrorMessage="1">
          <x14:formula1>
            <xm:f>'TPI. Pa.'!$B$4:$B$8</xm:f>
          </x14:formula1>
          <xm:sqref>G172:G220 G305:G322</xm:sqref>
        </x14:dataValidation>
        <x14:dataValidation type="list" allowBlank="1" showInputMessage="1" showErrorMessage="1">
          <x14:formula1>
            <xm:f>'TPI. Pa.'!$B$10:$B$14</xm:f>
          </x14:formula1>
          <xm:sqref>H172:H220 H305:H322</xm:sqref>
        </x14:dataValidation>
        <x14:dataValidation type="list" allowBlank="1" showInputMessage="1" showErrorMessage="1">
          <x14:formula1>
            <xm:f>'TPI. Pa.'!$B$16:$B$21</xm:f>
          </x14:formula1>
          <xm:sqref>I172:I220 I305:I322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2"/>
  <sheetViews>
    <sheetView topLeftCell="A21" workbookViewId="0">
      <selection activeCell="A24" sqref="A24:XFD24"/>
    </sheetView>
  </sheetViews>
  <sheetFormatPr defaultRowHeight="14.25"/>
  <cols>
    <col min="1" max="1" width="9.125" customWidth="1"/>
    <col min="2" max="2" width="33.625" bestFit="1" customWidth="1"/>
    <col min="3" max="3" width="27.625" customWidth="1"/>
    <col min="4" max="4" width="15.625" customWidth="1"/>
    <col min="5" max="5" width="9.125" customWidth="1"/>
    <col min="6" max="6" width="14.625" customWidth="1"/>
    <col min="7" max="7" width="15.875" customWidth="1"/>
  </cols>
  <sheetData>
    <row r="2" spans="1:11" ht="86.25">
      <c r="A2" s="50" t="s">
        <v>195</v>
      </c>
      <c r="B2" s="51" t="s">
        <v>196</v>
      </c>
      <c r="C2" s="51" t="s">
        <v>87</v>
      </c>
      <c r="D2" s="52" t="s">
        <v>197</v>
      </c>
      <c r="E2" s="52" t="s">
        <v>351</v>
      </c>
      <c r="F2" s="52" t="s">
        <v>77</v>
      </c>
      <c r="G2" s="47" t="s">
        <v>521</v>
      </c>
      <c r="H2" s="48" t="s">
        <v>522</v>
      </c>
      <c r="J2" s="44" t="s">
        <v>521</v>
      </c>
      <c r="K2" s="45" t="s">
        <v>522</v>
      </c>
    </row>
    <row r="3" spans="1:11" hidden="1">
      <c r="A3" s="84">
        <v>1</v>
      </c>
      <c r="B3" s="81">
        <v>4021</v>
      </c>
      <c r="C3" s="82" t="s">
        <v>230</v>
      </c>
      <c r="D3" s="49"/>
      <c r="E3" s="49"/>
      <c r="F3" s="49"/>
      <c r="G3" s="16">
        <v>4</v>
      </c>
      <c r="H3" s="16" t="s">
        <v>525</v>
      </c>
      <c r="J3">
        <f>VLOOKUP(Table4[[#This Row],[Population density]],conse.pa.!$B$3:$C$11,2,FALSE)</f>
        <v>7</v>
      </c>
      <c r="K3" s="53">
        <f>VLOOKUP(Table4[[#This Row],[Gas Flow MMSCFD 
(Loss of revenue)]],conse.pa.!$B$3:$C$11,2,FALSE)</f>
        <v>3</v>
      </c>
    </row>
    <row r="4" spans="1:11" hidden="1">
      <c r="A4" s="84">
        <v>1</v>
      </c>
      <c r="B4" s="81">
        <v>4023</v>
      </c>
      <c r="C4" s="82" t="s">
        <v>231</v>
      </c>
      <c r="D4" s="49"/>
      <c r="E4" s="49"/>
      <c r="F4" s="49"/>
      <c r="G4" s="16">
        <v>4</v>
      </c>
      <c r="H4" s="16" t="s">
        <v>525</v>
      </c>
      <c r="J4" s="14">
        <f>VLOOKUP(Table4[[#This Row],[Population density]],conse.pa.!$B$3:$C$11,2,FALSE)</f>
        <v>7</v>
      </c>
      <c r="K4" s="53">
        <f>VLOOKUP(Table4[[#This Row],[Gas Flow MMSCFD 
(Loss of revenue)]],conse.pa.!$B$3:$C$11,2,FALSE)</f>
        <v>3</v>
      </c>
    </row>
    <row r="5" spans="1:11" ht="25.5" hidden="1">
      <c r="A5" s="84">
        <v>1</v>
      </c>
      <c r="B5" s="81">
        <v>4032</v>
      </c>
      <c r="C5" s="82" t="s">
        <v>232</v>
      </c>
      <c r="D5" s="49"/>
      <c r="E5" s="49"/>
      <c r="F5" s="49"/>
      <c r="G5" s="16">
        <v>4</v>
      </c>
      <c r="H5" s="16" t="s">
        <v>525</v>
      </c>
      <c r="J5" s="14">
        <f>VLOOKUP(Table4[[#This Row],[Population density]],conse.pa.!$B$3:$C$11,2,FALSE)</f>
        <v>7</v>
      </c>
      <c r="K5" s="53">
        <f>VLOOKUP(Table4[[#This Row],[Gas Flow MMSCFD 
(Loss of revenue)]],conse.pa.!$B$3:$C$11,2,FALSE)</f>
        <v>3</v>
      </c>
    </row>
    <row r="6" spans="1:11" hidden="1">
      <c r="A6" s="84">
        <v>1</v>
      </c>
      <c r="B6" s="81">
        <v>4311</v>
      </c>
      <c r="C6" s="82" t="s">
        <v>233</v>
      </c>
      <c r="D6" s="49"/>
      <c r="E6" s="49"/>
      <c r="F6" s="49"/>
      <c r="G6" s="16">
        <v>4</v>
      </c>
      <c r="H6" s="16" t="s">
        <v>525</v>
      </c>
      <c r="J6" s="14">
        <f>VLOOKUP(Table4[[#This Row],[Population density]],conse.pa.!$B$3:$C$11,2,FALSE)</f>
        <v>7</v>
      </c>
      <c r="K6" s="53">
        <f>VLOOKUP(Table4[[#This Row],[Gas Flow MMSCFD 
(Loss of revenue)]],conse.pa.!$B$3:$C$11,2,FALSE)</f>
        <v>3</v>
      </c>
    </row>
    <row r="7" spans="1:11" hidden="1">
      <c r="A7" s="80">
        <v>1</v>
      </c>
      <c r="B7" s="81">
        <v>431110003</v>
      </c>
      <c r="C7" s="82" t="s">
        <v>609</v>
      </c>
      <c r="D7" s="49"/>
      <c r="E7" s="49"/>
      <c r="F7" s="49"/>
      <c r="G7" s="16">
        <v>4</v>
      </c>
      <c r="H7" s="16" t="s">
        <v>525</v>
      </c>
      <c r="J7" s="14">
        <f>VLOOKUP(Table4[[#This Row],[Population density]],conse.pa.!$B$3:$C$11,2,FALSE)</f>
        <v>7</v>
      </c>
      <c r="K7" s="53">
        <f>VLOOKUP(Table4[[#This Row],[Gas Flow MMSCFD 
(Loss of revenue)]],conse.pa.!$B$3:$C$11,2,FALSE)</f>
        <v>3</v>
      </c>
    </row>
    <row r="8" spans="1:11" hidden="1">
      <c r="A8" s="80">
        <v>1</v>
      </c>
      <c r="B8" s="81">
        <v>4311103</v>
      </c>
      <c r="C8" s="82" t="s">
        <v>598</v>
      </c>
      <c r="D8" s="49"/>
      <c r="E8" s="49"/>
      <c r="F8" s="49"/>
      <c r="G8" s="16">
        <v>4</v>
      </c>
      <c r="H8" s="16" t="s">
        <v>525</v>
      </c>
      <c r="J8" s="14">
        <f>VLOOKUP(Table4[[#This Row],[Population density]],conse.pa.!$B$3:$C$11,2,FALSE)</f>
        <v>7</v>
      </c>
      <c r="K8" s="53">
        <f>VLOOKUP(Table4[[#This Row],[Gas Flow MMSCFD 
(Loss of revenue)]],conse.pa.!$B$3:$C$11,2,FALSE)</f>
        <v>3</v>
      </c>
    </row>
    <row r="9" spans="1:11" hidden="1">
      <c r="A9" s="80">
        <v>1</v>
      </c>
      <c r="B9" s="81">
        <v>431120101</v>
      </c>
      <c r="C9" s="82" t="s">
        <v>594</v>
      </c>
      <c r="D9" s="49"/>
      <c r="E9" s="49"/>
      <c r="F9" s="49"/>
      <c r="G9" s="16">
        <v>4</v>
      </c>
      <c r="H9" s="16" t="s">
        <v>525</v>
      </c>
      <c r="J9" s="14">
        <f>VLOOKUP(Table4[[#This Row],[Population density]],conse.pa.!$B$3:$C$11,2,FALSE)</f>
        <v>7</v>
      </c>
      <c r="K9" s="53">
        <f>VLOOKUP(Table4[[#This Row],[Gas Flow MMSCFD 
(Loss of revenue)]],conse.pa.!$B$3:$C$11,2,FALSE)</f>
        <v>3</v>
      </c>
    </row>
    <row r="10" spans="1:11" hidden="1">
      <c r="A10" s="80">
        <v>1</v>
      </c>
      <c r="B10" s="81">
        <v>431120102</v>
      </c>
      <c r="C10" s="82" t="s">
        <v>596</v>
      </c>
      <c r="D10" s="49"/>
      <c r="E10" s="49"/>
      <c r="F10" s="49"/>
      <c r="G10" s="16">
        <v>4</v>
      </c>
      <c r="H10" s="16" t="s">
        <v>525</v>
      </c>
      <c r="J10" s="14">
        <f>VLOOKUP(Table4[[#This Row],[Population density]],conse.pa.!$B$3:$C$11,2,FALSE)</f>
        <v>7</v>
      </c>
      <c r="K10" s="53">
        <f>VLOOKUP(Table4[[#This Row],[Gas Flow MMSCFD 
(Loss of revenue)]],conse.pa.!$B$3:$C$11,2,FALSE)</f>
        <v>3</v>
      </c>
    </row>
    <row r="11" spans="1:11" hidden="1">
      <c r="A11" s="80">
        <v>1</v>
      </c>
      <c r="B11" s="81">
        <v>431120103</v>
      </c>
      <c r="C11" s="82" t="s">
        <v>601</v>
      </c>
      <c r="D11" s="49"/>
      <c r="E11" s="49"/>
      <c r="F11" s="49"/>
      <c r="G11" s="16">
        <v>4</v>
      </c>
      <c r="H11" s="16" t="s">
        <v>525</v>
      </c>
      <c r="J11" s="14">
        <f>VLOOKUP(Table4[[#This Row],[Population density]],conse.pa.!$B$3:$C$11,2,FALSE)</f>
        <v>7</v>
      </c>
      <c r="K11" s="53">
        <f>VLOOKUP(Table4[[#This Row],[Gas Flow MMSCFD 
(Loss of revenue)]],conse.pa.!$B$3:$C$11,2,FALSE)</f>
        <v>3</v>
      </c>
    </row>
    <row r="12" spans="1:11" hidden="1">
      <c r="A12" s="80">
        <v>1</v>
      </c>
      <c r="B12" s="81">
        <v>431120106</v>
      </c>
      <c r="C12" s="82" t="s">
        <v>584</v>
      </c>
      <c r="D12" s="49"/>
      <c r="E12" s="49"/>
      <c r="F12" s="49"/>
      <c r="G12" s="16">
        <v>4</v>
      </c>
      <c r="H12" s="16" t="s">
        <v>525</v>
      </c>
      <c r="J12" s="14">
        <f>VLOOKUP(Table4[[#This Row],[Population density]],conse.pa.!$B$3:$C$11,2,FALSE)</f>
        <v>7</v>
      </c>
      <c r="K12" s="53">
        <f>VLOOKUP(Table4[[#This Row],[Gas Flow MMSCFD 
(Loss of revenue)]],conse.pa.!$B$3:$C$11,2,FALSE)</f>
        <v>3</v>
      </c>
    </row>
    <row r="13" spans="1:11" hidden="1">
      <c r="A13" s="80">
        <v>1</v>
      </c>
      <c r="B13" s="81">
        <v>431120108</v>
      </c>
      <c r="C13" s="82" t="s">
        <v>589</v>
      </c>
      <c r="D13" s="49"/>
      <c r="E13" s="49"/>
      <c r="F13" s="49"/>
      <c r="G13" s="16">
        <v>4</v>
      </c>
      <c r="H13" s="16" t="s">
        <v>525</v>
      </c>
      <c r="J13" s="14">
        <f>VLOOKUP(Table4[[#This Row],[Population density]],conse.pa.!$B$3:$C$11,2,FALSE)</f>
        <v>7</v>
      </c>
      <c r="K13" s="53">
        <f>VLOOKUP(Table4[[#This Row],[Gas Flow MMSCFD 
(Loss of revenue)]],conse.pa.!$B$3:$C$11,2,FALSE)</f>
        <v>3</v>
      </c>
    </row>
    <row r="14" spans="1:11" hidden="1">
      <c r="A14" s="80">
        <v>1</v>
      </c>
      <c r="B14" s="81">
        <v>431120001</v>
      </c>
      <c r="C14" s="82" t="s">
        <v>586</v>
      </c>
      <c r="D14" s="49"/>
      <c r="E14" s="49"/>
      <c r="F14" s="49"/>
      <c r="G14" s="16">
        <v>4</v>
      </c>
      <c r="H14" s="16" t="s">
        <v>525</v>
      </c>
      <c r="J14" s="14">
        <f>VLOOKUP(Table4[[#This Row],[Population density]],conse.pa.!$B$3:$C$11,2,FALSE)</f>
        <v>7</v>
      </c>
      <c r="K14" s="53">
        <f>VLOOKUP(Table4[[#This Row],[Gas Flow MMSCFD 
(Loss of revenue)]],conse.pa.!$B$3:$C$11,2,FALSE)</f>
        <v>3</v>
      </c>
    </row>
    <row r="15" spans="1:11" hidden="1">
      <c r="A15" s="84">
        <v>1</v>
      </c>
      <c r="B15" s="81">
        <v>4401</v>
      </c>
      <c r="C15" s="82" t="s">
        <v>234</v>
      </c>
      <c r="D15" s="49"/>
      <c r="E15" s="49"/>
      <c r="F15" s="49"/>
      <c r="G15" s="16">
        <v>4</v>
      </c>
      <c r="H15" s="16" t="s">
        <v>525</v>
      </c>
      <c r="J15" s="14">
        <f>VLOOKUP(Table4[[#This Row],[Population density]],conse.pa.!$B$3:$C$11,2,FALSE)</f>
        <v>7</v>
      </c>
      <c r="K15" s="53">
        <f>VLOOKUP(Table4[[#This Row],[Gas Flow MMSCFD 
(Loss of revenue)]],conse.pa.!$B$3:$C$11,2,FALSE)</f>
        <v>3</v>
      </c>
    </row>
    <row r="16" spans="1:11" hidden="1">
      <c r="A16" s="84">
        <v>1</v>
      </c>
      <c r="B16" s="81">
        <v>5033</v>
      </c>
      <c r="C16" s="82" t="s">
        <v>235</v>
      </c>
      <c r="D16" s="49"/>
      <c r="E16" s="49"/>
      <c r="F16" s="49"/>
      <c r="G16" s="16">
        <v>4</v>
      </c>
      <c r="H16" s="16" t="s">
        <v>525</v>
      </c>
      <c r="J16" s="14">
        <f>VLOOKUP(Table4[[#This Row],[Population density]],conse.pa.!$B$3:$C$11,2,FALSE)</f>
        <v>7</v>
      </c>
      <c r="K16" s="53">
        <f>VLOOKUP(Table4[[#This Row],[Gas Flow MMSCFD 
(Loss of revenue)]],conse.pa.!$B$3:$C$11,2,FALSE)</f>
        <v>3</v>
      </c>
    </row>
    <row r="17" spans="1:11" hidden="1">
      <c r="A17" s="29">
        <v>1</v>
      </c>
      <c r="B17" s="26">
        <v>40231</v>
      </c>
      <c r="C17" s="27" t="s">
        <v>236</v>
      </c>
      <c r="D17" s="49"/>
      <c r="E17" s="49"/>
      <c r="F17" s="49"/>
      <c r="G17" s="16">
        <v>4</v>
      </c>
      <c r="H17" s="16" t="s">
        <v>525</v>
      </c>
      <c r="J17" s="14">
        <f>VLOOKUP(Table4[[#This Row],[Population density]],conse.pa.!$B$3:$C$11,2,FALSE)</f>
        <v>7</v>
      </c>
      <c r="K17" s="53">
        <f>VLOOKUP(Table4[[#This Row],[Gas Flow MMSCFD 
(Loss of revenue)]],conse.pa.!$B$3:$C$11,2,FALSE)</f>
        <v>3</v>
      </c>
    </row>
    <row r="18" spans="1:11" hidden="1">
      <c r="A18" s="84">
        <v>1</v>
      </c>
      <c r="B18" s="81">
        <v>44041</v>
      </c>
      <c r="C18" s="82" t="s">
        <v>237</v>
      </c>
      <c r="D18" s="49"/>
      <c r="E18" s="49"/>
      <c r="F18" s="49"/>
      <c r="G18" s="16">
        <v>4</v>
      </c>
      <c r="H18" s="16" t="s">
        <v>525</v>
      </c>
      <c r="J18" s="14">
        <f>VLOOKUP(Table4[[#This Row],[Population density]],conse.pa.!$B$3:$C$11,2,FALSE)</f>
        <v>7</v>
      </c>
      <c r="K18" s="53">
        <f>VLOOKUP(Table4[[#This Row],[Gas Flow MMSCFD 
(Loss of revenue)]],conse.pa.!$B$3:$C$11,2,FALSE)</f>
        <v>3</v>
      </c>
    </row>
    <row r="19" spans="1:11" hidden="1">
      <c r="A19" s="80">
        <v>1</v>
      </c>
      <c r="B19" s="81">
        <v>402330206</v>
      </c>
      <c r="C19" s="82" t="s">
        <v>613</v>
      </c>
      <c r="D19" s="49"/>
      <c r="E19" s="49"/>
      <c r="F19" s="49"/>
      <c r="G19" s="16">
        <v>4</v>
      </c>
      <c r="H19" s="16" t="s">
        <v>525</v>
      </c>
      <c r="J19" s="14">
        <f>VLOOKUP(Table4[[#This Row],[Population density]],conse.pa.!$B$3:$C$11,2,FALSE)</f>
        <v>7</v>
      </c>
      <c r="K19" s="53">
        <f>VLOOKUP(Table4[[#This Row],[Gas Flow MMSCFD 
(Loss of revenue)]],conse.pa.!$B$3:$C$11,2,FALSE)</f>
        <v>3</v>
      </c>
    </row>
    <row r="20" spans="1:11" hidden="1">
      <c r="A20" s="84">
        <v>1</v>
      </c>
      <c r="B20" s="81">
        <v>632102</v>
      </c>
      <c r="C20" s="82" t="s">
        <v>238</v>
      </c>
      <c r="D20" s="49"/>
      <c r="E20" s="49"/>
      <c r="F20" s="49"/>
      <c r="G20" s="16">
        <v>4</v>
      </c>
      <c r="H20" s="16" t="s">
        <v>525</v>
      </c>
      <c r="J20" s="14">
        <f>VLOOKUP(Table4[[#This Row],[Population density]],conse.pa.!$B$3:$C$11,2,FALSE)</f>
        <v>7</v>
      </c>
      <c r="K20" s="53">
        <f>VLOOKUP(Table4[[#This Row],[Gas Flow MMSCFD 
(Loss of revenue)]],conse.pa.!$B$3:$C$11,2,FALSE)</f>
        <v>3</v>
      </c>
    </row>
    <row r="21" spans="1:11">
      <c r="A21" s="80">
        <v>1</v>
      </c>
      <c r="B21" s="81"/>
      <c r="C21" s="82" t="s">
        <v>568</v>
      </c>
      <c r="D21" s="49"/>
      <c r="E21" s="49"/>
      <c r="F21" s="49"/>
      <c r="G21" s="16">
        <v>4</v>
      </c>
      <c r="H21" s="16" t="s">
        <v>525</v>
      </c>
      <c r="J21" s="14">
        <f>VLOOKUP(Table4[[#This Row],[Population density]],conse.pa.!$B$3:$C$11,2,FALSE)</f>
        <v>7</v>
      </c>
      <c r="K21" s="53">
        <f>VLOOKUP(Table4[[#This Row],[Gas Flow MMSCFD 
(Loss of revenue)]],conse.pa.!$B$3:$C$11,2,FALSE)</f>
        <v>3</v>
      </c>
    </row>
    <row r="22" spans="1:11">
      <c r="A22" s="80">
        <v>1</v>
      </c>
      <c r="B22" s="81"/>
      <c r="C22" s="82" t="s">
        <v>569</v>
      </c>
      <c r="D22" s="49"/>
      <c r="E22" s="49"/>
      <c r="F22" s="49"/>
      <c r="G22" s="16">
        <v>4</v>
      </c>
      <c r="H22" s="16" t="s">
        <v>525</v>
      </c>
      <c r="J22" s="14">
        <f>VLOOKUP(Table4[[#This Row],[Population density]],conse.pa.!$B$3:$C$11,2,FALSE)</f>
        <v>7</v>
      </c>
      <c r="K22" s="53">
        <f>VLOOKUP(Table4[[#This Row],[Gas Flow MMSCFD 
(Loss of revenue)]],conse.pa.!$B$3:$C$11,2,FALSE)</f>
        <v>3</v>
      </c>
    </row>
    <row r="23" spans="1:11">
      <c r="A23" s="80">
        <v>1</v>
      </c>
      <c r="B23" s="81"/>
      <c r="C23" s="82" t="s">
        <v>572</v>
      </c>
      <c r="D23" s="49"/>
      <c r="E23" s="49"/>
      <c r="F23" s="49"/>
      <c r="G23" s="16">
        <v>4</v>
      </c>
      <c r="H23" s="16" t="s">
        <v>525</v>
      </c>
      <c r="J23" s="14">
        <f>VLOOKUP(Table4[[#This Row],[Population density]],conse.pa.!$B$3:$C$11,2,FALSE)</f>
        <v>7</v>
      </c>
      <c r="K23" s="53">
        <f>VLOOKUP(Table4[[#This Row],[Gas Flow MMSCFD 
(Loss of revenue)]],conse.pa.!$B$3:$C$11,2,FALSE)</f>
        <v>3</v>
      </c>
    </row>
    <row r="24" spans="1:11">
      <c r="A24" s="80">
        <v>1</v>
      </c>
      <c r="B24" s="81"/>
      <c r="C24" s="82" t="s">
        <v>579</v>
      </c>
      <c r="D24" s="49"/>
      <c r="E24" s="49"/>
      <c r="F24" s="49"/>
      <c r="G24" s="16">
        <v>4</v>
      </c>
      <c r="H24" s="16" t="s">
        <v>525</v>
      </c>
      <c r="J24" s="14">
        <f>VLOOKUP(Table4[[#This Row],[Population density]],conse.pa.!$B$3:$C$11,2,FALSE)</f>
        <v>7</v>
      </c>
      <c r="K24" s="53">
        <f>VLOOKUP(Table4[[#This Row],[Gas Flow MMSCFD 
(Loss of revenue)]],conse.pa.!$B$3:$C$11,2,FALSE)</f>
        <v>3</v>
      </c>
    </row>
    <row r="25" spans="1:11">
      <c r="A25" s="80">
        <v>1</v>
      </c>
      <c r="B25" s="81"/>
      <c r="C25" s="82" t="s">
        <v>580</v>
      </c>
      <c r="D25" s="49"/>
      <c r="E25" s="49"/>
      <c r="F25" s="49"/>
      <c r="G25" s="16">
        <v>4</v>
      </c>
      <c r="H25" s="16" t="s">
        <v>525</v>
      </c>
      <c r="J25" s="14">
        <f>VLOOKUP(Table4[[#This Row],[Population density]],conse.pa.!$B$3:$C$11,2,FALSE)</f>
        <v>7</v>
      </c>
      <c r="K25" s="53">
        <f>VLOOKUP(Table4[[#This Row],[Gas Flow MMSCFD 
(Loss of revenue)]],conse.pa.!$B$3:$C$11,2,FALSE)</f>
        <v>3</v>
      </c>
    </row>
    <row r="26" spans="1:11">
      <c r="A26" s="80">
        <v>1</v>
      </c>
      <c r="B26" s="81"/>
      <c r="C26" s="82" t="s">
        <v>581</v>
      </c>
      <c r="D26" s="49"/>
      <c r="E26" s="49"/>
      <c r="F26" s="49"/>
      <c r="G26" s="16">
        <v>4</v>
      </c>
      <c r="H26" s="16" t="s">
        <v>525</v>
      </c>
      <c r="J26" s="14">
        <f>VLOOKUP(Table4[[#This Row],[Population density]],conse.pa.!$B$3:$C$11,2,FALSE)</f>
        <v>7</v>
      </c>
      <c r="K26" s="53">
        <f>VLOOKUP(Table4[[#This Row],[Gas Flow MMSCFD 
(Loss of revenue)]],conse.pa.!$B$3:$C$11,2,FALSE)</f>
        <v>3</v>
      </c>
    </row>
    <row r="27" spans="1:11">
      <c r="A27" s="80">
        <v>1</v>
      </c>
      <c r="B27" s="81"/>
      <c r="C27" s="82" t="s">
        <v>582</v>
      </c>
      <c r="D27" s="49"/>
      <c r="E27" s="49"/>
      <c r="F27" s="49"/>
      <c r="G27" s="16">
        <v>4</v>
      </c>
      <c r="H27" s="16" t="s">
        <v>525</v>
      </c>
      <c r="J27" s="14">
        <f>VLOOKUP(Table4[[#This Row],[Population density]],conse.pa.!$B$3:$C$11,2,FALSE)</f>
        <v>7</v>
      </c>
      <c r="K27" s="53">
        <f>VLOOKUP(Table4[[#This Row],[Gas Flow MMSCFD 
(Loss of revenue)]],conse.pa.!$B$3:$C$11,2,FALSE)</f>
        <v>3</v>
      </c>
    </row>
    <row r="28" spans="1:11">
      <c r="A28" s="87">
        <v>1</v>
      </c>
      <c r="B28" s="88"/>
      <c r="C28" s="89" t="s">
        <v>587</v>
      </c>
      <c r="D28" s="49"/>
      <c r="E28" s="49"/>
      <c r="F28" s="49"/>
      <c r="G28" s="16">
        <v>4</v>
      </c>
      <c r="H28" s="16" t="s">
        <v>525</v>
      </c>
      <c r="J28" s="14">
        <f>VLOOKUP(Table4[[#This Row],[Population density]],conse.pa.!$B$3:$C$11,2,FALSE)</f>
        <v>7</v>
      </c>
      <c r="K28" s="53">
        <f>VLOOKUP(Table4[[#This Row],[Gas Flow MMSCFD 
(Loss of revenue)]],conse.pa.!$B$3:$C$11,2,FALSE)</f>
        <v>3</v>
      </c>
    </row>
    <row r="29" spans="1:11">
      <c r="A29" s="80">
        <v>1</v>
      </c>
      <c r="B29" s="81"/>
      <c r="C29" s="82" t="s">
        <v>591</v>
      </c>
      <c r="D29" s="49"/>
      <c r="E29" s="49"/>
      <c r="F29" s="49"/>
      <c r="G29" s="16">
        <v>4</v>
      </c>
      <c r="H29" s="16" t="s">
        <v>525</v>
      </c>
      <c r="J29" s="14">
        <f>VLOOKUP(Table4[[#This Row],[Population density]],conse.pa.!$B$3:$C$11,2,FALSE)</f>
        <v>7</v>
      </c>
      <c r="K29" s="53">
        <f>VLOOKUP(Table4[[#This Row],[Gas Flow MMSCFD 
(Loss of revenue)]],conse.pa.!$B$3:$C$11,2,FALSE)</f>
        <v>3</v>
      </c>
    </row>
    <row r="30" spans="1:11">
      <c r="A30" s="80">
        <v>1</v>
      </c>
      <c r="B30" s="81"/>
      <c r="C30" s="82" t="s">
        <v>592</v>
      </c>
      <c r="D30" s="49"/>
      <c r="E30" s="49"/>
      <c r="F30" s="49"/>
      <c r="G30" s="16">
        <v>4</v>
      </c>
      <c r="H30" s="16" t="s">
        <v>525</v>
      </c>
      <c r="J30" s="14">
        <f>VLOOKUP(Table4[[#This Row],[Population density]],conse.pa.!$B$3:$C$11,2,FALSE)</f>
        <v>7</v>
      </c>
      <c r="K30" s="53">
        <f>VLOOKUP(Table4[[#This Row],[Gas Flow MMSCFD 
(Loss of revenue)]],conse.pa.!$B$3:$C$11,2,FALSE)</f>
        <v>3</v>
      </c>
    </row>
    <row r="31" spans="1:11">
      <c r="A31" s="80">
        <v>1</v>
      </c>
      <c r="B31" s="81"/>
      <c r="C31" s="82" t="s">
        <v>590</v>
      </c>
      <c r="D31" s="49"/>
      <c r="E31" s="49"/>
      <c r="F31" s="49"/>
      <c r="G31" s="16">
        <v>4</v>
      </c>
      <c r="H31" s="16" t="s">
        <v>525</v>
      </c>
      <c r="J31" s="14">
        <f>VLOOKUP(Table4[[#This Row],[Population density]],conse.pa.!$B$3:$C$11,2,FALSE)</f>
        <v>7</v>
      </c>
      <c r="K31" s="53">
        <f>VLOOKUP(Table4[[#This Row],[Gas Flow MMSCFD 
(Loss of revenue)]],conse.pa.!$B$3:$C$11,2,FALSE)</f>
        <v>3</v>
      </c>
    </row>
    <row r="32" spans="1:11">
      <c r="A32" s="80">
        <v>1</v>
      </c>
      <c r="B32" s="81"/>
      <c r="C32" s="82" t="s">
        <v>599</v>
      </c>
      <c r="D32" s="49"/>
      <c r="E32" s="49"/>
      <c r="F32" s="49"/>
      <c r="G32" s="16">
        <v>4</v>
      </c>
      <c r="H32" s="16" t="s">
        <v>525</v>
      </c>
      <c r="J32" s="14">
        <f>VLOOKUP(Table4[[#This Row],[Population density]],conse.pa.!$B$3:$C$11,2,FALSE)</f>
        <v>7</v>
      </c>
      <c r="K32" s="53">
        <f>VLOOKUP(Table4[[#This Row],[Gas Flow MMSCFD 
(Loss of revenue)]],conse.pa.!$B$3:$C$11,2,FALSE)</f>
        <v>3</v>
      </c>
    </row>
    <row r="33" spans="1:11">
      <c r="A33" s="80">
        <v>1</v>
      </c>
      <c r="B33" s="81"/>
      <c r="C33" s="82" t="s">
        <v>602</v>
      </c>
      <c r="D33" s="49"/>
      <c r="E33" s="49"/>
      <c r="F33" s="49"/>
      <c r="G33" s="16">
        <v>4</v>
      </c>
      <c r="H33" s="16" t="s">
        <v>525</v>
      </c>
      <c r="J33" s="14">
        <f>VLOOKUP(Table4[[#This Row],[Population density]],conse.pa.!$B$3:$C$11,2,FALSE)</f>
        <v>7</v>
      </c>
      <c r="K33" s="53">
        <f>VLOOKUP(Table4[[#This Row],[Gas Flow MMSCFD 
(Loss of revenue)]],conse.pa.!$B$3:$C$11,2,FALSE)</f>
        <v>3</v>
      </c>
    </row>
    <row r="34" spans="1:11">
      <c r="A34" s="80">
        <v>1</v>
      </c>
      <c r="B34" s="81"/>
      <c r="C34" s="82" t="s">
        <v>603</v>
      </c>
      <c r="D34" s="49"/>
      <c r="E34" s="49"/>
      <c r="F34" s="49"/>
      <c r="G34" s="16">
        <v>4</v>
      </c>
      <c r="H34" s="16" t="s">
        <v>525</v>
      </c>
      <c r="J34" s="14">
        <f>VLOOKUP(Table4[[#This Row],[Population density]],conse.pa.!$B$3:$C$11,2,FALSE)</f>
        <v>7</v>
      </c>
      <c r="K34" s="53">
        <f>VLOOKUP(Table4[[#This Row],[Gas Flow MMSCFD 
(Loss of revenue)]],conse.pa.!$B$3:$C$11,2,FALSE)</f>
        <v>3</v>
      </c>
    </row>
    <row r="35" spans="1:11">
      <c r="A35" s="80">
        <v>1</v>
      </c>
      <c r="B35" s="81"/>
      <c r="C35" s="82" t="s">
        <v>604</v>
      </c>
      <c r="D35" s="49"/>
      <c r="E35" s="49"/>
      <c r="F35" s="49"/>
      <c r="G35" s="16">
        <v>4</v>
      </c>
      <c r="H35" s="16" t="s">
        <v>525</v>
      </c>
      <c r="J35" s="14">
        <f>VLOOKUP(Table4[[#This Row],[Population density]],conse.pa.!$B$3:$C$11,2,FALSE)</f>
        <v>7</v>
      </c>
      <c r="K35" s="53">
        <f>VLOOKUP(Table4[[#This Row],[Gas Flow MMSCFD 
(Loss of revenue)]],conse.pa.!$B$3:$C$11,2,FALSE)</f>
        <v>3</v>
      </c>
    </row>
    <row r="36" spans="1:11">
      <c r="A36" s="80">
        <v>1</v>
      </c>
      <c r="B36" s="81"/>
      <c r="C36" s="82" t="s">
        <v>605</v>
      </c>
      <c r="D36" s="49"/>
      <c r="E36" s="49"/>
      <c r="F36" s="49"/>
      <c r="G36" s="16">
        <v>4</v>
      </c>
      <c r="H36" s="16" t="s">
        <v>525</v>
      </c>
      <c r="J36" s="14">
        <f>VLOOKUP(Table4[[#This Row],[Population density]],conse.pa.!$B$3:$C$11,2,FALSE)</f>
        <v>7</v>
      </c>
      <c r="K36" s="53">
        <f>VLOOKUP(Table4[[#This Row],[Gas Flow MMSCFD 
(Loss of revenue)]],conse.pa.!$B$3:$C$11,2,FALSE)</f>
        <v>3</v>
      </c>
    </row>
    <row r="37" spans="1:11">
      <c r="A37" s="80">
        <v>1</v>
      </c>
      <c r="B37" s="81"/>
      <c r="C37" s="82" t="s">
        <v>606</v>
      </c>
      <c r="D37" s="49"/>
      <c r="E37" s="49"/>
      <c r="F37" s="49"/>
      <c r="G37" s="16">
        <v>4</v>
      </c>
      <c r="H37" s="16" t="s">
        <v>525</v>
      </c>
      <c r="J37" s="14">
        <f>VLOOKUP(Table4[[#This Row],[Population density]],conse.pa.!$B$3:$C$11,2,FALSE)</f>
        <v>7</v>
      </c>
      <c r="K37" s="53">
        <f>VLOOKUP(Table4[[#This Row],[Gas Flow MMSCFD 
(Loss of revenue)]],conse.pa.!$B$3:$C$11,2,FALSE)</f>
        <v>3</v>
      </c>
    </row>
    <row r="38" spans="1:11">
      <c r="A38" s="80">
        <v>1</v>
      </c>
      <c r="B38" s="81"/>
      <c r="C38" s="82" t="s">
        <v>607</v>
      </c>
      <c r="D38" s="49"/>
      <c r="E38" s="49"/>
      <c r="F38" s="49"/>
      <c r="G38" s="16">
        <v>4</v>
      </c>
      <c r="H38" s="16" t="s">
        <v>525</v>
      </c>
      <c r="J38" s="14">
        <f>VLOOKUP(Table4[[#This Row],[Population density]],conse.pa.!$B$3:$C$11,2,FALSE)</f>
        <v>7</v>
      </c>
      <c r="K38" s="53">
        <f>VLOOKUP(Table4[[#This Row],[Gas Flow MMSCFD 
(Loss of revenue)]],conse.pa.!$B$3:$C$11,2,FALSE)</f>
        <v>3</v>
      </c>
    </row>
    <row r="39" spans="1:11" hidden="1">
      <c r="A39" s="80">
        <v>1</v>
      </c>
      <c r="B39" s="81">
        <v>631100002</v>
      </c>
      <c r="C39" s="82" t="s">
        <v>574</v>
      </c>
      <c r="D39" s="49"/>
      <c r="E39" s="49"/>
      <c r="F39" s="49"/>
      <c r="G39" s="16">
        <v>4</v>
      </c>
      <c r="H39" s="16" t="s">
        <v>525</v>
      </c>
      <c r="J39" s="14">
        <f>VLOOKUP(Table4[[#This Row],[Population density]],conse.pa.!$B$3:$C$11,2,FALSE)</f>
        <v>7</v>
      </c>
      <c r="K39" s="53">
        <f>VLOOKUP(Table4[[#This Row],[Gas Flow MMSCFD 
(Loss of revenue)]],conse.pa.!$B$3:$C$11,2,FALSE)</f>
        <v>3</v>
      </c>
    </row>
    <row r="40" spans="1:11" hidden="1">
      <c r="A40" s="80">
        <v>1</v>
      </c>
      <c r="B40" s="81">
        <v>631100004</v>
      </c>
      <c r="C40" s="82" t="s">
        <v>571</v>
      </c>
      <c r="D40" s="49"/>
      <c r="E40" s="49"/>
      <c r="F40" s="49"/>
      <c r="G40" s="16">
        <v>4</v>
      </c>
      <c r="H40" s="16" t="s">
        <v>525</v>
      </c>
      <c r="J40" s="14">
        <f>VLOOKUP(Table4[[#This Row],[Population density]],conse.pa.!$B$3:$C$11,2,FALSE)</f>
        <v>7</v>
      </c>
      <c r="K40" s="53">
        <f>VLOOKUP(Table4[[#This Row],[Gas Flow MMSCFD 
(Loss of revenue)]],conse.pa.!$B$3:$C$11,2,FALSE)</f>
        <v>3</v>
      </c>
    </row>
    <row r="41" spans="1:11" hidden="1">
      <c r="A41" s="84">
        <v>1</v>
      </c>
      <c r="B41" s="81">
        <v>6322101</v>
      </c>
      <c r="C41" s="82" t="s">
        <v>239</v>
      </c>
      <c r="D41" s="49"/>
      <c r="E41" s="49"/>
      <c r="F41" s="49"/>
      <c r="G41" s="16">
        <v>4</v>
      </c>
      <c r="H41" s="16" t="s">
        <v>525</v>
      </c>
      <c r="J41" s="14">
        <f>VLOOKUP(Table4[[#This Row],[Population density]],conse.pa.!$B$3:$C$11,2,FALSE)</f>
        <v>7</v>
      </c>
      <c r="K41" s="53">
        <f>VLOOKUP(Table4[[#This Row],[Gas Flow MMSCFD 
(Loss of revenue)]],conse.pa.!$B$3:$C$11,2,FALSE)</f>
        <v>3</v>
      </c>
    </row>
    <row r="42" spans="1:11" hidden="1">
      <c r="A42" s="84">
        <v>1</v>
      </c>
      <c r="B42" s="81">
        <v>6322104</v>
      </c>
      <c r="C42" s="82" t="s">
        <v>240</v>
      </c>
      <c r="D42" s="49"/>
      <c r="E42" s="49"/>
      <c r="F42" s="49"/>
      <c r="G42" s="16">
        <v>4</v>
      </c>
      <c r="H42" s="16" t="s">
        <v>525</v>
      </c>
      <c r="J42" s="14">
        <f>VLOOKUP(Table4[[#This Row],[Population density]],conse.pa.!$B$3:$C$11,2,FALSE)</f>
        <v>7</v>
      </c>
      <c r="K42" s="53">
        <f>VLOOKUP(Table4[[#This Row],[Gas Flow MMSCFD 
(Loss of revenue)]],conse.pa.!$B$3:$C$11,2,FALSE)</f>
        <v>3</v>
      </c>
    </row>
    <row r="43" spans="1:11" ht="25.5" hidden="1">
      <c r="A43" s="84">
        <v>1</v>
      </c>
      <c r="B43" s="81">
        <v>40222012</v>
      </c>
      <c r="C43" s="82" t="s">
        <v>241</v>
      </c>
      <c r="D43" s="49"/>
      <c r="E43" s="49"/>
      <c r="F43" s="49"/>
      <c r="G43" s="16">
        <v>4</v>
      </c>
      <c r="H43" s="16" t="s">
        <v>525</v>
      </c>
      <c r="J43" s="14">
        <f>VLOOKUP(Table4[[#This Row],[Population density]],conse.pa.!$B$3:$C$11,2,FALSE)</f>
        <v>7</v>
      </c>
      <c r="K43" s="53">
        <f>VLOOKUP(Table4[[#This Row],[Gas Flow MMSCFD 
(Loss of revenue)]],conse.pa.!$B$3:$C$11,2,FALSE)</f>
        <v>3</v>
      </c>
    </row>
    <row r="44" spans="1:11" hidden="1">
      <c r="A44" s="84">
        <v>1</v>
      </c>
      <c r="B44" s="81">
        <v>402110001</v>
      </c>
      <c r="C44" s="82" t="s">
        <v>242</v>
      </c>
      <c r="D44" s="49"/>
      <c r="E44" s="49"/>
      <c r="F44" s="49"/>
      <c r="G44" s="16">
        <v>4</v>
      </c>
      <c r="H44" s="16" t="s">
        <v>525</v>
      </c>
      <c r="J44" s="14">
        <f>VLOOKUP(Table4[[#This Row],[Population density]],conse.pa.!$B$3:$C$11,2,FALSE)</f>
        <v>7</v>
      </c>
      <c r="K44" s="53">
        <f>VLOOKUP(Table4[[#This Row],[Gas Flow MMSCFD 
(Loss of revenue)]],conse.pa.!$B$3:$C$11,2,FALSE)</f>
        <v>3</v>
      </c>
    </row>
    <row r="45" spans="1:11" hidden="1">
      <c r="A45" s="84">
        <v>1</v>
      </c>
      <c r="B45" s="81">
        <v>402210001</v>
      </c>
      <c r="C45" s="82" t="s">
        <v>243</v>
      </c>
      <c r="D45" s="49"/>
      <c r="E45" s="49"/>
      <c r="F45" s="49"/>
      <c r="G45" s="16">
        <v>4</v>
      </c>
      <c r="H45" s="16" t="s">
        <v>525</v>
      </c>
      <c r="J45" s="14">
        <f>VLOOKUP(Table4[[#This Row],[Population density]],conse.pa.!$B$3:$C$11,2,FALSE)</f>
        <v>7</v>
      </c>
      <c r="K45" s="53">
        <f>VLOOKUP(Table4[[#This Row],[Gas Flow MMSCFD 
(Loss of revenue)]],conse.pa.!$B$3:$C$11,2,FALSE)</f>
        <v>3</v>
      </c>
    </row>
    <row r="46" spans="1:11" hidden="1">
      <c r="A46" s="84">
        <v>1</v>
      </c>
      <c r="B46" s="81">
        <v>402210003</v>
      </c>
      <c r="C46" s="82" t="s">
        <v>244</v>
      </c>
      <c r="D46" s="49"/>
      <c r="E46" s="49"/>
      <c r="F46" s="49"/>
      <c r="G46" s="16">
        <v>4</v>
      </c>
      <c r="H46" s="16" t="s">
        <v>525</v>
      </c>
      <c r="J46" s="14">
        <f>VLOOKUP(Table4[[#This Row],[Population density]],conse.pa.!$B$3:$C$11,2,FALSE)</f>
        <v>7</v>
      </c>
      <c r="K46" s="53">
        <f>VLOOKUP(Table4[[#This Row],[Gas Flow MMSCFD 
(Loss of revenue)]],conse.pa.!$B$3:$C$11,2,FALSE)</f>
        <v>3</v>
      </c>
    </row>
    <row r="47" spans="1:11" hidden="1">
      <c r="A47" s="80">
        <v>1</v>
      </c>
      <c r="B47" s="81">
        <v>4030301</v>
      </c>
      <c r="C47" s="82" t="s">
        <v>578</v>
      </c>
      <c r="D47" s="49"/>
      <c r="E47" s="49"/>
      <c r="F47" s="49"/>
      <c r="G47" s="16">
        <v>4</v>
      </c>
      <c r="H47" s="16" t="s">
        <v>525</v>
      </c>
      <c r="J47" s="14">
        <f>VLOOKUP(Table4[[#This Row],[Population density]],conse.pa.!$B$3:$C$11,2,FALSE)</f>
        <v>7</v>
      </c>
      <c r="K47" s="53">
        <f>VLOOKUP(Table4[[#This Row],[Gas Flow MMSCFD 
(Loss of revenue)]],conse.pa.!$B$3:$C$11,2,FALSE)</f>
        <v>3</v>
      </c>
    </row>
    <row r="48" spans="1:11" ht="25.5" hidden="1">
      <c r="A48" s="84">
        <v>1</v>
      </c>
      <c r="B48" s="81">
        <v>405110101</v>
      </c>
      <c r="C48" s="82" t="s">
        <v>245</v>
      </c>
      <c r="D48" s="49"/>
      <c r="E48" s="49"/>
      <c r="F48" s="49"/>
      <c r="G48" s="16">
        <v>4</v>
      </c>
      <c r="H48" s="16" t="s">
        <v>525</v>
      </c>
      <c r="J48" s="14">
        <f>VLOOKUP(Table4[[#This Row],[Population density]],conse.pa.!$B$3:$C$11,2,FALSE)</f>
        <v>7</v>
      </c>
      <c r="K48" s="53">
        <f>VLOOKUP(Table4[[#This Row],[Gas Flow MMSCFD 
(Loss of revenue)]],conse.pa.!$B$3:$C$11,2,FALSE)</f>
        <v>3</v>
      </c>
    </row>
    <row r="49" spans="1:11" hidden="1">
      <c r="A49" s="80">
        <v>1</v>
      </c>
      <c r="B49" s="81">
        <v>4052</v>
      </c>
      <c r="C49" s="82" t="s">
        <v>611</v>
      </c>
      <c r="D49" s="49"/>
      <c r="E49" s="49"/>
      <c r="F49" s="49"/>
      <c r="G49" s="16">
        <v>4</v>
      </c>
      <c r="H49" s="16" t="s">
        <v>525</v>
      </c>
      <c r="J49" s="14">
        <f>VLOOKUP(Table4[[#This Row],[Population density]],conse.pa.!$B$3:$C$11,2,FALSE)</f>
        <v>7</v>
      </c>
      <c r="K49" s="53">
        <f>VLOOKUP(Table4[[#This Row],[Gas Flow MMSCFD 
(Loss of revenue)]],conse.pa.!$B$3:$C$11,2,FALSE)</f>
        <v>3</v>
      </c>
    </row>
    <row r="50" spans="1:11" hidden="1">
      <c r="A50" s="80">
        <v>1</v>
      </c>
      <c r="B50" s="81">
        <v>44021001</v>
      </c>
      <c r="C50" s="82" t="s">
        <v>563</v>
      </c>
      <c r="D50" s="49"/>
      <c r="E50" s="49"/>
      <c r="F50" s="49"/>
      <c r="G50" s="16">
        <v>4</v>
      </c>
      <c r="H50" s="16" t="s">
        <v>525</v>
      </c>
      <c r="J50" s="14">
        <f>VLOOKUP(Table4[[#This Row],[Population density]],conse.pa.!$B$3:$C$11,2,FALSE)</f>
        <v>7</v>
      </c>
      <c r="K50" s="53">
        <f>VLOOKUP(Table4[[#This Row],[Gas Flow MMSCFD 
(Loss of revenue)]],conse.pa.!$B$3:$C$11,2,FALSE)</f>
        <v>3</v>
      </c>
    </row>
    <row r="51" spans="1:11" hidden="1">
      <c r="A51" s="84">
        <v>1</v>
      </c>
      <c r="B51" s="81">
        <v>440210002</v>
      </c>
      <c r="C51" s="82" t="s">
        <v>246</v>
      </c>
      <c r="D51" s="49"/>
      <c r="E51" s="49"/>
      <c r="F51" s="49"/>
      <c r="G51" s="16">
        <v>4</v>
      </c>
      <c r="H51" s="16" t="s">
        <v>525</v>
      </c>
      <c r="J51" s="14">
        <f>VLOOKUP(Table4[[#This Row],[Population density]],conse.pa.!$B$3:$C$11,2,FALSE)</f>
        <v>7</v>
      </c>
      <c r="K51" s="53">
        <f>VLOOKUP(Table4[[#This Row],[Gas Flow MMSCFD 
(Loss of revenue)]],conse.pa.!$B$3:$C$11,2,FALSE)</f>
        <v>3</v>
      </c>
    </row>
    <row r="52" spans="1:11" hidden="1">
      <c r="A52" s="80">
        <v>1</v>
      </c>
      <c r="B52" s="81">
        <v>440210003</v>
      </c>
      <c r="C52" s="82" t="s">
        <v>565</v>
      </c>
      <c r="D52" s="49"/>
      <c r="E52" s="49"/>
      <c r="F52" s="49"/>
      <c r="G52" s="16">
        <v>4</v>
      </c>
      <c r="H52" s="16" t="s">
        <v>525</v>
      </c>
      <c r="J52" s="14">
        <f>VLOOKUP(Table4[[#This Row],[Population density]],conse.pa.!$B$3:$C$11,2,FALSE)</f>
        <v>7</v>
      </c>
      <c r="K52" s="53">
        <f>VLOOKUP(Table4[[#This Row],[Gas Flow MMSCFD 
(Loss of revenue)]],conse.pa.!$B$3:$C$11,2,FALSE)</f>
        <v>3</v>
      </c>
    </row>
    <row r="53" spans="1:11" hidden="1">
      <c r="A53" s="80">
        <v>1</v>
      </c>
      <c r="B53" s="81">
        <v>440210004</v>
      </c>
      <c r="C53" s="82" t="s">
        <v>567</v>
      </c>
      <c r="D53" s="49"/>
      <c r="E53" s="49"/>
      <c r="F53" s="49"/>
      <c r="G53" s="16">
        <v>4</v>
      </c>
      <c r="H53" s="16" t="s">
        <v>525</v>
      </c>
      <c r="J53" s="14">
        <f>VLOOKUP(Table4[[#This Row],[Population density]],conse.pa.!$B$3:$C$11,2,FALSE)</f>
        <v>7</v>
      </c>
      <c r="K53" s="53">
        <f>VLOOKUP(Table4[[#This Row],[Gas Flow MMSCFD 
(Loss of revenue)]],conse.pa.!$B$3:$C$11,2,FALSE)</f>
        <v>3</v>
      </c>
    </row>
    <row r="54" spans="1:11" hidden="1">
      <c r="A54" s="84">
        <v>1</v>
      </c>
      <c r="B54" s="81">
        <v>440220001</v>
      </c>
      <c r="C54" s="82" t="s">
        <v>247</v>
      </c>
      <c r="D54" s="49"/>
      <c r="E54" s="49"/>
      <c r="F54" s="49"/>
      <c r="G54" s="16">
        <v>4</v>
      </c>
      <c r="H54" s="16" t="s">
        <v>525</v>
      </c>
      <c r="J54" s="14">
        <f>VLOOKUP(Table4[[#This Row],[Population density]],conse.pa.!$B$3:$C$11,2,FALSE)</f>
        <v>7</v>
      </c>
      <c r="K54" s="53">
        <f>VLOOKUP(Table4[[#This Row],[Gas Flow MMSCFD 
(Loss of revenue)]],conse.pa.!$B$3:$C$11,2,FALSE)</f>
        <v>3</v>
      </c>
    </row>
    <row r="55" spans="1:11" hidden="1">
      <c r="A55" s="84">
        <v>1</v>
      </c>
      <c r="B55" s="81">
        <v>503100001</v>
      </c>
      <c r="C55" s="82" t="s">
        <v>248</v>
      </c>
      <c r="D55" s="49"/>
      <c r="E55" s="49"/>
      <c r="F55" s="49"/>
      <c r="G55" s="16">
        <v>4</v>
      </c>
      <c r="H55" s="16" t="s">
        <v>525</v>
      </c>
      <c r="J55" s="14">
        <f>VLOOKUP(Table4[[#This Row],[Population density]],conse.pa.!$B$3:$C$11,2,FALSE)</f>
        <v>7</v>
      </c>
      <c r="K55" s="53">
        <f>VLOOKUP(Table4[[#This Row],[Gas Flow MMSCFD 
(Loss of revenue)]],conse.pa.!$B$3:$C$11,2,FALSE)</f>
        <v>3</v>
      </c>
    </row>
    <row r="56" spans="1:11" hidden="1">
      <c r="A56" s="80">
        <v>1</v>
      </c>
      <c r="B56" s="81">
        <v>503100002</v>
      </c>
      <c r="C56" s="82" t="s">
        <v>561</v>
      </c>
      <c r="D56" s="49"/>
      <c r="E56" s="49"/>
      <c r="F56" s="49"/>
      <c r="G56" s="16">
        <v>4</v>
      </c>
      <c r="H56" s="16" t="s">
        <v>525</v>
      </c>
      <c r="J56" s="14">
        <f>VLOOKUP(Table4[[#This Row],[Population density]],conse.pa.!$B$3:$C$11,2,FALSE)</f>
        <v>7</v>
      </c>
      <c r="K56" s="53">
        <f>VLOOKUP(Table4[[#This Row],[Gas Flow MMSCFD 
(Loss of revenue)]],conse.pa.!$B$3:$C$11,2,FALSE)</f>
        <v>3</v>
      </c>
    </row>
    <row r="57" spans="1:11" hidden="1">
      <c r="A57" s="80">
        <v>1</v>
      </c>
      <c r="B57" s="81">
        <v>503200001</v>
      </c>
      <c r="C57" s="82" t="s">
        <v>558</v>
      </c>
      <c r="D57" s="49"/>
      <c r="E57" s="49"/>
      <c r="F57" s="49"/>
      <c r="G57" s="16">
        <v>4</v>
      </c>
      <c r="H57" s="16" t="s">
        <v>525</v>
      </c>
      <c r="J57" s="14">
        <f>VLOOKUP(Table4[[#This Row],[Population density]],conse.pa.!$B$3:$C$11,2,FALSE)</f>
        <v>7</v>
      </c>
      <c r="K57" s="53">
        <f>VLOOKUP(Table4[[#This Row],[Gas Flow MMSCFD 
(Loss of revenue)]],conse.pa.!$B$3:$C$11,2,FALSE)</f>
        <v>3</v>
      </c>
    </row>
    <row r="58" spans="1:11" hidden="1">
      <c r="A58" s="80">
        <v>1</v>
      </c>
      <c r="B58" s="81">
        <v>5033</v>
      </c>
      <c r="C58" s="82" t="s">
        <v>559</v>
      </c>
      <c r="D58" s="49"/>
      <c r="E58" s="49"/>
      <c r="F58" s="49"/>
      <c r="G58" s="16">
        <v>4</v>
      </c>
      <c r="H58" s="16" t="s">
        <v>525</v>
      </c>
      <c r="J58" s="14">
        <f>VLOOKUP(Table4[[#This Row],[Population density]],conse.pa.!$B$3:$C$11,2,FALSE)</f>
        <v>7</v>
      </c>
      <c r="K58" s="53">
        <f>VLOOKUP(Table4[[#This Row],[Gas Flow MMSCFD 
(Loss of revenue)]],conse.pa.!$B$3:$C$11,2,FALSE)</f>
        <v>3</v>
      </c>
    </row>
    <row r="59" spans="1:11" hidden="1">
      <c r="A59" s="80">
        <v>1</v>
      </c>
      <c r="B59" s="81">
        <v>5041</v>
      </c>
      <c r="C59" s="82" t="s">
        <v>556</v>
      </c>
      <c r="D59" s="49"/>
      <c r="E59" s="49"/>
      <c r="F59" s="49"/>
      <c r="G59" s="16">
        <v>4</v>
      </c>
      <c r="H59" s="16" t="s">
        <v>525</v>
      </c>
      <c r="J59" s="14">
        <f>VLOOKUP(Table4[[#This Row],[Population density]],conse.pa.!$B$3:$C$11,2,FALSE)</f>
        <v>7</v>
      </c>
      <c r="K59" s="53">
        <f>VLOOKUP(Table4[[#This Row],[Gas Flow MMSCFD 
(Loss of revenue)]],conse.pa.!$B$3:$C$11,2,FALSE)</f>
        <v>3</v>
      </c>
    </row>
    <row r="60" spans="1:11" hidden="1">
      <c r="A60" s="80">
        <v>1</v>
      </c>
      <c r="B60" s="81">
        <v>504200001</v>
      </c>
      <c r="C60" s="82" t="s">
        <v>552</v>
      </c>
      <c r="D60" s="49"/>
      <c r="E60" s="49"/>
      <c r="F60" s="49"/>
      <c r="G60" s="16">
        <v>4</v>
      </c>
      <c r="H60" s="16" t="s">
        <v>525</v>
      </c>
      <c r="J60" s="14">
        <f>VLOOKUP(Table4[[#This Row],[Population density]],conse.pa.!$B$3:$C$11,2,FALSE)</f>
        <v>7</v>
      </c>
      <c r="K60" s="53">
        <f>VLOOKUP(Table4[[#This Row],[Gas Flow MMSCFD 
(Loss of revenue)]],conse.pa.!$B$3:$C$11,2,FALSE)</f>
        <v>3</v>
      </c>
    </row>
    <row r="61" spans="1:11" hidden="1">
      <c r="A61" s="80">
        <v>1</v>
      </c>
      <c r="B61" s="81">
        <v>504300001</v>
      </c>
      <c r="C61" s="82" t="s">
        <v>554</v>
      </c>
      <c r="D61" s="49"/>
      <c r="E61" s="49"/>
      <c r="F61" s="49"/>
      <c r="G61" s="16">
        <v>4</v>
      </c>
      <c r="H61" s="16" t="s">
        <v>525</v>
      </c>
      <c r="J61" s="14">
        <f>VLOOKUP(Table4[[#This Row],[Population density]],conse.pa.!$B$3:$C$11,2,FALSE)</f>
        <v>7</v>
      </c>
      <c r="K61" s="53">
        <f>VLOOKUP(Table4[[#This Row],[Gas Flow MMSCFD 
(Loss of revenue)]],conse.pa.!$B$3:$C$11,2,FALSE)</f>
        <v>3</v>
      </c>
    </row>
    <row r="62" spans="1:11" hidden="1">
      <c r="A62" s="80">
        <v>1</v>
      </c>
      <c r="B62" s="81">
        <v>505100001</v>
      </c>
      <c r="C62" s="82" t="s">
        <v>550</v>
      </c>
      <c r="D62" s="49"/>
      <c r="E62" s="49"/>
      <c r="F62" s="49"/>
      <c r="G62" s="16">
        <v>4</v>
      </c>
      <c r="H62" s="16" t="s">
        <v>525</v>
      </c>
      <c r="J62" s="14">
        <f>VLOOKUP(Table4[[#This Row],[Population density]],conse.pa.!$B$3:$C$11,2,FALSE)</f>
        <v>7</v>
      </c>
      <c r="K62" s="53">
        <f>VLOOKUP(Table4[[#This Row],[Gas Flow MMSCFD 
(Loss of revenue)]],conse.pa.!$B$3:$C$11,2,FALSE)</f>
        <v>3</v>
      </c>
    </row>
    <row r="63" spans="1:11" hidden="1">
      <c r="A63" s="80">
        <v>1</v>
      </c>
      <c r="B63" s="81">
        <v>56051101</v>
      </c>
      <c r="C63" s="82" t="s">
        <v>576</v>
      </c>
      <c r="D63" s="49"/>
      <c r="E63" s="49"/>
      <c r="F63" s="49"/>
      <c r="G63" s="16">
        <v>4</v>
      </c>
      <c r="H63" s="16" t="s">
        <v>525</v>
      </c>
      <c r="J63" s="14">
        <f>VLOOKUP(Table4[[#This Row],[Population density]],conse.pa.!$B$3:$C$11,2,FALSE)</f>
        <v>7</v>
      </c>
      <c r="K63" s="53">
        <f>VLOOKUP(Table4[[#This Row],[Gas Flow MMSCFD 
(Loss of revenue)]],conse.pa.!$B$3:$C$11,2,FALSE)</f>
        <v>3</v>
      </c>
    </row>
    <row r="64" spans="1:11" hidden="1">
      <c r="A64" s="84">
        <v>2</v>
      </c>
      <c r="B64" s="81">
        <v>674</v>
      </c>
      <c r="C64" s="82" t="s">
        <v>249</v>
      </c>
      <c r="D64" s="49"/>
      <c r="E64" s="49"/>
      <c r="F64" s="49"/>
      <c r="G64" s="16">
        <v>4</v>
      </c>
      <c r="H64" s="16" t="s">
        <v>525</v>
      </c>
      <c r="J64" s="14">
        <f>VLOOKUP(Table4[[#This Row],[Population density]],conse.pa.!$B$3:$C$11,2,FALSE)</f>
        <v>7</v>
      </c>
      <c r="K64" s="53">
        <f>VLOOKUP(Table4[[#This Row],[Gas Flow MMSCFD 
(Loss of revenue)]],conse.pa.!$B$3:$C$11,2,FALSE)</f>
        <v>3</v>
      </c>
    </row>
    <row r="65" spans="1:11" hidden="1">
      <c r="A65" s="80">
        <v>2</v>
      </c>
      <c r="B65" s="81">
        <v>6611</v>
      </c>
      <c r="C65" s="82"/>
      <c r="D65" s="49"/>
      <c r="E65" s="49"/>
      <c r="F65" s="49"/>
      <c r="G65" s="16">
        <v>4</v>
      </c>
      <c r="H65" s="16" t="s">
        <v>525</v>
      </c>
      <c r="J65" s="14">
        <f>VLOOKUP(Table4[[#This Row],[Population density]],conse.pa.!$B$3:$C$11,2,FALSE)</f>
        <v>7</v>
      </c>
      <c r="K65" s="53">
        <f>VLOOKUP(Table4[[#This Row],[Gas Flow MMSCFD 
(Loss of revenue)]],conse.pa.!$B$3:$C$11,2,FALSE)</f>
        <v>3</v>
      </c>
    </row>
    <row r="66" spans="1:11" hidden="1">
      <c r="A66" s="80">
        <v>2</v>
      </c>
      <c r="B66" s="81">
        <v>661301</v>
      </c>
      <c r="C66" s="82" t="s">
        <v>617</v>
      </c>
      <c r="D66" s="49"/>
      <c r="E66" s="49"/>
      <c r="F66" s="49"/>
      <c r="G66" s="16">
        <v>4</v>
      </c>
      <c r="H66" s="16" t="s">
        <v>525</v>
      </c>
      <c r="J66" s="14">
        <f>VLOOKUP(Table4[[#This Row],[Population density]],conse.pa.!$B$3:$C$11,2,FALSE)</f>
        <v>7</v>
      </c>
      <c r="K66" s="53">
        <f>VLOOKUP(Table4[[#This Row],[Gas Flow MMSCFD 
(Loss of revenue)]],conse.pa.!$B$3:$C$11,2,FALSE)</f>
        <v>3</v>
      </c>
    </row>
    <row r="67" spans="1:11" hidden="1">
      <c r="A67" s="80">
        <v>2</v>
      </c>
      <c r="B67" s="81">
        <v>6614</v>
      </c>
      <c r="C67" s="82"/>
      <c r="D67" s="49"/>
      <c r="E67" s="49"/>
      <c r="F67" s="49"/>
      <c r="G67" s="16">
        <v>4</v>
      </c>
      <c r="H67" s="16" t="s">
        <v>525</v>
      </c>
      <c r="J67" s="14">
        <f>VLOOKUP(Table4[[#This Row],[Population density]],conse.pa.!$B$3:$C$11,2,FALSE)</f>
        <v>7</v>
      </c>
      <c r="K67" s="53">
        <f>VLOOKUP(Table4[[#This Row],[Gas Flow MMSCFD 
(Loss of revenue)]],conse.pa.!$B$3:$C$11,2,FALSE)</f>
        <v>3</v>
      </c>
    </row>
    <row r="68" spans="1:11" hidden="1">
      <c r="A68" s="84">
        <v>2</v>
      </c>
      <c r="B68" s="81">
        <v>6731</v>
      </c>
      <c r="C68" s="82" t="s">
        <v>251</v>
      </c>
      <c r="D68" s="49"/>
      <c r="E68" s="49"/>
      <c r="F68" s="49"/>
      <c r="G68" s="16">
        <v>4</v>
      </c>
      <c r="H68" s="16" t="s">
        <v>525</v>
      </c>
      <c r="J68" s="14">
        <f>VLOOKUP(Table4[[#This Row],[Population density]],conse.pa.!$B$3:$C$11,2,FALSE)</f>
        <v>7</v>
      </c>
      <c r="K68" s="53">
        <f>VLOOKUP(Table4[[#This Row],[Gas Flow MMSCFD 
(Loss of revenue)]],conse.pa.!$B$3:$C$11,2,FALSE)</f>
        <v>3</v>
      </c>
    </row>
    <row r="69" spans="1:11" hidden="1">
      <c r="A69" s="84">
        <v>2</v>
      </c>
      <c r="B69" s="81">
        <v>6732</v>
      </c>
      <c r="C69" s="82" t="s">
        <v>252</v>
      </c>
      <c r="D69" s="49"/>
      <c r="E69" s="49"/>
      <c r="F69" s="49"/>
      <c r="G69" s="16">
        <v>4</v>
      </c>
      <c r="H69" s="16" t="s">
        <v>525</v>
      </c>
      <c r="J69" s="14">
        <f>VLOOKUP(Table4[[#This Row],[Population density]],conse.pa.!$B$3:$C$11,2,FALSE)</f>
        <v>7</v>
      </c>
      <c r="K69" s="53">
        <f>VLOOKUP(Table4[[#This Row],[Gas Flow MMSCFD 
(Loss of revenue)]],conse.pa.!$B$3:$C$11,2,FALSE)</f>
        <v>3</v>
      </c>
    </row>
    <row r="70" spans="1:11" hidden="1">
      <c r="A70" s="84">
        <v>2</v>
      </c>
      <c r="B70" s="81">
        <v>6734</v>
      </c>
      <c r="C70" s="82" t="s">
        <v>253</v>
      </c>
      <c r="D70" s="49"/>
      <c r="E70" s="49"/>
      <c r="F70" s="49"/>
      <c r="G70" s="16">
        <v>4</v>
      </c>
      <c r="H70" s="16" t="s">
        <v>525</v>
      </c>
      <c r="J70" s="14">
        <f>VLOOKUP(Table4[[#This Row],[Population density]],conse.pa.!$B$3:$C$11,2,FALSE)</f>
        <v>7</v>
      </c>
      <c r="K70" s="53">
        <f>VLOOKUP(Table4[[#This Row],[Gas Flow MMSCFD 
(Loss of revenue)]],conse.pa.!$B$3:$C$11,2,FALSE)</f>
        <v>3</v>
      </c>
    </row>
    <row r="71" spans="1:11" hidden="1">
      <c r="A71" s="80">
        <v>2</v>
      </c>
      <c r="B71" s="81">
        <v>63601</v>
      </c>
      <c r="C71" s="82"/>
      <c r="D71" s="49"/>
      <c r="E71" s="49"/>
      <c r="F71" s="49"/>
      <c r="G71" s="16">
        <v>4</v>
      </c>
      <c r="H71" s="16" t="s">
        <v>525</v>
      </c>
      <c r="J71" s="14">
        <f>VLOOKUP(Table4[[#This Row],[Population density]],conse.pa.!$B$3:$C$11,2,FALSE)</f>
        <v>7</v>
      </c>
      <c r="K71" s="53">
        <f>VLOOKUP(Table4[[#This Row],[Gas Flow MMSCFD 
(Loss of revenue)]],conse.pa.!$B$3:$C$11,2,FALSE)</f>
        <v>3</v>
      </c>
    </row>
    <row r="72" spans="1:11" hidden="1">
      <c r="A72" s="84">
        <v>2</v>
      </c>
      <c r="B72" s="81">
        <v>63602</v>
      </c>
      <c r="C72" s="82" t="s">
        <v>254</v>
      </c>
      <c r="D72" s="49"/>
      <c r="E72" s="49"/>
      <c r="F72" s="49"/>
      <c r="G72" s="16">
        <v>4</v>
      </c>
      <c r="H72" s="16" t="s">
        <v>525</v>
      </c>
      <c r="J72" s="14">
        <f>VLOOKUP(Table4[[#This Row],[Population density]],conse.pa.!$B$3:$C$11,2,FALSE)</f>
        <v>7</v>
      </c>
      <c r="K72" s="53">
        <f>VLOOKUP(Table4[[#This Row],[Gas Flow MMSCFD 
(Loss of revenue)]],conse.pa.!$B$3:$C$11,2,FALSE)</f>
        <v>3</v>
      </c>
    </row>
    <row r="73" spans="1:11" hidden="1">
      <c r="A73" s="84">
        <v>2</v>
      </c>
      <c r="B73" s="81">
        <v>65820</v>
      </c>
      <c r="C73" s="82" t="s">
        <v>255</v>
      </c>
      <c r="D73" s="49"/>
      <c r="E73" s="49"/>
      <c r="F73" s="49"/>
      <c r="G73" s="16">
        <v>4</v>
      </c>
      <c r="H73" s="16" t="s">
        <v>525</v>
      </c>
      <c r="J73" s="14">
        <f>VLOOKUP(Table4[[#This Row],[Population density]],conse.pa.!$B$3:$C$11,2,FALSE)</f>
        <v>7</v>
      </c>
      <c r="K73" s="53">
        <f>VLOOKUP(Table4[[#This Row],[Gas Flow MMSCFD 
(Loss of revenue)]],conse.pa.!$B$3:$C$11,2,FALSE)</f>
        <v>3</v>
      </c>
    </row>
    <row r="74" spans="1:11" hidden="1">
      <c r="A74" s="84">
        <v>2</v>
      </c>
      <c r="B74" s="81">
        <v>66111</v>
      </c>
      <c r="C74" s="82" t="s">
        <v>256</v>
      </c>
      <c r="D74" s="49"/>
      <c r="E74" s="49"/>
      <c r="F74" s="49"/>
      <c r="G74" s="16">
        <v>4</v>
      </c>
      <c r="H74" s="16" t="s">
        <v>525</v>
      </c>
      <c r="J74" s="14">
        <f>VLOOKUP(Table4[[#This Row],[Population density]],conse.pa.!$B$3:$C$11,2,FALSE)</f>
        <v>7</v>
      </c>
      <c r="K74" s="53">
        <f>VLOOKUP(Table4[[#This Row],[Gas Flow MMSCFD 
(Loss of revenue)]],conse.pa.!$B$3:$C$11,2,FALSE)</f>
        <v>3</v>
      </c>
    </row>
    <row r="75" spans="1:11" hidden="1">
      <c r="A75" s="80">
        <v>2</v>
      </c>
      <c r="B75" s="81">
        <v>6611102</v>
      </c>
      <c r="C75" s="82"/>
      <c r="D75" s="49"/>
      <c r="E75" s="49"/>
      <c r="F75" s="49"/>
      <c r="G75" s="16">
        <v>4</v>
      </c>
      <c r="H75" s="16" t="s">
        <v>525</v>
      </c>
      <c r="J75" s="14">
        <f>VLOOKUP(Table4[[#This Row],[Population density]],conse.pa.!$B$3:$C$11,2,FALSE)</f>
        <v>7</v>
      </c>
      <c r="K75" s="53">
        <f>VLOOKUP(Table4[[#This Row],[Gas Flow MMSCFD 
(Loss of revenue)]],conse.pa.!$B$3:$C$11,2,FALSE)</f>
        <v>3</v>
      </c>
    </row>
    <row r="76" spans="1:11" hidden="1">
      <c r="A76" s="87">
        <v>2</v>
      </c>
      <c r="B76" s="88">
        <v>661110201</v>
      </c>
      <c r="C76" s="89" t="s">
        <v>711</v>
      </c>
      <c r="D76" s="49"/>
      <c r="E76" s="49"/>
      <c r="F76" s="49"/>
      <c r="G76" s="16">
        <v>4</v>
      </c>
      <c r="H76" s="16" t="s">
        <v>525</v>
      </c>
      <c r="J76" s="14">
        <f>VLOOKUP(Table4[[#This Row],[Population density]],conse.pa.!$B$3:$C$11,2,FALSE)</f>
        <v>7</v>
      </c>
      <c r="K76" s="53">
        <f>VLOOKUP(Table4[[#This Row],[Gas Flow MMSCFD 
(Loss of revenue)]],conse.pa.!$B$3:$C$11,2,FALSE)</f>
        <v>3</v>
      </c>
    </row>
    <row r="77" spans="1:11" hidden="1">
      <c r="A77" s="80">
        <v>2</v>
      </c>
      <c r="B77" s="81">
        <v>661110202</v>
      </c>
      <c r="C77" s="82"/>
      <c r="D77" s="49"/>
      <c r="E77" s="49"/>
      <c r="F77" s="49"/>
      <c r="G77" s="16">
        <v>4</v>
      </c>
      <c r="H77" s="16" t="s">
        <v>525</v>
      </c>
      <c r="J77" s="14">
        <f>VLOOKUP(Table4[[#This Row],[Population density]],conse.pa.!$B$3:$C$11,2,FALSE)</f>
        <v>7</v>
      </c>
      <c r="K77" s="53">
        <f>VLOOKUP(Table4[[#This Row],[Gas Flow MMSCFD 
(Loss of revenue)]],conse.pa.!$B$3:$C$11,2,FALSE)</f>
        <v>3</v>
      </c>
    </row>
    <row r="78" spans="1:11" hidden="1">
      <c r="A78" s="80">
        <v>2</v>
      </c>
      <c r="B78" s="81">
        <v>661110203</v>
      </c>
      <c r="C78" s="82"/>
      <c r="D78" s="49"/>
      <c r="E78" s="49"/>
      <c r="F78" s="49"/>
      <c r="G78" s="16">
        <v>4</v>
      </c>
      <c r="H78" s="16" t="s">
        <v>525</v>
      </c>
      <c r="J78" s="14">
        <f>VLOOKUP(Table4[[#This Row],[Population density]],conse.pa.!$B$3:$C$11,2,FALSE)</f>
        <v>7</v>
      </c>
      <c r="K78" s="53">
        <f>VLOOKUP(Table4[[#This Row],[Gas Flow MMSCFD 
(Loss of revenue)]],conse.pa.!$B$3:$C$11,2,FALSE)</f>
        <v>3</v>
      </c>
    </row>
    <row r="79" spans="1:11" hidden="1">
      <c r="A79" s="84">
        <v>2</v>
      </c>
      <c r="B79" s="81">
        <v>66112</v>
      </c>
      <c r="C79" s="82" t="s">
        <v>257</v>
      </c>
      <c r="D79" s="49"/>
      <c r="E79" s="49"/>
      <c r="F79" s="49"/>
      <c r="G79" s="16">
        <v>4</v>
      </c>
      <c r="H79" s="16" t="s">
        <v>525</v>
      </c>
      <c r="J79" s="14">
        <f>VLOOKUP(Table4[[#This Row],[Population density]],conse.pa.!$B$3:$C$11,2,FALSE)</f>
        <v>7</v>
      </c>
      <c r="K79" s="53">
        <f>VLOOKUP(Table4[[#This Row],[Gas Flow MMSCFD 
(Loss of revenue)]],conse.pa.!$B$3:$C$11,2,FALSE)</f>
        <v>3</v>
      </c>
    </row>
    <row r="80" spans="1:11" hidden="1">
      <c r="A80" s="84">
        <v>2</v>
      </c>
      <c r="B80" s="81">
        <v>66203</v>
      </c>
      <c r="C80" s="82" t="s">
        <v>258</v>
      </c>
      <c r="D80" s="49"/>
      <c r="E80" s="49"/>
      <c r="F80" s="49"/>
      <c r="G80" s="16">
        <v>4</v>
      </c>
      <c r="H80" s="16" t="s">
        <v>525</v>
      </c>
      <c r="J80" s="14">
        <f>VLOOKUP(Table4[[#This Row],[Population density]],conse.pa.!$B$3:$C$11,2,FALSE)</f>
        <v>7</v>
      </c>
      <c r="K80" s="53">
        <f>VLOOKUP(Table4[[#This Row],[Gas Flow MMSCFD 
(Loss of revenue)]],conse.pa.!$B$3:$C$11,2,FALSE)</f>
        <v>3</v>
      </c>
    </row>
    <row r="81" spans="1:11" hidden="1">
      <c r="A81" s="80">
        <v>2</v>
      </c>
      <c r="B81" s="81">
        <v>662100001</v>
      </c>
      <c r="C81" s="82" t="s">
        <v>709</v>
      </c>
      <c r="D81" s="49"/>
      <c r="E81" s="49"/>
      <c r="F81" s="49"/>
      <c r="G81" s="16">
        <v>4</v>
      </c>
      <c r="H81" s="16" t="s">
        <v>525</v>
      </c>
      <c r="J81" s="14">
        <f>VLOOKUP(Table4[[#This Row],[Population density]],conse.pa.!$B$3:$C$11,2,FALSE)</f>
        <v>7</v>
      </c>
      <c r="K81" s="53">
        <f>VLOOKUP(Table4[[#This Row],[Gas Flow MMSCFD 
(Loss of revenue)]],conse.pa.!$B$3:$C$11,2,FALSE)</f>
        <v>3</v>
      </c>
    </row>
    <row r="82" spans="1:11" hidden="1">
      <c r="A82" s="80">
        <v>2</v>
      </c>
      <c r="B82" s="81">
        <v>66401001</v>
      </c>
      <c r="C82" s="82"/>
      <c r="D82" s="49"/>
      <c r="E82" s="49"/>
      <c r="F82" s="49"/>
      <c r="G82" s="16">
        <v>4</v>
      </c>
      <c r="H82" s="16" t="s">
        <v>525</v>
      </c>
      <c r="J82" s="14">
        <f>VLOOKUP(Table4[[#This Row],[Population density]],conse.pa.!$B$3:$C$11,2,FALSE)</f>
        <v>7</v>
      </c>
      <c r="K82" s="53">
        <f>VLOOKUP(Table4[[#This Row],[Gas Flow MMSCFD 
(Loss of revenue)]],conse.pa.!$B$3:$C$11,2,FALSE)</f>
        <v>3</v>
      </c>
    </row>
    <row r="83" spans="1:11" hidden="1">
      <c r="A83" s="80">
        <v>2</v>
      </c>
      <c r="B83" s="81">
        <v>66401002</v>
      </c>
      <c r="C83" s="82" t="s">
        <v>706</v>
      </c>
      <c r="D83" s="49"/>
      <c r="E83" s="49"/>
      <c r="F83" s="49"/>
      <c r="G83" s="16">
        <v>4</v>
      </c>
      <c r="H83" s="16" t="s">
        <v>525</v>
      </c>
      <c r="J83" s="14">
        <f>VLOOKUP(Table4[[#This Row],[Population density]],conse.pa.!$B$3:$C$11,2,FALSE)</f>
        <v>7</v>
      </c>
      <c r="K83" s="53">
        <f>VLOOKUP(Table4[[#This Row],[Gas Flow MMSCFD 
(Loss of revenue)]],conse.pa.!$B$3:$C$11,2,FALSE)</f>
        <v>3</v>
      </c>
    </row>
    <row r="84" spans="1:11" hidden="1">
      <c r="A84" s="80">
        <v>2</v>
      </c>
      <c r="B84" s="81">
        <v>6711</v>
      </c>
      <c r="C84" s="82"/>
      <c r="D84" s="49"/>
      <c r="E84" s="49"/>
      <c r="F84" s="49"/>
      <c r="G84" s="16">
        <v>4</v>
      </c>
      <c r="H84" s="16" t="s">
        <v>525</v>
      </c>
      <c r="J84" s="14">
        <f>VLOOKUP(Table4[[#This Row],[Population density]],conse.pa.!$B$3:$C$11,2,FALSE)</f>
        <v>7</v>
      </c>
      <c r="K84" s="53">
        <f>VLOOKUP(Table4[[#This Row],[Gas Flow MMSCFD 
(Loss of revenue)]],conse.pa.!$B$3:$C$11,2,FALSE)</f>
        <v>3</v>
      </c>
    </row>
    <row r="85" spans="1:11">
      <c r="A85" s="80">
        <v>2</v>
      </c>
      <c r="B85" s="81"/>
      <c r="C85" s="82" t="s">
        <v>680</v>
      </c>
      <c r="D85" s="49"/>
      <c r="E85" s="49"/>
      <c r="F85" s="49"/>
      <c r="G85" s="16">
        <v>4</v>
      </c>
      <c r="H85" s="16" t="s">
        <v>525</v>
      </c>
      <c r="J85" s="14">
        <f>VLOOKUP(Table4[[#This Row],[Population density]],conse.pa.!$B$3:$C$11,2,FALSE)</f>
        <v>7</v>
      </c>
      <c r="K85" s="53">
        <f>VLOOKUP(Table4[[#This Row],[Gas Flow MMSCFD 
(Loss of revenue)]],conse.pa.!$B$3:$C$11,2,FALSE)</f>
        <v>3</v>
      </c>
    </row>
    <row r="86" spans="1:11" hidden="1">
      <c r="A86" s="80">
        <v>2</v>
      </c>
      <c r="B86" s="81">
        <v>67111002</v>
      </c>
      <c r="C86" s="82" t="s">
        <v>682</v>
      </c>
      <c r="D86" s="49"/>
      <c r="E86" s="49"/>
      <c r="F86" s="49"/>
      <c r="G86" s="16">
        <v>4</v>
      </c>
      <c r="H86" s="16" t="s">
        <v>525</v>
      </c>
      <c r="J86" s="14">
        <f>VLOOKUP(Table4[[#This Row],[Population density]],conse.pa.!$B$3:$C$11,2,FALSE)</f>
        <v>7</v>
      </c>
      <c r="K86" s="53">
        <f>VLOOKUP(Table4[[#This Row],[Gas Flow MMSCFD 
(Loss of revenue)]],conse.pa.!$B$3:$C$11,2,FALSE)</f>
        <v>3</v>
      </c>
    </row>
    <row r="87" spans="1:11" hidden="1">
      <c r="A87" s="80">
        <v>2</v>
      </c>
      <c r="B87" s="81">
        <v>67111003</v>
      </c>
      <c r="C87" s="82" t="s">
        <v>684</v>
      </c>
      <c r="D87" s="49"/>
      <c r="E87" s="49"/>
      <c r="F87" s="49"/>
      <c r="G87" s="16">
        <v>4</v>
      </c>
      <c r="H87" s="16" t="s">
        <v>525</v>
      </c>
      <c r="J87" s="14">
        <f>VLOOKUP(Table4[[#This Row],[Population density]],conse.pa.!$B$3:$C$11,2,FALSE)</f>
        <v>7</v>
      </c>
      <c r="K87" s="53">
        <f>VLOOKUP(Table4[[#This Row],[Gas Flow MMSCFD 
(Loss of revenue)]],conse.pa.!$B$3:$C$11,2,FALSE)</f>
        <v>3</v>
      </c>
    </row>
    <row r="88" spans="1:11" hidden="1">
      <c r="A88" s="80">
        <v>2</v>
      </c>
      <c r="B88" s="81">
        <v>67111004</v>
      </c>
      <c r="C88" s="82" t="s">
        <v>686</v>
      </c>
      <c r="D88" s="49"/>
      <c r="E88" s="49"/>
      <c r="F88" s="49"/>
      <c r="G88" s="16">
        <v>4</v>
      </c>
      <c r="H88" s="16" t="s">
        <v>525</v>
      </c>
      <c r="J88" s="14">
        <f>VLOOKUP(Table4[[#This Row],[Population density]],conse.pa.!$B$3:$C$11,2,FALSE)</f>
        <v>7</v>
      </c>
      <c r="K88" s="53">
        <f>VLOOKUP(Table4[[#This Row],[Gas Flow MMSCFD 
(Loss of revenue)]],conse.pa.!$B$3:$C$11,2,FALSE)</f>
        <v>3</v>
      </c>
    </row>
    <row r="89" spans="1:11" hidden="1">
      <c r="A89" s="80">
        <v>2</v>
      </c>
      <c r="B89" s="81">
        <v>6712</v>
      </c>
      <c r="C89" s="82" t="s">
        <v>668</v>
      </c>
      <c r="D89" s="49"/>
      <c r="E89" s="49"/>
      <c r="F89" s="49"/>
      <c r="G89" s="16">
        <v>4</v>
      </c>
      <c r="H89" s="16" t="s">
        <v>525</v>
      </c>
      <c r="J89" s="14">
        <f>VLOOKUP(Table4[[#This Row],[Population density]],conse.pa.!$B$3:$C$11,2,FALSE)</f>
        <v>7</v>
      </c>
      <c r="K89" s="53">
        <f>VLOOKUP(Table4[[#This Row],[Gas Flow MMSCFD 
(Loss of revenue)]],conse.pa.!$B$3:$C$11,2,FALSE)</f>
        <v>3</v>
      </c>
    </row>
    <row r="90" spans="1:11" hidden="1">
      <c r="A90" s="84">
        <v>2</v>
      </c>
      <c r="B90" s="81">
        <v>67111</v>
      </c>
      <c r="C90" s="82" t="s">
        <v>259</v>
      </c>
      <c r="D90" s="49"/>
      <c r="E90" s="49"/>
      <c r="F90" s="49"/>
      <c r="G90" s="16">
        <v>4</v>
      </c>
      <c r="H90" s="16" t="s">
        <v>525</v>
      </c>
      <c r="J90" s="14">
        <f>VLOOKUP(Table4[[#This Row],[Population density]],conse.pa.!$B$3:$C$11,2,FALSE)</f>
        <v>7</v>
      </c>
      <c r="K90" s="53">
        <f>VLOOKUP(Table4[[#This Row],[Gas Flow MMSCFD 
(Loss of revenue)]],conse.pa.!$B$3:$C$11,2,FALSE)</f>
        <v>3</v>
      </c>
    </row>
    <row r="91" spans="1:11" hidden="1">
      <c r="A91" s="84">
        <v>2</v>
      </c>
      <c r="B91" s="81">
        <v>67121</v>
      </c>
      <c r="C91" s="82" t="s">
        <v>260</v>
      </c>
      <c r="D91" s="49"/>
      <c r="E91" s="49"/>
      <c r="F91" s="49"/>
      <c r="G91" s="16">
        <v>4</v>
      </c>
      <c r="H91" s="16" t="s">
        <v>525</v>
      </c>
      <c r="J91" s="14">
        <f>VLOOKUP(Table4[[#This Row],[Population density]],conse.pa.!$B$3:$C$11,2,FALSE)</f>
        <v>7</v>
      </c>
      <c r="K91" s="53">
        <f>VLOOKUP(Table4[[#This Row],[Gas Flow MMSCFD 
(Loss of revenue)]],conse.pa.!$B$3:$C$11,2,FALSE)</f>
        <v>3</v>
      </c>
    </row>
    <row r="92" spans="1:11" hidden="1">
      <c r="A92" s="84">
        <v>2</v>
      </c>
      <c r="B92" s="81">
        <v>67121</v>
      </c>
      <c r="C92" s="82" t="s">
        <v>669</v>
      </c>
      <c r="D92" s="49"/>
      <c r="E92" s="49"/>
      <c r="F92" s="49"/>
      <c r="G92" s="16">
        <v>4</v>
      </c>
      <c r="H92" s="16" t="s">
        <v>525</v>
      </c>
      <c r="J92" s="14">
        <f>VLOOKUP(Table4[[#This Row],[Population density]],conse.pa.!$B$3:$C$11,2,FALSE)</f>
        <v>7</v>
      </c>
      <c r="K92" s="53">
        <f>VLOOKUP(Table4[[#This Row],[Gas Flow MMSCFD 
(Loss of revenue)]],conse.pa.!$B$3:$C$11,2,FALSE)</f>
        <v>3</v>
      </c>
    </row>
    <row r="93" spans="1:11" hidden="1">
      <c r="A93" s="84">
        <v>2</v>
      </c>
      <c r="B93" s="81">
        <v>67121</v>
      </c>
      <c r="C93" s="82" t="s">
        <v>670</v>
      </c>
      <c r="D93" s="49"/>
      <c r="E93" s="49"/>
      <c r="F93" s="49"/>
      <c r="G93" s="16">
        <v>4</v>
      </c>
      <c r="H93" s="16" t="s">
        <v>525</v>
      </c>
      <c r="J93" s="14">
        <f>VLOOKUP(Table4[[#This Row],[Population density]],conse.pa.!$B$3:$C$11,2,FALSE)</f>
        <v>7</v>
      </c>
      <c r="K93" s="53">
        <f>VLOOKUP(Table4[[#This Row],[Gas Flow MMSCFD 
(Loss of revenue)]],conse.pa.!$B$3:$C$11,2,FALSE)</f>
        <v>3</v>
      </c>
    </row>
    <row r="94" spans="1:11" hidden="1">
      <c r="A94" s="80">
        <v>2</v>
      </c>
      <c r="B94" s="81">
        <v>6712101</v>
      </c>
      <c r="C94" s="82" t="s">
        <v>674</v>
      </c>
      <c r="D94" s="49"/>
      <c r="E94" s="49"/>
      <c r="F94" s="49"/>
      <c r="G94" s="16">
        <v>4</v>
      </c>
      <c r="H94" s="16" t="s">
        <v>525</v>
      </c>
      <c r="J94" s="14">
        <f>VLOOKUP(Table4[[#This Row],[Population density]],conse.pa.!$B$3:$C$11,2,FALSE)</f>
        <v>7</v>
      </c>
      <c r="K94" s="53">
        <f>VLOOKUP(Table4[[#This Row],[Gas Flow MMSCFD 
(Loss of revenue)]],conse.pa.!$B$3:$C$11,2,FALSE)</f>
        <v>3</v>
      </c>
    </row>
    <row r="95" spans="1:11" hidden="1">
      <c r="A95" s="80">
        <v>2</v>
      </c>
      <c r="B95" s="81">
        <v>671210103</v>
      </c>
      <c r="C95" s="82" t="s">
        <v>694</v>
      </c>
      <c r="D95" s="49"/>
      <c r="E95" s="49"/>
      <c r="F95" s="49"/>
      <c r="G95" s="16">
        <v>4</v>
      </c>
      <c r="H95" s="16" t="s">
        <v>525</v>
      </c>
      <c r="J95" s="14">
        <f>VLOOKUP(Table4[[#This Row],[Population density]],conse.pa.!$B$3:$C$11,2,FALSE)</f>
        <v>7</v>
      </c>
      <c r="K95" s="53">
        <f>VLOOKUP(Table4[[#This Row],[Gas Flow MMSCFD 
(Loss of revenue)]],conse.pa.!$B$3:$C$11,2,FALSE)</f>
        <v>3</v>
      </c>
    </row>
    <row r="96" spans="1:11" hidden="1">
      <c r="A96" s="80">
        <v>2</v>
      </c>
      <c r="B96" s="81">
        <v>671210104</v>
      </c>
      <c r="C96" s="82" t="s">
        <v>696</v>
      </c>
      <c r="D96" s="49"/>
      <c r="E96" s="49"/>
      <c r="F96" s="49"/>
      <c r="G96" s="16">
        <v>4</v>
      </c>
      <c r="H96" s="16" t="s">
        <v>525</v>
      </c>
      <c r="J96" s="14">
        <f>VLOOKUP(Table4[[#This Row],[Population density]],conse.pa.!$B$3:$C$11,2,FALSE)</f>
        <v>7</v>
      </c>
      <c r="K96" s="53">
        <f>VLOOKUP(Table4[[#This Row],[Gas Flow MMSCFD 
(Loss of revenue)]],conse.pa.!$B$3:$C$11,2,FALSE)</f>
        <v>3</v>
      </c>
    </row>
    <row r="97" spans="1:11" hidden="1">
      <c r="A97" s="80">
        <v>2</v>
      </c>
      <c r="B97" s="81">
        <v>6712102</v>
      </c>
      <c r="C97" s="82"/>
      <c r="D97" s="49"/>
      <c r="E97" s="49"/>
      <c r="F97" s="49"/>
      <c r="G97" s="16">
        <v>4</v>
      </c>
      <c r="H97" s="16" t="s">
        <v>525</v>
      </c>
      <c r="J97" s="14">
        <f>VLOOKUP(Table4[[#This Row],[Population density]],conse.pa.!$B$3:$C$11,2,FALSE)</f>
        <v>7</v>
      </c>
      <c r="K97" s="53">
        <f>VLOOKUP(Table4[[#This Row],[Gas Flow MMSCFD 
(Loss of revenue)]],conse.pa.!$B$3:$C$11,2,FALSE)</f>
        <v>3</v>
      </c>
    </row>
    <row r="98" spans="1:11" hidden="1">
      <c r="A98" s="80">
        <v>2</v>
      </c>
      <c r="B98" s="81">
        <v>671210201</v>
      </c>
      <c r="C98" s="82" t="s">
        <v>698</v>
      </c>
      <c r="D98" s="49"/>
      <c r="E98" s="49"/>
      <c r="F98" s="49"/>
      <c r="G98" s="16">
        <v>4</v>
      </c>
      <c r="H98" s="16" t="s">
        <v>525</v>
      </c>
      <c r="J98" s="14">
        <f>VLOOKUP(Table4[[#This Row],[Population density]],conse.pa.!$B$3:$C$11,2,FALSE)</f>
        <v>7</v>
      </c>
      <c r="K98" s="53">
        <f>VLOOKUP(Table4[[#This Row],[Gas Flow MMSCFD 
(Loss of revenue)]],conse.pa.!$B$3:$C$11,2,FALSE)</f>
        <v>3</v>
      </c>
    </row>
    <row r="99" spans="1:11" hidden="1">
      <c r="A99" s="80">
        <v>2</v>
      </c>
      <c r="B99" s="81">
        <v>671210202</v>
      </c>
      <c r="C99" s="82" t="s">
        <v>700</v>
      </c>
      <c r="D99" s="49"/>
      <c r="E99" s="49"/>
      <c r="F99" s="49"/>
      <c r="G99" s="16">
        <v>4</v>
      </c>
      <c r="H99" s="16" t="s">
        <v>525</v>
      </c>
      <c r="J99" s="14">
        <f>VLOOKUP(Table4[[#This Row],[Population density]],conse.pa.!$B$3:$C$11,2,FALSE)</f>
        <v>7</v>
      </c>
      <c r="K99" s="53">
        <f>VLOOKUP(Table4[[#This Row],[Gas Flow MMSCFD 
(Loss of revenue)]],conse.pa.!$B$3:$C$11,2,FALSE)</f>
        <v>3</v>
      </c>
    </row>
    <row r="100" spans="1:11">
      <c r="A100" s="80">
        <v>2</v>
      </c>
      <c r="B100" s="81"/>
      <c r="C100" s="82"/>
      <c r="D100" s="49"/>
      <c r="E100" s="49"/>
      <c r="F100" s="49"/>
      <c r="G100" s="16">
        <v>4</v>
      </c>
      <c r="H100" s="16" t="s">
        <v>525</v>
      </c>
      <c r="J100" s="14">
        <f>VLOOKUP(Table4[[#This Row],[Population density]],conse.pa.!$B$3:$C$11,2,FALSE)</f>
        <v>7</v>
      </c>
      <c r="K100" s="53">
        <f>VLOOKUP(Table4[[#This Row],[Gas Flow MMSCFD 
(Loss of revenue)]],conse.pa.!$B$3:$C$11,2,FALSE)</f>
        <v>3</v>
      </c>
    </row>
    <row r="101" spans="1:11" hidden="1">
      <c r="A101" s="80">
        <v>2</v>
      </c>
      <c r="B101" s="81">
        <v>671210301</v>
      </c>
      <c r="C101" s="82" t="s">
        <v>702</v>
      </c>
      <c r="D101" s="49"/>
      <c r="E101" s="49"/>
      <c r="F101" s="49"/>
      <c r="G101" s="16">
        <v>4</v>
      </c>
      <c r="H101" s="16" t="s">
        <v>525</v>
      </c>
      <c r="J101" s="14">
        <f>VLOOKUP(Table4[[#This Row],[Population density]],conse.pa.!$B$3:$C$11,2,FALSE)</f>
        <v>7</v>
      </c>
      <c r="K101" s="53">
        <f>VLOOKUP(Table4[[#This Row],[Gas Flow MMSCFD 
(Loss of revenue)]],conse.pa.!$B$3:$C$11,2,FALSE)</f>
        <v>3</v>
      </c>
    </row>
    <row r="102" spans="1:11" hidden="1">
      <c r="A102" s="80">
        <v>2</v>
      </c>
      <c r="B102" s="81">
        <v>671210401</v>
      </c>
      <c r="C102" s="82" t="s">
        <v>704</v>
      </c>
      <c r="D102" s="49"/>
      <c r="E102" s="49"/>
      <c r="F102" s="49"/>
      <c r="G102" s="16">
        <v>4</v>
      </c>
      <c r="H102" s="16" t="s">
        <v>525</v>
      </c>
      <c r="J102" s="14">
        <f>VLOOKUP(Table4[[#This Row],[Population density]],conse.pa.!$B$3:$C$11,2,FALSE)</f>
        <v>7</v>
      </c>
      <c r="K102" s="53">
        <f>VLOOKUP(Table4[[#This Row],[Gas Flow MMSCFD 
(Loss of revenue)]],conse.pa.!$B$3:$C$11,2,FALSE)</f>
        <v>3</v>
      </c>
    </row>
    <row r="103" spans="1:11" hidden="1">
      <c r="A103" s="80">
        <v>2</v>
      </c>
      <c r="B103" s="81">
        <v>6712104</v>
      </c>
      <c r="C103" s="82" t="s">
        <v>678</v>
      </c>
      <c r="D103" s="49"/>
      <c r="E103" s="49"/>
      <c r="F103" s="49"/>
      <c r="G103" s="16">
        <v>4</v>
      </c>
      <c r="H103" s="16" t="s">
        <v>525</v>
      </c>
      <c r="J103" s="14">
        <f>VLOOKUP(Table4[[#This Row],[Population density]],conse.pa.!$B$3:$C$11,2,FALSE)</f>
        <v>7</v>
      </c>
      <c r="K103" s="53">
        <f>VLOOKUP(Table4[[#This Row],[Gas Flow MMSCFD 
(Loss of revenue)]],conse.pa.!$B$3:$C$11,2,FALSE)</f>
        <v>3</v>
      </c>
    </row>
    <row r="104" spans="1:11" hidden="1">
      <c r="A104" s="80">
        <v>2</v>
      </c>
      <c r="B104" s="81">
        <v>6712105</v>
      </c>
      <c r="C104" s="82" t="s">
        <v>267</v>
      </c>
      <c r="D104" s="49"/>
      <c r="E104" s="49"/>
      <c r="F104" s="49"/>
      <c r="G104" s="16">
        <v>4</v>
      </c>
      <c r="H104" s="16" t="s">
        <v>525</v>
      </c>
      <c r="J104" s="14">
        <f>VLOOKUP(Table4[[#This Row],[Population density]],conse.pa.!$B$3:$C$11,2,FALSE)</f>
        <v>7</v>
      </c>
      <c r="K104" s="53">
        <f>VLOOKUP(Table4[[#This Row],[Gas Flow MMSCFD 
(Loss of revenue)]],conse.pa.!$B$3:$C$11,2,FALSE)</f>
        <v>3</v>
      </c>
    </row>
    <row r="105" spans="1:11" hidden="1">
      <c r="A105" s="80">
        <v>2</v>
      </c>
      <c r="B105" s="81">
        <v>67122</v>
      </c>
      <c r="C105" s="82" t="s">
        <v>672</v>
      </c>
      <c r="D105" s="49"/>
      <c r="E105" s="49"/>
      <c r="F105" s="49"/>
      <c r="G105" s="16">
        <v>4</v>
      </c>
      <c r="H105" s="16" t="s">
        <v>525</v>
      </c>
      <c r="J105" s="14">
        <f>VLOOKUP(Table4[[#This Row],[Population density]],conse.pa.!$B$3:$C$11,2,FALSE)</f>
        <v>7</v>
      </c>
      <c r="K105" s="53">
        <f>VLOOKUP(Table4[[#This Row],[Gas Flow MMSCFD 
(Loss of revenue)]],conse.pa.!$B$3:$C$11,2,FALSE)</f>
        <v>3</v>
      </c>
    </row>
    <row r="106" spans="1:11" hidden="1">
      <c r="A106" s="87">
        <v>2</v>
      </c>
      <c r="B106" s="88">
        <v>673010101</v>
      </c>
      <c r="C106" s="89" t="s">
        <v>718</v>
      </c>
      <c r="D106" s="49"/>
      <c r="E106" s="49"/>
      <c r="F106" s="49"/>
      <c r="G106" s="16">
        <v>4</v>
      </c>
      <c r="H106" s="16" t="s">
        <v>525</v>
      </c>
      <c r="J106" s="14">
        <f>VLOOKUP(Table4[[#This Row],[Population density]],conse.pa.!$B$3:$C$11,2,FALSE)</f>
        <v>7</v>
      </c>
      <c r="K106" s="53">
        <f>VLOOKUP(Table4[[#This Row],[Gas Flow MMSCFD 
(Loss of revenue)]],conse.pa.!$B$3:$C$11,2,FALSE)</f>
        <v>3</v>
      </c>
    </row>
    <row r="107" spans="1:11" hidden="1">
      <c r="A107" s="87">
        <v>2</v>
      </c>
      <c r="B107" s="88">
        <v>67303</v>
      </c>
      <c r="C107" s="89" t="s">
        <v>714</v>
      </c>
      <c r="D107" s="49"/>
      <c r="E107" s="49"/>
      <c r="F107" s="49"/>
      <c r="G107" s="16">
        <v>4</v>
      </c>
      <c r="H107" s="16" t="s">
        <v>525</v>
      </c>
      <c r="J107" s="14">
        <f>VLOOKUP(Table4[[#This Row],[Population density]],conse.pa.!$B$3:$C$11,2,FALSE)</f>
        <v>7</v>
      </c>
      <c r="K107" s="53">
        <f>VLOOKUP(Table4[[#This Row],[Gas Flow MMSCFD 
(Loss of revenue)]],conse.pa.!$B$3:$C$11,2,FALSE)</f>
        <v>3</v>
      </c>
    </row>
    <row r="108" spans="1:11" hidden="1">
      <c r="A108" s="84">
        <v>2</v>
      </c>
      <c r="B108" s="81">
        <v>67311</v>
      </c>
      <c r="C108" s="82" t="s">
        <v>261</v>
      </c>
      <c r="D108" s="49"/>
      <c r="E108" s="49"/>
      <c r="F108" s="49"/>
      <c r="G108" s="16">
        <v>4</v>
      </c>
      <c r="H108" s="16" t="s">
        <v>525</v>
      </c>
      <c r="J108" s="14">
        <f>VLOOKUP(Table4[[#This Row],[Population density]],conse.pa.!$B$3:$C$11,2,FALSE)</f>
        <v>7</v>
      </c>
      <c r="K108" s="53">
        <f>VLOOKUP(Table4[[#This Row],[Gas Flow MMSCFD 
(Loss of revenue)]],conse.pa.!$B$3:$C$11,2,FALSE)</f>
        <v>3</v>
      </c>
    </row>
    <row r="109" spans="1:11" hidden="1">
      <c r="A109" s="84">
        <v>2</v>
      </c>
      <c r="B109" s="81">
        <v>69211</v>
      </c>
      <c r="C109" s="82" t="s">
        <v>262</v>
      </c>
      <c r="D109" s="49"/>
      <c r="E109" s="49"/>
      <c r="F109" s="49"/>
      <c r="G109" s="16">
        <v>4</v>
      </c>
      <c r="H109" s="16" t="s">
        <v>525</v>
      </c>
      <c r="J109" s="14">
        <f>VLOOKUP(Table4[[#This Row],[Population density]],conse.pa.!$B$3:$C$11,2,FALSE)</f>
        <v>7</v>
      </c>
      <c r="K109" s="53">
        <f>VLOOKUP(Table4[[#This Row],[Gas Flow MMSCFD 
(Loss of revenue)]],conse.pa.!$B$3:$C$11,2,FALSE)</f>
        <v>3</v>
      </c>
    </row>
    <row r="110" spans="1:11" hidden="1">
      <c r="A110" s="84">
        <v>2</v>
      </c>
      <c r="B110" s="81">
        <v>671111</v>
      </c>
      <c r="C110" s="82" t="s">
        <v>263</v>
      </c>
      <c r="D110" s="49"/>
      <c r="E110" s="49"/>
      <c r="F110" s="49"/>
      <c r="G110" s="16">
        <v>4</v>
      </c>
      <c r="H110" s="16" t="s">
        <v>525</v>
      </c>
      <c r="J110" s="14">
        <f>VLOOKUP(Table4[[#This Row],[Population density]],conse.pa.!$B$3:$C$11,2,FALSE)</f>
        <v>7</v>
      </c>
      <c r="K110" s="53">
        <f>VLOOKUP(Table4[[#This Row],[Gas Flow MMSCFD 
(Loss of revenue)]],conse.pa.!$B$3:$C$11,2,FALSE)</f>
        <v>3</v>
      </c>
    </row>
    <row r="111" spans="1:11" hidden="1">
      <c r="A111" s="84">
        <v>2</v>
      </c>
      <c r="B111" s="81">
        <v>6360106</v>
      </c>
      <c r="C111" s="82" t="s">
        <v>264</v>
      </c>
      <c r="D111" s="49"/>
      <c r="E111" s="49"/>
      <c r="F111" s="49"/>
      <c r="G111" s="16">
        <v>4</v>
      </c>
      <c r="H111" s="16" t="s">
        <v>525</v>
      </c>
      <c r="J111" s="14">
        <f>VLOOKUP(Table4[[#This Row],[Population density]],conse.pa.!$B$3:$C$11,2,FALSE)</f>
        <v>7</v>
      </c>
      <c r="K111" s="53">
        <f>VLOOKUP(Table4[[#This Row],[Gas Flow MMSCFD 
(Loss of revenue)]],conse.pa.!$B$3:$C$11,2,FALSE)</f>
        <v>3</v>
      </c>
    </row>
    <row r="112" spans="1:11" hidden="1">
      <c r="A112" s="84">
        <v>2</v>
      </c>
      <c r="B112" s="81">
        <v>6582101</v>
      </c>
      <c r="C112" s="82" t="s">
        <v>265</v>
      </c>
      <c r="D112" s="49"/>
      <c r="E112" s="49"/>
      <c r="F112" s="49"/>
      <c r="G112" s="16">
        <v>4</v>
      </c>
      <c r="H112" s="16" t="s">
        <v>525</v>
      </c>
      <c r="J112" s="14">
        <f>VLOOKUP(Table4[[#This Row],[Population density]],conse.pa.!$B$3:$C$11,2,FALSE)</f>
        <v>7</v>
      </c>
      <c r="K112" s="53">
        <f>VLOOKUP(Table4[[#This Row],[Gas Flow MMSCFD 
(Loss of revenue)]],conse.pa.!$B$3:$C$11,2,FALSE)</f>
        <v>3</v>
      </c>
    </row>
    <row r="113" spans="1:11" hidden="1">
      <c r="A113" s="80">
        <v>2</v>
      </c>
      <c r="B113" s="81" t="s">
        <v>858</v>
      </c>
      <c r="C113" s="82" t="s">
        <v>622</v>
      </c>
      <c r="D113" s="49"/>
      <c r="E113" s="49"/>
      <c r="F113" s="49"/>
      <c r="G113" s="16">
        <v>4</v>
      </c>
      <c r="H113" s="16" t="s">
        <v>525</v>
      </c>
      <c r="J113" s="14">
        <f>VLOOKUP(Table4[[#This Row],[Population density]],conse.pa.!$B$3:$C$11,2,FALSE)</f>
        <v>7</v>
      </c>
      <c r="K113" s="53">
        <f>VLOOKUP(Table4[[#This Row],[Gas Flow MMSCFD 
(Loss of revenue)]],conse.pa.!$B$3:$C$11,2,FALSE)</f>
        <v>3</v>
      </c>
    </row>
    <row r="114" spans="1:11" hidden="1">
      <c r="A114" s="80">
        <v>2</v>
      </c>
      <c r="B114" s="81" t="s">
        <v>859</v>
      </c>
      <c r="C114" s="82" t="s">
        <v>624</v>
      </c>
      <c r="D114" s="49"/>
      <c r="E114" s="49"/>
      <c r="F114" s="49"/>
      <c r="G114" s="16">
        <v>4</v>
      </c>
      <c r="H114" s="16" t="s">
        <v>525</v>
      </c>
      <c r="J114" s="14">
        <f>VLOOKUP(Table4[[#This Row],[Population density]],conse.pa.!$B$3:$C$11,2,FALSE)</f>
        <v>7</v>
      </c>
      <c r="K114" s="53">
        <f>VLOOKUP(Table4[[#This Row],[Gas Flow MMSCFD 
(Loss of revenue)]],conse.pa.!$B$3:$C$11,2,FALSE)</f>
        <v>3</v>
      </c>
    </row>
    <row r="115" spans="1:11" hidden="1">
      <c r="A115" s="80">
        <v>2</v>
      </c>
      <c r="B115" s="81" t="s">
        <v>859</v>
      </c>
      <c r="C115" s="82"/>
      <c r="D115" s="49"/>
      <c r="E115" s="49"/>
      <c r="F115" s="49"/>
      <c r="G115" s="16">
        <v>4</v>
      </c>
      <c r="H115" s="16" t="s">
        <v>525</v>
      </c>
      <c r="J115" s="14">
        <f>VLOOKUP(Table4[[#This Row],[Population density]],conse.pa.!$B$3:$C$11,2,FALSE)</f>
        <v>7</v>
      </c>
      <c r="K115" s="53">
        <f>VLOOKUP(Table4[[#This Row],[Gas Flow MMSCFD 
(Loss of revenue)]],conse.pa.!$B$3:$C$11,2,FALSE)</f>
        <v>3</v>
      </c>
    </row>
    <row r="116" spans="1:11" hidden="1">
      <c r="A116" s="80">
        <v>2</v>
      </c>
      <c r="B116" s="81" t="s">
        <v>860</v>
      </c>
      <c r="C116" s="82" t="s">
        <v>628</v>
      </c>
      <c r="D116" s="49"/>
      <c r="E116" s="49"/>
      <c r="F116" s="49"/>
      <c r="G116" s="16">
        <v>4</v>
      </c>
      <c r="H116" s="16" t="s">
        <v>525</v>
      </c>
      <c r="J116" s="14">
        <f>VLOOKUP(Table4[[#This Row],[Population density]],conse.pa.!$B$3:$C$11,2,FALSE)</f>
        <v>7</v>
      </c>
      <c r="K116" s="53">
        <f>VLOOKUP(Table4[[#This Row],[Gas Flow MMSCFD 
(Loss of revenue)]],conse.pa.!$B$3:$C$11,2,FALSE)</f>
        <v>3</v>
      </c>
    </row>
    <row r="117" spans="1:11" hidden="1">
      <c r="A117" s="80">
        <v>2</v>
      </c>
      <c r="B117" s="81" t="s">
        <v>861</v>
      </c>
      <c r="C117" s="82" t="s">
        <v>630</v>
      </c>
      <c r="D117" s="49"/>
      <c r="E117" s="49"/>
      <c r="F117" s="49"/>
      <c r="G117" s="16">
        <v>4</v>
      </c>
      <c r="H117" s="16" t="s">
        <v>525</v>
      </c>
      <c r="J117" s="14">
        <f>VLOOKUP(Table4[[#This Row],[Population density]],conse.pa.!$B$3:$C$11,2,FALSE)</f>
        <v>7</v>
      </c>
      <c r="K117" s="53">
        <f>VLOOKUP(Table4[[#This Row],[Gas Flow MMSCFD 
(Loss of revenue)]],conse.pa.!$B$3:$C$11,2,FALSE)</f>
        <v>3</v>
      </c>
    </row>
    <row r="118" spans="1:11" hidden="1">
      <c r="A118" s="80">
        <v>2</v>
      </c>
      <c r="B118" s="81" t="s">
        <v>862</v>
      </c>
      <c r="C118" s="82" t="s">
        <v>632</v>
      </c>
      <c r="D118" s="49"/>
      <c r="E118" s="49"/>
      <c r="F118" s="49"/>
      <c r="G118" s="16">
        <v>4</v>
      </c>
      <c r="H118" s="16" t="s">
        <v>525</v>
      </c>
      <c r="J118" s="14">
        <f>VLOOKUP(Table4[[#This Row],[Population density]],conse.pa.!$B$3:$C$11,2,FALSE)</f>
        <v>7</v>
      </c>
      <c r="K118" s="53">
        <f>VLOOKUP(Table4[[#This Row],[Gas Flow MMSCFD 
(Loss of revenue)]],conse.pa.!$B$3:$C$11,2,FALSE)</f>
        <v>3</v>
      </c>
    </row>
    <row r="119" spans="1:11" hidden="1">
      <c r="A119" s="80">
        <v>2</v>
      </c>
      <c r="B119" s="81" t="s">
        <v>863</v>
      </c>
      <c r="C119" s="82" t="s">
        <v>634</v>
      </c>
      <c r="D119" s="49"/>
      <c r="E119" s="49"/>
      <c r="F119" s="49"/>
      <c r="G119" s="16">
        <v>4</v>
      </c>
      <c r="H119" s="16" t="s">
        <v>525</v>
      </c>
      <c r="J119" s="14">
        <f>VLOOKUP(Table4[[#This Row],[Population density]],conse.pa.!$B$3:$C$11,2,FALSE)</f>
        <v>7</v>
      </c>
      <c r="K119" s="53">
        <f>VLOOKUP(Table4[[#This Row],[Gas Flow MMSCFD 
(Loss of revenue)]],conse.pa.!$B$3:$C$11,2,FALSE)</f>
        <v>3</v>
      </c>
    </row>
    <row r="120" spans="1:11" hidden="1">
      <c r="A120" s="80">
        <v>2</v>
      </c>
      <c r="B120" s="81" t="s">
        <v>864</v>
      </c>
      <c r="C120" s="82" t="s">
        <v>636</v>
      </c>
      <c r="D120" s="49"/>
      <c r="E120" s="49"/>
      <c r="F120" s="49"/>
      <c r="G120" s="16">
        <v>4</v>
      </c>
      <c r="H120" s="16" t="s">
        <v>525</v>
      </c>
      <c r="J120" s="14">
        <f>VLOOKUP(Table4[[#This Row],[Population density]],conse.pa.!$B$3:$C$11,2,FALSE)</f>
        <v>7</v>
      </c>
      <c r="K120" s="53">
        <f>VLOOKUP(Table4[[#This Row],[Gas Flow MMSCFD 
(Loss of revenue)]],conse.pa.!$B$3:$C$11,2,FALSE)</f>
        <v>3</v>
      </c>
    </row>
    <row r="121" spans="1:11" hidden="1">
      <c r="A121" s="80">
        <v>2</v>
      </c>
      <c r="B121" s="81" t="s">
        <v>865</v>
      </c>
      <c r="C121" s="82" t="s">
        <v>638</v>
      </c>
      <c r="D121" s="49"/>
      <c r="E121" s="49"/>
      <c r="F121" s="49"/>
      <c r="G121" s="16">
        <v>4</v>
      </c>
      <c r="H121" s="16" t="s">
        <v>525</v>
      </c>
      <c r="J121" s="14">
        <f>VLOOKUP(Table4[[#This Row],[Population density]],conse.pa.!$B$3:$C$11,2,FALSE)</f>
        <v>7</v>
      </c>
      <c r="K121" s="53">
        <f>VLOOKUP(Table4[[#This Row],[Gas Flow MMSCFD 
(Loss of revenue)]],conse.pa.!$B$3:$C$11,2,FALSE)</f>
        <v>3</v>
      </c>
    </row>
    <row r="122" spans="1:11" hidden="1">
      <c r="A122" s="80">
        <v>2</v>
      </c>
      <c r="B122" s="81" t="s">
        <v>866</v>
      </c>
      <c r="C122" s="82"/>
      <c r="D122" s="49"/>
      <c r="E122" s="49"/>
      <c r="F122" s="49"/>
      <c r="G122" s="16">
        <v>4</v>
      </c>
      <c r="H122" s="16" t="s">
        <v>525</v>
      </c>
      <c r="J122" s="14">
        <f>VLOOKUP(Table4[[#This Row],[Population density]],conse.pa.!$B$3:$C$11,2,FALSE)</f>
        <v>7</v>
      </c>
      <c r="K122" s="53">
        <f>VLOOKUP(Table4[[#This Row],[Gas Flow MMSCFD 
(Loss of revenue)]],conse.pa.!$B$3:$C$11,2,FALSE)</f>
        <v>3</v>
      </c>
    </row>
    <row r="123" spans="1:11" hidden="1">
      <c r="A123" s="80">
        <v>2</v>
      </c>
      <c r="B123" s="81" t="s">
        <v>867</v>
      </c>
      <c r="C123" s="82" t="s">
        <v>640</v>
      </c>
      <c r="D123" s="49"/>
      <c r="E123" s="49"/>
      <c r="F123" s="49"/>
      <c r="G123" s="16">
        <v>4</v>
      </c>
      <c r="H123" s="16" t="s">
        <v>525</v>
      </c>
      <c r="J123" s="14">
        <f>VLOOKUP(Table4[[#This Row],[Population density]],conse.pa.!$B$3:$C$11,2,FALSE)</f>
        <v>7</v>
      </c>
      <c r="K123" s="53">
        <f>VLOOKUP(Table4[[#This Row],[Gas Flow MMSCFD 
(Loss of revenue)]],conse.pa.!$B$3:$C$11,2,FALSE)</f>
        <v>3</v>
      </c>
    </row>
    <row r="124" spans="1:11" hidden="1">
      <c r="A124" s="80">
        <v>2</v>
      </c>
      <c r="B124" s="81" t="s">
        <v>868</v>
      </c>
      <c r="C124" s="82" t="s">
        <v>642</v>
      </c>
      <c r="D124" s="49"/>
      <c r="E124" s="49"/>
      <c r="F124" s="49"/>
      <c r="G124" s="16">
        <v>4</v>
      </c>
      <c r="H124" s="16" t="s">
        <v>525</v>
      </c>
      <c r="J124" s="14">
        <f>VLOOKUP(Table4[[#This Row],[Population density]],conse.pa.!$B$3:$C$11,2,FALSE)</f>
        <v>7</v>
      </c>
      <c r="K124" s="53">
        <f>VLOOKUP(Table4[[#This Row],[Gas Flow MMSCFD 
(Loss of revenue)]],conse.pa.!$B$3:$C$11,2,FALSE)</f>
        <v>3</v>
      </c>
    </row>
    <row r="125" spans="1:11" hidden="1">
      <c r="A125" s="80">
        <v>2</v>
      </c>
      <c r="B125" s="81" t="s">
        <v>869</v>
      </c>
      <c r="C125" s="82" t="s">
        <v>644</v>
      </c>
      <c r="D125" s="49"/>
      <c r="E125" s="49"/>
      <c r="F125" s="49"/>
      <c r="G125" s="16">
        <v>4</v>
      </c>
      <c r="H125" s="16" t="s">
        <v>525</v>
      </c>
      <c r="J125" s="14">
        <f>VLOOKUP(Table4[[#This Row],[Population density]],conse.pa.!$B$3:$C$11,2,FALSE)</f>
        <v>7</v>
      </c>
      <c r="K125" s="53">
        <f>VLOOKUP(Table4[[#This Row],[Gas Flow MMSCFD 
(Loss of revenue)]],conse.pa.!$B$3:$C$11,2,FALSE)</f>
        <v>3</v>
      </c>
    </row>
    <row r="126" spans="1:11" hidden="1">
      <c r="A126" s="80">
        <v>2</v>
      </c>
      <c r="B126" s="81" t="s">
        <v>870</v>
      </c>
      <c r="C126" s="82" t="s">
        <v>646</v>
      </c>
      <c r="D126" s="49"/>
      <c r="E126" s="49"/>
      <c r="F126" s="49"/>
      <c r="G126" s="16">
        <v>4</v>
      </c>
      <c r="H126" s="16" t="s">
        <v>525</v>
      </c>
      <c r="J126" s="14">
        <f>VLOOKUP(Table4[[#This Row],[Population density]],conse.pa.!$B$3:$C$11,2,FALSE)</f>
        <v>7</v>
      </c>
      <c r="K126" s="53">
        <f>VLOOKUP(Table4[[#This Row],[Gas Flow MMSCFD 
(Loss of revenue)]],conse.pa.!$B$3:$C$11,2,FALSE)</f>
        <v>3</v>
      </c>
    </row>
    <row r="127" spans="1:11" hidden="1">
      <c r="A127" s="80">
        <v>2</v>
      </c>
      <c r="B127" s="81" t="s">
        <v>871</v>
      </c>
      <c r="C127" s="82" t="s">
        <v>648</v>
      </c>
      <c r="D127" s="49"/>
      <c r="E127" s="49"/>
      <c r="F127" s="49"/>
      <c r="G127" s="16">
        <v>4</v>
      </c>
      <c r="H127" s="16" t="s">
        <v>525</v>
      </c>
      <c r="J127" s="14">
        <f>VLOOKUP(Table4[[#This Row],[Population density]],conse.pa.!$B$3:$C$11,2,FALSE)</f>
        <v>7</v>
      </c>
      <c r="K127" s="53">
        <f>VLOOKUP(Table4[[#This Row],[Gas Flow MMSCFD 
(Loss of revenue)]],conse.pa.!$B$3:$C$11,2,FALSE)</f>
        <v>3</v>
      </c>
    </row>
    <row r="128" spans="1:11" hidden="1">
      <c r="A128" s="80">
        <v>2</v>
      </c>
      <c r="B128" s="81" t="s">
        <v>872</v>
      </c>
      <c r="C128" s="82" t="s">
        <v>650</v>
      </c>
      <c r="D128" s="49"/>
      <c r="E128" s="49"/>
      <c r="F128" s="49"/>
      <c r="G128" s="16">
        <v>4</v>
      </c>
      <c r="H128" s="16" t="s">
        <v>525</v>
      </c>
      <c r="J128" s="14">
        <f>VLOOKUP(Table4[[#This Row],[Population density]],conse.pa.!$B$3:$C$11,2,FALSE)</f>
        <v>7</v>
      </c>
      <c r="K128" s="53">
        <f>VLOOKUP(Table4[[#This Row],[Gas Flow MMSCFD 
(Loss of revenue)]],conse.pa.!$B$3:$C$11,2,FALSE)</f>
        <v>3</v>
      </c>
    </row>
    <row r="129" spans="1:11" hidden="1">
      <c r="A129" s="80">
        <v>2</v>
      </c>
      <c r="B129" s="81" t="s">
        <v>873</v>
      </c>
      <c r="C129" s="82" t="s">
        <v>652</v>
      </c>
      <c r="D129" s="49"/>
      <c r="E129" s="49"/>
      <c r="F129" s="49"/>
      <c r="G129" s="16">
        <v>4</v>
      </c>
      <c r="H129" s="16" t="s">
        <v>525</v>
      </c>
      <c r="J129" s="14">
        <f>VLOOKUP(Table4[[#This Row],[Population density]],conse.pa.!$B$3:$C$11,2,FALSE)</f>
        <v>7</v>
      </c>
      <c r="K129" s="53">
        <f>VLOOKUP(Table4[[#This Row],[Gas Flow MMSCFD 
(Loss of revenue)]],conse.pa.!$B$3:$C$11,2,FALSE)</f>
        <v>3</v>
      </c>
    </row>
    <row r="130" spans="1:11" hidden="1">
      <c r="A130" s="80">
        <v>2</v>
      </c>
      <c r="B130" s="81" t="s">
        <v>874</v>
      </c>
      <c r="C130" s="82" t="s">
        <v>723</v>
      </c>
      <c r="D130" s="49"/>
      <c r="E130" s="49"/>
      <c r="F130" s="49"/>
      <c r="G130" s="16">
        <v>4</v>
      </c>
      <c r="H130" s="16" t="s">
        <v>525</v>
      </c>
      <c r="J130" s="14">
        <f>VLOOKUP(Table4[[#This Row],[Population density]],conse.pa.!$B$3:$C$11,2,FALSE)</f>
        <v>7</v>
      </c>
      <c r="K130" s="53">
        <f>VLOOKUP(Table4[[#This Row],[Gas Flow MMSCFD 
(Loss of revenue)]],conse.pa.!$B$3:$C$11,2,FALSE)</f>
        <v>3</v>
      </c>
    </row>
    <row r="131" spans="1:11" hidden="1">
      <c r="A131" s="80">
        <v>2</v>
      </c>
      <c r="B131" s="81" t="s">
        <v>875</v>
      </c>
      <c r="C131" s="82" t="s">
        <v>654</v>
      </c>
      <c r="D131" s="49"/>
      <c r="E131" s="49"/>
      <c r="F131" s="49"/>
      <c r="G131" s="16">
        <v>4</v>
      </c>
      <c r="H131" s="16" t="s">
        <v>525</v>
      </c>
      <c r="J131" s="14">
        <f>VLOOKUP(Table4[[#This Row],[Population density]],conse.pa.!$B$3:$C$11,2,FALSE)</f>
        <v>7</v>
      </c>
      <c r="K131" s="53">
        <f>VLOOKUP(Table4[[#This Row],[Gas Flow MMSCFD 
(Loss of revenue)]],conse.pa.!$B$3:$C$11,2,FALSE)</f>
        <v>3</v>
      </c>
    </row>
    <row r="132" spans="1:11" hidden="1">
      <c r="A132" s="80">
        <v>2</v>
      </c>
      <c r="B132" s="81" t="s">
        <v>876</v>
      </c>
      <c r="C132" s="82"/>
      <c r="D132" s="49"/>
      <c r="E132" s="49"/>
      <c r="F132" s="49"/>
      <c r="G132" s="16">
        <v>4</v>
      </c>
      <c r="H132" s="16" t="s">
        <v>525</v>
      </c>
      <c r="J132" s="14">
        <f>VLOOKUP(Table4[[#This Row],[Population density]],conse.pa.!$B$3:$C$11,2,FALSE)</f>
        <v>7</v>
      </c>
      <c r="K132" s="53">
        <f>VLOOKUP(Table4[[#This Row],[Gas Flow MMSCFD 
(Loss of revenue)]],conse.pa.!$B$3:$C$11,2,FALSE)</f>
        <v>3</v>
      </c>
    </row>
    <row r="133" spans="1:11" hidden="1">
      <c r="A133" s="80">
        <v>2</v>
      </c>
      <c r="B133" s="81" t="s">
        <v>877</v>
      </c>
      <c r="C133" s="82" t="s">
        <v>656</v>
      </c>
      <c r="D133" s="49"/>
      <c r="E133" s="49"/>
      <c r="F133" s="49"/>
      <c r="G133" s="16">
        <v>4</v>
      </c>
      <c r="H133" s="16" t="s">
        <v>525</v>
      </c>
      <c r="J133" s="14">
        <f>VLOOKUP(Table4[[#This Row],[Population density]],conse.pa.!$B$3:$C$11,2,FALSE)</f>
        <v>7</v>
      </c>
      <c r="K133" s="53">
        <f>VLOOKUP(Table4[[#This Row],[Gas Flow MMSCFD 
(Loss of revenue)]],conse.pa.!$B$3:$C$11,2,FALSE)</f>
        <v>3</v>
      </c>
    </row>
    <row r="134" spans="1:11" hidden="1">
      <c r="A134" s="87">
        <v>2</v>
      </c>
      <c r="B134" s="88" t="s">
        <v>878</v>
      </c>
      <c r="C134" s="89" t="s">
        <v>720</v>
      </c>
      <c r="D134" s="49"/>
      <c r="E134" s="49"/>
      <c r="F134" s="49"/>
      <c r="G134" s="16">
        <v>4</v>
      </c>
      <c r="H134" s="16" t="s">
        <v>525</v>
      </c>
      <c r="J134" s="14">
        <f>VLOOKUP(Table4[[#This Row],[Population density]],conse.pa.!$B$3:$C$11,2,FALSE)</f>
        <v>7</v>
      </c>
      <c r="K134" s="53">
        <f>VLOOKUP(Table4[[#This Row],[Gas Flow MMSCFD 
(Loss of revenue)]],conse.pa.!$B$3:$C$11,2,FALSE)</f>
        <v>3</v>
      </c>
    </row>
    <row r="135" spans="1:11" hidden="1">
      <c r="A135" s="80">
        <v>2</v>
      </c>
      <c r="B135" s="81" t="s">
        <v>879</v>
      </c>
      <c r="C135" s="82" t="s">
        <v>658</v>
      </c>
      <c r="D135" s="49"/>
      <c r="E135" s="49"/>
      <c r="F135" s="49"/>
      <c r="G135" s="16">
        <v>4</v>
      </c>
      <c r="H135" s="16" t="s">
        <v>525</v>
      </c>
      <c r="J135" s="14">
        <f>VLOOKUP(Table4[[#This Row],[Population density]],conse.pa.!$B$3:$C$11,2,FALSE)</f>
        <v>7</v>
      </c>
      <c r="K135" s="53">
        <f>VLOOKUP(Table4[[#This Row],[Gas Flow MMSCFD 
(Loss of revenue)]],conse.pa.!$B$3:$C$11,2,FALSE)</f>
        <v>3</v>
      </c>
    </row>
    <row r="136" spans="1:11" hidden="1">
      <c r="A136" s="80">
        <v>2</v>
      </c>
      <c r="B136" s="81" t="s">
        <v>880</v>
      </c>
      <c r="C136" s="82" t="s">
        <v>724</v>
      </c>
      <c r="D136" s="49"/>
      <c r="E136" s="49"/>
      <c r="F136" s="49"/>
      <c r="G136" s="16">
        <v>4</v>
      </c>
      <c r="H136" s="16" t="s">
        <v>525</v>
      </c>
      <c r="J136" s="14">
        <f>VLOOKUP(Table4[[#This Row],[Population density]],conse.pa.!$B$3:$C$11,2,FALSE)</f>
        <v>7</v>
      </c>
      <c r="K136" s="53">
        <f>VLOOKUP(Table4[[#This Row],[Gas Flow MMSCFD 
(Loss of revenue)]],conse.pa.!$B$3:$C$11,2,FALSE)</f>
        <v>3</v>
      </c>
    </row>
    <row r="137" spans="1:11" hidden="1">
      <c r="A137" s="84">
        <v>2</v>
      </c>
      <c r="B137" s="81" t="s">
        <v>881</v>
      </c>
      <c r="C137" s="82" t="s">
        <v>266</v>
      </c>
      <c r="D137" s="49"/>
      <c r="E137" s="49"/>
      <c r="F137" s="49"/>
      <c r="G137" s="16">
        <v>4</v>
      </c>
      <c r="H137" s="16" t="s">
        <v>525</v>
      </c>
      <c r="J137" s="14">
        <f>VLOOKUP(Table4[[#This Row],[Population density]],conse.pa.!$B$3:$C$11,2,FALSE)</f>
        <v>7</v>
      </c>
      <c r="K137" s="53">
        <f>VLOOKUP(Table4[[#This Row],[Gas Flow MMSCFD 
(Loss of revenue)]],conse.pa.!$B$3:$C$11,2,FALSE)</f>
        <v>3</v>
      </c>
    </row>
    <row r="138" spans="1:11" hidden="1">
      <c r="A138" s="80">
        <v>2</v>
      </c>
      <c r="B138" s="81" t="s">
        <v>882</v>
      </c>
      <c r="C138" s="82" t="s">
        <v>660</v>
      </c>
      <c r="D138" s="49"/>
      <c r="E138" s="49"/>
      <c r="F138" s="49"/>
      <c r="G138" s="16">
        <v>4</v>
      </c>
      <c r="H138" s="16" t="s">
        <v>525</v>
      </c>
      <c r="J138" s="14">
        <f>VLOOKUP(Table4[[#This Row],[Population density]],conse.pa.!$B$3:$C$11,2,FALSE)</f>
        <v>7</v>
      </c>
      <c r="K138" s="53">
        <f>VLOOKUP(Table4[[#This Row],[Gas Flow MMSCFD 
(Loss of revenue)]],conse.pa.!$B$3:$C$11,2,FALSE)</f>
        <v>3</v>
      </c>
    </row>
    <row r="139" spans="1:11" hidden="1">
      <c r="A139" s="80">
        <v>2</v>
      </c>
      <c r="B139" s="81" t="s">
        <v>883</v>
      </c>
      <c r="C139" s="82" t="s">
        <v>662</v>
      </c>
      <c r="D139" s="49"/>
      <c r="E139" s="49"/>
      <c r="F139" s="49"/>
      <c r="G139" s="16">
        <v>4</v>
      </c>
      <c r="H139" s="16" t="s">
        <v>525</v>
      </c>
      <c r="J139" s="14">
        <f>VLOOKUP(Table4[[#This Row],[Population density]],conse.pa.!$B$3:$C$11,2,FALSE)</f>
        <v>7</v>
      </c>
      <c r="K139" s="53">
        <f>VLOOKUP(Table4[[#This Row],[Gas Flow MMSCFD 
(Loss of revenue)]],conse.pa.!$B$3:$C$11,2,FALSE)</f>
        <v>3</v>
      </c>
    </row>
    <row r="140" spans="1:11" hidden="1">
      <c r="A140" s="87">
        <v>2</v>
      </c>
      <c r="B140" s="88" t="s">
        <v>884</v>
      </c>
      <c r="C140" s="89" t="s">
        <v>722</v>
      </c>
      <c r="D140" s="49"/>
      <c r="E140" s="49"/>
      <c r="F140" s="49"/>
      <c r="G140" s="16">
        <v>4</v>
      </c>
      <c r="H140" s="16" t="s">
        <v>525</v>
      </c>
      <c r="J140" s="14">
        <f>VLOOKUP(Table4[[#This Row],[Population density]],conse.pa.!$B$3:$C$11,2,FALSE)</f>
        <v>7</v>
      </c>
      <c r="K140" s="53">
        <f>VLOOKUP(Table4[[#This Row],[Gas Flow MMSCFD 
(Loss of revenue)]],conse.pa.!$B$3:$C$11,2,FALSE)</f>
        <v>3</v>
      </c>
    </row>
    <row r="141" spans="1:11" hidden="1">
      <c r="A141" s="80">
        <v>2</v>
      </c>
      <c r="B141" s="81" t="s">
        <v>885</v>
      </c>
      <c r="C141" s="82" t="s">
        <v>664</v>
      </c>
      <c r="D141" s="49"/>
      <c r="E141" s="49"/>
      <c r="F141" s="49"/>
      <c r="G141" s="16">
        <v>4</v>
      </c>
      <c r="H141" s="16" t="s">
        <v>525</v>
      </c>
      <c r="J141" s="14">
        <f>VLOOKUP(Table4[[#This Row],[Population density]],conse.pa.!$B$3:$C$11,2,FALSE)</f>
        <v>7</v>
      </c>
      <c r="K141" s="53">
        <f>VLOOKUP(Table4[[#This Row],[Gas Flow MMSCFD 
(Loss of revenue)]],conse.pa.!$B$3:$C$11,2,FALSE)</f>
        <v>3</v>
      </c>
    </row>
    <row r="142" spans="1:11" hidden="1">
      <c r="A142" s="80">
        <v>2</v>
      </c>
      <c r="B142" s="81" t="s">
        <v>885</v>
      </c>
      <c r="C142" s="82" t="s">
        <v>665</v>
      </c>
      <c r="D142" s="49"/>
      <c r="E142" s="49"/>
      <c r="F142" s="49"/>
      <c r="G142" s="16">
        <v>4</v>
      </c>
      <c r="H142" s="16" t="s">
        <v>525</v>
      </c>
      <c r="J142" s="14">
        <f>VLOOKUP(Table4[[#This Row],[Population density]],conse.pa.!$B$3:$C$11,2,FALSE)</f>
        <v>7</v>
      </c>
      <c r="K142" s="53">
        <f>VLOOKUP(Table4[[#This Row],[Gas Flow MMSCFD 
(Loss of revenue)]],conse.pa.!$B$3:$C$11,2,FALSE)</f>
        <v>3</v>
      </c>
    </row>
    <row r="143" spans="1:11" hidden="1">
      <c r="A143" s="87">
        <v>2</v>
      </c>
      <c r="B143" s="88" t="s">
        <v>886</v>
      </c>
      <c r="C143" s="89" t="s">
        <v>250</v>
      </c>
      <c r="D143" s="49"/>
      <c r="E143" s="49"/>
      <c r="F143" s="49"/>
      <c r="G143" s="16">
        <v>4</v>
      </c>
      <c r="H143" s="16" t="s">
        <v>525</v>
      </c>
      <c r="J143" s="14">
        <f>VLOOKUP(Table4[[#This Row],[Population density]],conse.pa.!$B$3:$C$11,2,FALSE)</f>
        <v>7</v>
      </c>
      <c r="K143" s="53">
        <f>VLOOKUP(Table4[[#This Row],[Gas Flow MMSCFD 
(Loss of revenue)]],conse.pa.!$B$3:$C$11,2,FALSE)</f>
        <v>3</v>
      </c>
    </row>
    <row r="144" spans="1:11" hidden="1">
      <c r="A144" s="87">
        <v>2</v>
      </c>
      <c r="B144" s="88" t="s">
        <v>887</v>
      </c>
      <c r="C144" s="89" t="s">
        <v>716</v>
      </c>
      <c r="D144" s="49"/>
      <c r="E144" s="49"/>
      <c r="F144" s="49"/>
      <c r="G144" s="16">
        <v>4</v>
      </c>
      <c r="H144" s="16" t="s">
        <v>525</v>
      </c>
      <c r="J144" s="14">
        <f>VLOOKUP(Table4[[#This Row],[Population density]],conse.pa.!$B$3:$C$11,2,FALSE)</f>
        <v>7</v>
      </c>
      <c r="K144" s="53">
        <f>VLOOKUP(Table4[[#This Row],[Gas Flow MMSCFD 
(Loss of revenue)]],conse.pa.!$B$3:$C$11,2,FALSE)</f>
        <v>3</v>
      </c>
    </row>
    <row r="145" spans="1:11" hidden="1">
      <c r="A145" s="84">
        <v>2</v>
      </c>
      <c r="B145" s="81">
        <v>6731101</v>
      </c>
      <c r="C145" s="82" t="s">
        <v>268</v>
      </c>
      <c r="D145" s="49"/>
      <c r="E145" s="49"/>
      <c r="F145" s="49"/>
      <c r="G145" s="16">
        <v>4</v>
      </c>
      <c r="H145" s="16" t="s">
        <v>525</v>
      </c>
      <c r="J145" s="14">
        <f>VLOOKUP(Table4[[#This Row],[Population density]],conse.pa.!$B$3:$C$11,2,FALSE)</f>
        <v>7</v>
      </c>
      <c r="K145" s="53">
        <f>VLOOKUP(Table4[[#This Row],[Gas Flow MMSCFD 
(Loss of revenue)]],conse.pa.!$B$3:$C$11,2,FALSE)</f>
        <v>3</v>
      </c>
    </row>
    <row r="146" spans="1:11" hidden="1">
      <c r="A146" s="84">
        <v>2</v>
      </c>
      <c r="B146" s="81">
        <v>6921101</v>
      </c>
      <c r="C146" s="82" t="s">
        <v>269</v>
      </c>
      <c r="D146" s="49"/>
      <c r="E146" s="49"/>
      <c r="F146" s="49"/>
      <c r="G146" s="16">
        <v>4</v>
      </c>
      <c r="H146" s="16" t="s">
        <v>525</v>
      </c>
      <c r="J146" s="14">
        <f>VLOOKUP(Table4[[#This Row],[Population density]],conse.pa.!$B$3:$C$11,2,FALSE)</f>
        <v>7</v>
      </c>
      <c r="K146" s="53">
        <f>VLOOKUP(Table4[[#This Row],[Gas Flow MMSCFD 
(Loss of revenue)]],conse.pa.!$B$3:$C$11,2,FALSE)</f>
        <v>3</v>
      </c>
    </row>
    <row r="147" spans="1:11" hidden="1">
      <c r="A147" s="84">
        <v>2</v>
      </c>
      <c r="B147" s="81">
        <v>67210001</v>
      </c>
      <c r="C147" s="82" t="s">
        <v>270</v>
      </c>
      <c r="D147" s="49"/>
      <c r="E147" s="49"/>
      <c r="F147" s="49"/>
      <c r="G147" s="16">
        <v>4</v>
      </c>
      <c r="H147" s="16" t="s">
        <v>525</v>
      </c>
      <c r="J147" s="14">
        <f>VLOOKUP(Table4[[#This Row],[Population density]],conse.pa.!$B$3:$C$11,2,FALSE)</f>
        <v>7</v>
      </c>
      <c r="K147" s="53">
        <f>VLOOKUP(Table4[[#This Row],[Gas Flow MMSCFD 
(Loss of revenue)]],conse.pa.!$B$3:$C$11,2,FALSE)</f>
        <v>3</v>
      </c>
    </row>
    <row r="148" spans="1:11" hidden="1">
      <c r="A148" s="84">
        <v>2</v>
      </c>
      <c r="B148" s="81">
        <v>67210002</v>
      </c>
      <c r="C148" s="82" t="s">
        <v>271</v>
      </c>
      <c r="D148" s="49"/>
      <c r="E148" s="49"/>
      <c r="F148" s="49"/>
      <c r="G148" s="16">
        <v>4</v>
      </c>
      <c r="H148" s="16" t="s">
        <v>525</v>
      </c>
      <c r="J148" s="14">
        <f>VLOOKUP(Table4[[#This Row],[Population density]],conse.pa.!$B$3:$C$11,2,FALSE)</f>
        <v>7</v>
      </c>
      <c r="K148" s="53">
        <f>VLOOKUP(Table4[[#This Row],[Gas Flow MMSCFD 
(Loss of revenue)]],conse.pa.!$B$3:$C$11,2,FALSE)</f>
        <v>3</v>
      </c>
    </row>
    <row r="149" spans="1:11" hidden="1">
      <c r="A149" s="84">
        <v>2</v>
      </c>
      <c r="B149" s="81">
        <v>658110001</v>
      </c>
      <c r="C149" s="82" t="s">
        <v>272</v>
      </c>
      <c r="D149" s="49"/>
      <c r="E149" s="49"/>
      <c r="F149" s="49"/>
      <c r="G149" s="16">
        <v>4</v>
      </c>
      <c r="H149" s="16" t="s">
        <v>525</v>
      </c>
      <c r="J149" s="14">
        <f>VLOOKUP(Table4[[#This Row],[Population density]],conse.pa.!$B$3:$C$11,2,FALSE)</f>
        <v>7</v>
      </c>
      <c r="K149" s="53">
        <f>VLOOKUP(Table4[[#This Row],[Gas Flow MMSCFD 
(Loss of revenue)]],conse.pa.!$B$3:$C$11,2,FALSE)</f>
        <v>3</v>
      </c>
    </row>
    <row r="150" spans="1:11" hidden="1">
      <c r="A150" s="84">
        <v>2</v>
      </c>
      <c r="B150" s="81">
        <v>658110002</v>
      </c>
      <c r="C150" s="82" t="s">
        <v>273</v>
      </c>
      <c r="D150" s="49"/>
      <c r="E150" s="49"/>
      <c r="F150" s="49"/>
      <c r="G150" s="16">
        <v>4</v>
      </c>
      <c r="H150" s="16" t="s">
        <v>525</v>
      </c>
      <c r="J150" s="14">
        <f>VLOOKUP(Table4[[#This Row],[Population density]],conse.pa.!$B$3:$C$11,2,FALSE)</f>
        <v>7</v>
      </c>
      <c r="K150" s="53">
        <f>VLOOKUP(Table4[[#This Row],[Gas Flow MMSCFD 
(Loss of revenue)]],conse.pa.!$B$3:$C$11,2,FALSE)</f>
        <v>3</v>
      </c>
    </row>
    <row r="151" spans="1:11" hidden="1">
      <c r="A151" s="84">
        <v>2</v>
      </c>
      <c r="B151" s="81">
        <v>661110201</v>
      </c>
      <c r="C151" s="82" t="s">
        <v>274</v>
      </c>
      <c r="D151" s="49"/>
      <c r="E151" s="49"/>
      <c r="F151" s="49"/>
      <c r="G151" s="16">
        <v>4</v>
      </c>
      <c r="H151" s="16" t="s">
        <v>525</v>
      </c>
      <c r="J151" s="14">
        <f>VLOOKUP(Table4[[#This Row],[Population density]],conse.pa.!$B$3:$C$11,2,FALSE)</f>
        <v>7</v>
      </c>
      <c r="K151" s="53">
        <f>VLOOKUP(Table4[[#This Row],[Gas Flow MMSCFD 
(Loss of revenue)]],conse.pa.!$B$3:$C$11,2,FALSE)</f>
        <v>3</v>
      </c>
    </row>
    <row r="152" spans="1:11" hidden="1">
      <c r="A152" s="84">
        <v>2</v>
      </c>
      <c r="B152" s="81">
        <v>671200001</v>
      </c>
      <c r="C152" s="82" t="s">
        <v>275</v>
      </c>
      <c r="D152" s="49"/>
      <c r="E152" s="49"/>
      <c r="F152" s="49"/>
      <c r="G152" s="16">
        <v>4</v>
      </c>
      <c r="H152" s="16" t="s">
        <v>525</v>
      </c>
      <c r="J152" s="14">
        <f>VLOOKUP(Table4[[#This Row],[Population density]],conse.pa.!$B$3:$C$11,2,FALSE)</f>
        <v>7</v>
      </c>
      <c r="K152" s="53">
        <f>VLOOKUP(Table4[[#This Row],[Gas Flow MMSCFD 
(Loss of revenue)]],conse.pa.!$B$3:$C$11,2,FALSE)</f>
        <v>3</v>
      </c>
    </row>
    <row r="153" spans="1:11" hidden="1">
      <c r="A153" s="80">
        <v>2</v>
      </c>
      <c r="B153" s="81">
        <v>671210001</v>
      </c>
      <c r="C153" s="82" t="s">
        <v>688</v>
      </c>
      <c r="D153" s="49"/>
      <c r="E153" s="49"/>
      <c r="F153" s="49"/>
      <c r="G153" s="16">
        <v>4</v>
      </c>
      <c r="H153" s="16" t="s">
        <v>525</v>
      </c>
      <c r="J153" s="14">
        <f>VLOOKUP(Table4[[#This Row],[Population density]],conse.pa.!$B$3:$C$11,2,FALSE)</f>
        <v>7</v>
      </c>
      <c r="K153" s="53">
        <f>VLOOKUP(Table4[[#This Row],[Gas Flow MMSCFD 
(Loss of revenue)]],conse.pa.!$B$3:$C$11,2,FALSE)</f>
        <v>3</v>
      </c>
    </row>
    <row r="154" spans="1:11" hidden="1">
      <c r="A154" s="80">
        <v>2</v>
      </c>
      <c r="B154" s="81">
        <v>671210002</v>
      </c>
      <c r="C154" s="82" t="s">
        <v>690</v>
      </c>
      <c r="D154" s="49"/>
      <c r="E154" s="49"/>
      <c r="F154" s="49"/>
      <c r="G154" s="16">
        <v>4</v>
      </c>
      <c r="H154" s="16" t="s">
        <v>525</v>
      </c>
      <c r="J154" s="14">
        <f>VLOOKUP(Table4[[#This Row],[Population density]],conse.pa.!$B$3:$C$11,2,FALSE)</f>
        <v>7</v>
      </c>
      <c r="K154" s="53">
        <f>VLOOKUP(Table4[[#This Row],[Gas Flow MMSCFD 
(Loss of revenue)]],conse.pa.!$B$3:$C$11,2,FALSE)</f>
        <v>3</v>
      </c>
    </row>
    <row r="155" spans="1:11" hidden="1">
      <c r="A155" s="84">
        <v>2</v>
      </c>
      <c r="B155" s="81">
        <v>671210101</v>
      </c>
      <c r="C155" s="82" t="s">
        <v>276</v>
      </c>
      <c r="D155" s="49"/>
      <c r="E155" s="49"/>
      <c r="F155" s="49"/>
      <c r="G155" s="16">
        <v>4</v>
      </c>
      <c r="H155" s="16" t="s">
        <v>525</v>
      </c>
      <c r="J155" s="14">
        <f>VLOOKUP(Table4[[#This Row],[Population density]],conse.pa.!$B$3:$C$11,2,FALSE)</f>
        <v>7</v>
      </c>
      <c r="K155" s="53">
        <f>VLOOKUP(Table4[[#This Row],[Gas Flow MMSCFD 
(Loss of revenue)]],conse.pa.!$B$3:$C$11,2,FALSE)</f>
        <v>3</v>
      </c>
    </row>
    <row r="156" spans="1:11" hidden="1">
      <c r="A156" s="80">
        <v>2</v>
      </c>
      <c r="B156" s="81">
        <v>671210102</v>
      </c>
      <c r="C156" s="82" t="s">
        <v>692</v>
      </c>
      <c r="D156" s="49"/>
      <c r="E156" s="49"/>
      <c r="F156" s="49"/>
      <c r="G156" s="16">
        <v>4</v>
      </c>
      <c r="H156" s="16" t="s">
        <v>525</v>
      </c>
      <c r="J156" s="14">
        <f>VLOOKUP(Table4[[#This Row],[Population density]],conse.pa.!$B$3:$C$11,2,FALSE)</f>
        <v>7</v>
      </c>
      <c r="K156" s="53">
        <f>VLOOKUP(Table4[[#This Row],[Gas Flow MMSCFD 
(Loss of revenue)]],conse.pa.!$B$3:$C$11,2,FALSE)</f>
        <v>3</v>
      </c>
    </row>
    <row r="157" spans="1:11" hidden="1">
      <c r="A157" s="84">
        <v>2</v>
      </c>
      <c r="B157" s="81">
        <v>671500001</v>
      </c>
      <c r="C157" s="82" t="s">
        <v>725</v>
      </c>
      <c r="D157" s="49"/>
      <c r="E157" s="49"/>
      <c r="F157" s="49"/>
      <c r="G157" s="16">
        <v>4</v>
      </c>
      <c r="H157" s="16" t="s">
        <v>525</v>
      </c>
      <c r="J157" s="14">
        <f>VLOOKUP(Table4[[#This Row],[Population density]],conse.pa.!$B$3:$C$11,2,FALSE)</f>
        <v>7</v>
      </c>
      <c r="K157" s="53">
        <f>VLOOKUP(Table4[[#This Row],[Gas Flow MMSCFD 
(Loss of revenue)]],conse.pa.!$B$3:$C$11,2,FALSE)</f>
        <v>3</v>
      </c>
    </row>
    <row r="158" spans="1:11" hidden="1">
      <c r="A158" s="84">
        <v>2</v>
      </c>
      <c r="B158" s="81">
        <v>673110001</v>
      </c>
      <c r="C158" s="82" t="s">
        <v>277</v>
      </c>
      <c r="D158" s="49"/>
      <c r="E158" s="49"/>
      <c r="F158" s="49"/>
      <c r="G158" s="16">
        <v>4</v>
      </c>
      <c r="H158" s="16" t="s">
        <v>525</v>
      </c>
      <c r="J158" s="14">
        <f>VLOOKUP(Table4[[#This Row],[Population density]],conse.pa.!$B$3:$C$11,2,FALSE)</f>
        <v>7</v>
      </c>
      <c r="K158" s="53">
        <f>VLOOKUP(Table4[[#This Row],[Gas Flow MMSCFD 
(Loss of revenue)]],conse.pa.!$B$3:$C$11,2,FALSE)</f>
        <v>3</v>
      </c>
    </row>
    <row r="159" spans="1:11" hidden="1">
      <c r="A159" s="84">
        <v>2</v>
      </c>
      <c r="B159" s="81">
        <v>673110002</v>
      </c>
      <c r="C159" s="82" t="s">
        <v>278</v>
      </c>
      <c r="D159" s="49"/>
      <c r="E159" s="49"/>
      <c r="F159" s="49"/>
      <c r="G159" s="16">
        <v>4</v>
      </c>
      <c r="H159" s="16" t="s">
        <v>525</v>
      </c>
      <c r="J159" s="14">
        <f>VLOOKUP(Table4[[#This Row],[Population density]],conse.pa.!$B$3:$C$11,2,FALSE)</f>
        <v>7</v>
      </c>
      <c r="K159" s="53">
        <f>VLOOKUP(Table4[[#This Row],[Gas Flow MMSCFD 
(Loss of revenue)]],conse.pa.!$B$3:$C$11,2,FALSE)</f>
        <v>3</v>
      </c>
    </row>
    <row r="160" spans="1:11" hidden="1">
      <c r="A160" s="84">
        <v>2</v>
      </c>
      <c r="B160" s="81">
        <v>673110003</v>
      </c>
      <c r="C160" s="82" t="s">
        <v>279</v>
      </c>
      <c r="D160" s="49"/>
      <c r="E160" s="49"/>
      <c r="F160" s="49"/>
      <c r="G160" s="16">
        <v>4</v>
      </c>
      <c r="H160" s="16" t="s">
        <v>525</v>
      </c>
      <c r="J160" s="14">
        <f>VLOOKUP(Table4[[#This Row],[Population density]],conse.pa.!$B$3:$C$11,2,FALSE)</f>
        <v>7</v>
      </c>
      <c r="K160" s="53">
        <f>VLOOKUP(Table4[[#This Row],[Gas Flow MMSCFD 
(Loss of revenue)]],conse.pa.!$B$3:$C$11,2,FALSE)</f>
        <v>3</v>
      </c>
    </row>
    <row r="161" spans="1:11" hidden="1">
      <c r="A161" s="84">
        <v>2</v>
      </c>
      <c r="B161" s="81">
        <v>673110004</v>
      </c>
      <c r="C161" s="82" t="s">
        <v>280</v>
      </c>
      <c r="D161" s="49"/>
      <c r="E161" s="49"/>
      <c r="F161" s="49"/>
      <c r="G161" s="16">
        <v>4</v>
      </c>
      <c r="H161" s="16" t="s">
        <v>525</v>
      </c>
      <c r="J161" s="14">
        <f>VLOOKUP(Table4[[#This Row],[Population density]],conse.pa.!$B$3:$C$11,2,FALSE)</f>
        <v>7</v>
      </c>
      <c r="K161" s="53">
        <f>VLOOKUP(Table4[[#This Row],[Gas Flow MMSCFD 
(Loss of revenue)]],conse.pa.!$B$3:$C$11,2,FALSE)</f>
        <v>3</v>
      </c>
    </row>
    <row r="162" spans="1:11" hidden="1">
      <c r="A162" s="84">
        <v>2</v>
      </c>
      <c r="B162" s="81">
        <v>673110005</v>
      </c>
      <c r="C162" s="82" t="s">
        <v>281</v>
      </c>
      <c r="D162" s="49"/>
      <c r="E162" s="49"/>
      <c r="F162" s="49"/>
      <c r="G162" s="16">
        <v>4</v>
      </c>
      <c r="H162" s="16" t="s">
        <v>525</v>
      </c>
      <c r="J162" s="14">
        <f>VLOOKUP(Table4[[#This Row],[Population density]],conse.pa.!$B$3:$C$11,2,FALSE)</f>
        <v>7</v>
      </c>
      <c r="K162" s="53">
        <f>VLOOKUP(Table4[[#This Row],[Gas Flow MMSCFD 
(Loss of revenue)]],conse.pa.!$B$3:$C$11,2,FALSE)</f>
        <v>3</v>
      </c>
    </row>
    <row r="163" spans="1:11" hidden="1">
      <c r="A163" s="84">
        <v>2</v>
      </c>
      <c r="B163" s="81">
        <v>673110103</v>
      </c>
      <c r="C163" s="82" t="s">
        <v>282</v>
      </c>
      <c r="D163" s="49"/>
      <c r="E163" s="49"/>
      <c r="F163" s="49"/>
      <c r="G163" s="16">
        <v>4</v>
      </c>
      <c r="H163" s="16" t="s">
        <v>525</v>
      </c>
      <c r="J163" s="14">
        <f>VLOOKUP(Table4[[#This Row],[Population density]],conse.pa.!$B$3:$C$11,2,FALSE)</f>
        <v>7</v>
      </c>
      <c r="K163" s="53">
        <f>VLOOKUP(Table4[[#This Row],[Gas Flow MMSCFD 
(Loss of revenue)]],conse.pa.!$B$3:$C$11,2,FALSE)</f>
        <v>3</v>
      </c>
    </row>
    <row r="164" spans="1:11" hidden="1">
      <c r="A164" s="84">
        <v>2</v>
      </c>
      <c r="B164" s="81">
        <v>673200001</v>
      </c>
      <c r="C164" s="82" t="s">
        <v>283</v>
      </c>
      <c r="D164" s="49"/>
      <c r="E164" s="49"/>
      <c r="F164" s="49"/>
      <c r="G164" s="16">
        <v>4</v>
      </c>
      <c r="H164" s="16" t="s">
        <v>525</v>
      </c>
      <c r="J164" s="14">
        <f>VLOOKUP(Table4[[#This Row],[Population density]],conse.pa.!$B$3:$C$11,2,FALSE)</f>
        <v>7</v>
      </c>
      <c r="K164" s="53">
        <f>VLOOKUP(Table4[[#This Row],[Gas Flow MMSCFD 
(Loss of revenue)]],conse.pa.!$B$3:$C$11,2,FALSE)</f>
        <v>3</v>
      </c>
    </row>
    <row r="165" spans="1:11" hidden="1">
      <c r="A165" s="84">
        <v>2</v>
      </c>
      <c r="B165" s="81">
        <v>673200002</v>
      </c>
      <c r="C165" s="82" t="s">
        <v>284</v>
      </c>
      <c r="D165" s="49"/>
      <c r="E165" s="49"/>
      <c r="F165" s="49"/>
      <c r="G165" s="16">
        <v>4</v>
      </c>
      <c r="H165" s="16" t="s">
        <v>525</v>
      </c>
      <c r="J165" s="14">
        <f>VLOOKUP(Table4[[#This Row],[Population density]],conse.pa.!$B$3:$C$11,2,FALSE)</f>
        <v>7</v>
      </c>
      <c r="K165" s="53">
        <f>VLOOKUP(Table4[[#This Row],[Gas Flow MMSCFD 
(Loss of revenue)]],conse.pa.!$B$3:$C$11,2,FALSE)</f>
        <v>3</v>
      </c>
    </row>
    <row r="166" spans="1:11" hidden="1">
      <c r="A166" s="84">
        <v>2</v>
      </c>
      <c r="B166" s="81">
        <v>673500001</v>
      </c>
      <c r="C166" s="82" t="s">
        <v>285</v>
      </c>
      <c r="D166" s="49"/>
      <c r="E166" s="49"/>
      <c r="F166" s="49"/>
      <c r="G166" s="16">
        <v>4</v>
      </c>
      <c r="H166" s="16" t="s">
        <v>525</v>
      </c>
      <c r="J166" s="14">
        <f>VLOOKUP(Table4[[#This Row],[Population density]],conse.pa.!$B$3:$C$11,2,FALSE)</f>
        <v>7</v>
      </c>
      <c r="K166" s="53">
        <f>VLOOKUP(Table4[[#This Row],[Gas Flow MMSCFD 
(Loss of revenue)]],conse.pa.!$B$3:$C$11,2,FALSE)</f>
        <v>3</v>
      </c>
    </row>
    <row r="167" spans="1:11" hidden="1">
      <c r="A167" s="84">
        <v>2</v>
      </c>
      <c r="B167" s="81">
        <v>673600001</v>
      </c>
      <c r="C167" s="82" t="s">
        <v>286</v>
      </c>
      <c r="D167" s="49"/>
      <c r="E167" s="49"/>
      <c r="F167" s="49"/>
      <c r="G167" s="16">
        <v>4</v>
      </c>
      <c r="H167" s="16" t="s">
        <v>525</v>
      </c>
      <c r="J167" s="14">
        <f>VLOOKUP(Table4[[#This Row],[Population density]],conse.pa.!$B$3:$C$11,2,FALSE)</f>
        <v>7</v>
      </c>
      <c r="K167" s="53">
        <f>VLOOKUP(Table4[[#This Row],[Gas Flow MMSCFD 
(Loss of revenue)]],conse.pa.!$B$3:$C$11,2,FALSE)</f>
        <v>3</v>
      </c>
    </row>
    <row r="168" spans="1:11" hidden="1">
      <c r="A168" s="84">
        <v>2</v>
      </c>
      <c r="B168" s="81">
        <v>673700001</v>
      </c>
      <c r="C168" s="82" t="s">
        <v>287</v>
      </c>
      <c r="D168" s="49"/>
      <c r="E168" s="49"/>
      <c r="F168" s="49"/>
      <c r="G168" s="16">
        <v>4</v>
      </c>
      <c r="H168" s="16" t="s">
        <v>525</v>
      </c>
      <c r="J168" s="14">
        <f>VLOOKUP(Table4[[#This Row],[Population density]],conse.pa.!$B$3:$C$11,2,FALSE)</f>
        <v>7</v>
      </c>
      <c r="K168" s="53">
        <f>VLOOKUP(Table4[[#This Row],[Gas Flow MMSCFD 
(Loss of revenue)]],conse.pa.!$B$3:$C$11,2,FALSE)</f>
        <v>3</v>
      </c>
    </row>
    <row r="169" spans="1:11" hidden="1">
      <c r="A169" s="84">
        <v>2</v>
      </c>
      <c r="B169" s="81">
        <v>674100001</v>
      </c>
      <c r="C169" s="82" t="s">
        <v>288</v>
      </c>
      <c r="D169" s="49"/>
      <c r="E169" s="49"/>
      <c r="F169" s="49"/>
      <c r="G169" s="16">
        <v>4</v>
      </c>
      <c r="H169" s="16" t="s">
        <v>525</v>
      </c>
      <c r="J169" s="14">
        <f>VLOOKUP(Table4[[#This Row],[Population density]],conse.pa.!$B$3:$C$11,2,FALSE)</f>
        <v>7</v>
      </c>
      <c r="K169" s="53">
        <f>VLOOKUP(Table4[[#This Row],[Gas Flow MMSCFD 
(Loss of revenue)]],conse.pa.!$B$3:$C$11,2,FALSE)</f>
        <v>3</v>
      </c>
    </row>
    <row r="170" spans="1:11" hidden="1">
      <c r="A170" s="84">
        <v>2</v>
      </c>
      <c r="B170" s="81">
        <v>692110101</v>
      </c>
      <c r="C170" s="82" t="s">
        <v>712</v>
      </c>
      <c r="D170" s="49"/>
      <c r="E170" s="49"/>
      <c r="F170" s="49"/>
      <c r="G170" s="16">
        <v>4</v>
      </c>
      <c r="H170" s="16" t="s">
        <v>525</v>
      </c>
      <c r="J170" s="14">
        <f>VLOOKUP(Table4[[#This Row],[Population density]],conse.pa.!$B$3:$C$11,2,FALSE)</f>
        <v>7</v>
      </c>
      <c r="K170" s="53">
        <f>VLOOKUP(Table4[[#This Row],[Gas Flow MMSCFD 
(Loss of revenue)]],conse.pa.!$B$3:$C$11,2,FALSE)</f>
        <v>3</v>
      </c>
    </row>
    <row r="171" spans="1:11" hidden="1">
      <c r="A171" s="84">
        <v>2</v>
      </c>
      <c r="B171" s="81">
        <v>692110103</v>
      </c>
      <c r="C171" s="82" t="s">
        <v>289</v>
      </c>
      <c r="D171" s="49"/>
      <c r="E171" s="49"/>
      <c r="F171" s="49"/>
      <c r="G171" s="16">
        <v>4</v>
      </c>
      <c r="H171" s="16" t="s">
        <v>525</v>
      </c>
      <c r="J171" s="14">
        <f>VLOOKUP(Table4[[#This Row],[Population density]],conse.pa.!$B$3:$C$11,2,FALSE)</f>
        <v>7</v>
      </c>
      <c r="K171" s="53">
        <f>VLOOKUP(Table4[[#This Row],[Gas Flow MMSCFD 
(Loss of revenue)]],conse.pa.!$B$3:$C$11,2,FALSE)</f>
        <v>3</v>
      </c>
    </row>
    <row r="172" spans="1:11" hidden="1">
      <c r="A172" s="84">
        <v>3</v>
      </c>
      <c r="B172" s="81">
        <v>330</v>
      </c>
      <c r="C172" s="82" t="s">
        <v>290</v>
      </c>
      <c r="D172" s="49"/>
      <c r="E172" s="49"/>
      <c r="F172" s="49"/>
      <c r="G172" s="16">
        <v>4</v>
      </c>
      <c r="H172" s="16" t="s">
        <v>525</v>
      </c>
      <c r="J172" s="14">
        <f>VLOOKUP(Table4[[#This Row],[Population density]],conse.pa.!$B$3:$C$11,2,FALSE)</f>
        <v>7</v>
      </c>
      <c r="K172" s="53">
        <f>VLOOKUP(Table4[[#This Row],[Gas Flow MMSCFD 
(Loss of revenue)]],conse.pa.!$B$3:$C$11,2,FALSE)</f>
        <v>3</v>
      </c>
    </row>
    <row r="173" spans="1:11" hidden="1">
      <c r="A173" s="80">
        <v>3</v>
      </c>
      <c r="B173" s="81">
        <v>330100002</v>
      </c>
      <c r="C173" s="82" t="s">
        <v>742</v>
      </c>
      <c r="D173" s="49"/>
      <c r="E173" s="49"/>
      <c r="F173" s="49"/>
      <c r="G173" s="16">
        <v>4</v>
      </c>
      <c r="H173" s="16" t="s">
        <v>525</v>
      </c>
      <c r="J173" s="14">
        <f>VLOOKUP(Table4[[#This Row],[Population density]],conse.pa.!$B$3:$C$11,2,FALSE)</f>
        <v>7</v>
      </c>
      <c r="K173" s="53">
        <f>VLOOKUP(Table4[[#This Row],[Gas Flow MMSCFD 
(Loss of revenue)]],conse.pa.!$B$3:$C$11,2,FALSE)</f>
        <v>3</v>
      </c>
    </row>
    <row r="174" spans="1:11" hidden="1">
      <c r="A174" s="80">
        <v>3</v>
      </c>
      <c r="B174" s="81">
        <v>330100003</v>
      </c>
      <c r="C174" s="82" t="s">
        <v>750</v>
      </c>
      <c r="D174" s="49"/>
      <c r="E174" s="49"/>
      <c r="F174" s="49"/>
      <c r="G174" s="16">
        <v>4</v>
      </c>
      <c r="H174" s="16" t="s">
        <v>525</v>
      </c>
      <c r="J174" s="14">
        <f>VLOOKUP(Table4[[#This Row],[Population density]],conse.pa.!$B$3:$C$11,2,FALSE)</f>
        <v>7</v>
      </c>
      <c r="K174" s="53">
        <f>VLOOKUP(Table4[[#This Row],[Gas Flow MMSCFD 
(Loss of revenue)]],conse.pa.!$B$3:$C$11,2,FALSE)</f>
        <v>3</v>
      </c>
    </row>
    <row r="175" spans="1:11" hidden="1">
      <c r="A175" s="80">
        <v>3</v>
      </c>
      <c r="B175" s="81">
        <v>33010009</v>
      </c>
      <c r="C175" s="82" t="s">
        <v>769</v>
      </c>
      <c r="D175" s="49"/>
      <c r="E175" s="49"/>
      <c r="F175" s="49"/>
      <c r="G175" s="16">
        <v>4</v>
      </c>
      <c r="H175" s="16" t="s">
        <v>525</v>
      </c>
      <c r="J175" s="14">
        <f>VLOOKUP(Table4[[#This Row],[Population density]],conse.pa.!$B$3:$C$11,2,FALSE)</f>
        <v>7</v>
      </c>
      <c r="K175" s="53">
        <f>VLOOKUP(Table4[[#This Row],[Gas Flow MMSCFD 
(Loss of revenue)]],conse.pa.!$B$3:$C$11,2,FALSE)</f>
        <v>3</v>
      </c>
    </row>
    <row r="176" spans="1:11" hidden="1">
      <c r="A176" s="87">
        <v>3</v>
      </c>
      <c r="B176" s="88">
        <v>330200002</v>
      </c>
      <c r="C176" s="89" t="s">
        <v>727</v>
      </c>
      <c r="D176" s="49"/>
      <c r="E176" s="49"/>
      <c r="F176" s="49"/>
      <c r="G176" s="16">
        <v>4</v>
      </c>
      <c r="H176" s="16" t="s">
        <v>525</v>
      </c>
      <c r="J176" s="14">
        <f>VLOOKUP(Table4[[#This Row],[Population density]],conse.pa.!$B$3:$C$11,2,FALSE)</f>
        <v>7</v>
      </c>
      <c r="K176" s="53">
        <f>VLOOKUP(Table4[[#This Row],[Gas Flow MMSCFD 
(Loss of revenue)]],conse.pa.!$B$3:$C$11,2,FALSE)</f>
        <v>3</v>
      </c>
    </row>
    <row r="177" spans="1:11" hidden="1">
      <c r="A177" s="80">
        <v>3</v>
      </c>
      <c r="B177" s="81">
        <v>330300001</v>
      </c>
      <c r="C177" s="82" t="s">
        <v>733</v>
      </c>
      <c r="D177" s="49"/>
      <c r="E177" s="49"/>
      <c r="F177" s="49"/>
      <c r="G177" s="16">
        <v>4</v>
      </c>
      <c r="H177" s="16" t="s">
        <v>525</v>
      </c>
      <c r="J177" s="14">
        <f>VLOOKUP(Table4[[#This Row],[Population density]],conse.pa.!$B$3:$C$11,2,FALSE)</f>
        <v>7</v>
      </c>
      <c r="K177" s="53">
        <f>VLOOKUP(Table4[[#This Row],[Gas Flow MMSCFD 
(Loss of revenue)]],conse.pa.!$B$3:$C$11,2,FALSE)</f>
        <v>3</v>
      </c>
    </row>
    <row r="178" spans="1:11" hidden="1">
      <c r="A178" s="80">
        <v>3</v>
      </c>
      <c r="B178" s="81">
        <v>330300001</v>
      </c>
      <c r="C178" s="82" t="s">
        <v>734</v>
      </c>
      <c r="D178" s="49"/>
      <c r="E178" s="49"/>
      <c r="F178" s="49"/>
      <c r="G178" s="16">
        <v>4</v>
      </c>
      <c r="H178" s="16" t="s">
        <v>525</v>
      </c>
      <c r="J178" s="14">
        <f>VLOOKUP(Table4[[#This Row],[Population density]],conse.pa.!$B$3:$C$11,2,FALSE)</f>
        <v>7</v>
      </c>
      <c r="K178" s="53">
        <f>VLOOKUP(Table4[[#This Row],[Gas Flow MMSCFD 
(Loss of revenue)]],conse.pa.!$B$3:$C$11,2,FALSE)</f>
        <v>3</v>
      </c>
    </row>
    <row r="179" spans="1:11" hidden="1">
      <c r="A179" s="80">
        <v>3</v>
      </c>
      <c r="B179" s="81">
        <v>330400008</v>
      </c>
      <c r="C179" s="82" t="s">
        <v>729</v>
      </c>
      <c r="D179" s="49"/>
      <c r="E179" s="49"/>
      <c r="F179" s="49"/>
      <c r="G179" s="16">
        <v>4</v>
      </c>
      <c r="H179" s="16" t="s">
        <v>525</v>
      </c>
      <c r="J179" s="14">
        <f>VLOOKUP(Table4[[#This Row],[Population density]],conse.pa.!$B$3:$C$11,2,FALSE)</f>
        <v>7</v>
      </c>
      <c r="K179" s="53">
        <f>VLOOKUP(Table4[[#This Row],[Gas Flow MMSCFD 
(Loss of revenue)]],conse.pa.!$B$3:$C$11,2,FALSE)</f>
        <v>3</v>
      </c>
    </row>
    <row r="180" spans="1:11" hidden="1">
      <c r="A180" s="80">
        <v>3</v>
      </c>
      <c r="B180" s="81">
        <v>330500001</v>
      </c>
      <c r="C180" s="82" t="s">
        <v>738</v>
      </c>
      <c r="D180" s="103"/>
      <c r="E180" s="103"/>
      <c r="F180" s="103"/>
      <c r="G180" s="16">
        <v>4</v>
      </c>
      <c r="H180" s="16" t="s">
        <v>525</v>
      </c>
      <c r="J180" s="14">
        <f>VLOOKUP(Table4[[#This Row],[Population density]],conse.pa.!$B$3:$C$11,2,FALSE)</f>
        <v>7</v>
      </c>
      <c r="K180" s="53">
        <f>VLOOKUP(Table4[[#This Row],[Gas Flow MMSCFD 
(Loss of revenue)]],conse.pa.!$B$3:$C$11,2,FALSE)</f>
        <v>3</v>
      </c>
    </row>
    <row r="181" spans="1:11" hidden="1">
      <c r="A181" s="80">
        <v>3</v>
      </c>
      <c r="B181" s="81">
        <v>33050002</v>
      </c>
      <c r="C181" s="82" t="s">
        <v>765</v>
      </c>
      <c r="D181" s="103"/>
      <c r="E181" s="103"/>
      <c r="F181" s="103"/>
      <c r="G181" s="16">
        <v>4</v>
      </c>
      <c r="H181" s="16" t="s">
        <v>525</v>
      </c>
      <c r="J181" s="14">
        <f>VLOOKUP(Table4[[#This Row],[Population density]],conse.pa.!$B$3:$C$11,2,FALSE)</f>
        <v>7</v>
      </c>
      <c r="K181" s="53">
        <f>VLOOKUP(Table4[[#This Row],[Gas Flow MMSCFD 
(Loss of revenue)]],conse.pa.!$B$3:$C$11,2,FALSE)</f>
        <v>3</v>
      </c>
    </row>
    <row r="182" spans="1:11" hidden="1">
      <c r="A182" s="80">
        <v>3</v>
      </c>
      <c r="B182" s="81">
        <v>330500001</v>
      </c>
      <c r="C182" s="82" t="s">
        <v>760</v>
      </c>
      <c r="D182" s="103"/>
      <c r="E182" s="103"/>
      <c r="F182" s="103"/>
      <c r="G182" s="16">
        <v>4</v>
      </c>
      <c r="H182" s="16" t="s">
        <v>525</v>
      </c>
      <c r="J182" s="14">
        <f>VLOOKUP(Table4[[#This Row],[Population density]],conse.pa.!$B$3:$C$11,2,FALSE)</f>
        <v>7</v>
      </c>
      <c r="K182" s="53">
        <f>VLOOKUP(Table4[[#This Row],[Gas Flow MMSCFD 
(Loss of revenue)]],conse.pa.!$B$3:$C$11,2,FALSE)</f>
        <v>3</v>
      </c>
    </row>
    <row r="183" spans="1:11" hidden="1">
      <c r="A183" s="80">
        <v>3</v>
      </c>
      <c r="B183" s="81">
        <v>330500004</v>
      </c>
      <c r="C183" s="82" t="s">
        <v>736</v>
      </c>
      <c r="D183" s="103"/>
      <c r="E183" s="103"/>
      <c r="F183" s="103"/>
      <c r="G183" s="16">
        <v>4</v>
      </c>
      <c r="H183" s="16" t="s">
        <v>525</v>
      </c>
      <c r="J183" s="14">
        <f>VLOOKUP(Table4[[#This Row],[Population density]],conse.pa.!$B$3:$C$11,2,FALSE)</f>
        <v>7</v>
      </c>
      <c r="K183" s="53">
        <f>VLOOKUP(Table4[[#This Row],[Gas Flow MMSCFD 
(Loss of revenue)]],conse.pa.!$B$3:$C$11,2,FALSE)</f>
        <v>3</v>
      </c>
    </row>
    <row r="184" spans="1:11" hidden="1">
      <c r="A184" s="80">
        <v>3</v>
      </c>
      <c r="B184" s="81">
        <v>330500003</v>
      </c>
      <c r="C184" s="82" t="s">
        <v>740</v>
      </c>
      <c r="D184" s="103"/>
      <c r="E184" s="103"/>
      <c r="F184" s="103"/>
      <c r="G184" s="16">
        <v>4</v>
      </c>
      <c r="H184" s="16" t="s">
        <v>525</v>
      </c>
      <c r="J184" s="14">
        <f>VLOOKUP(Table4[[#This Row],[Population density]],conse.pa.!$B$3:$C$11,2,FALSE)</f>
        <v>7</v>
      </c>
      <c r="K184" s="53">
        <f>VLOOKUP(Table4[[#This Row],[Gas Flow MMSCFD 
(Loss of revenue)]],conse.pa.!$B$3:$C$11,2,FALSE)</f>
        <v>3</v>
      </c>
    </row>
    <row r="185" spans="1:11" hidden="1">
      <c r="A185" s="80">
        <v>3</v>
      </c>
      <c r="B185" s="81">
        <v>330500007</v>
      </c>
      <c r="C185" s="82" t="s">
        <v>731</v>
      </c>
      <c r="D185" s="103"/>
      <c r="E185" s="103"/>
      <c r="F185" s="103"/>
      <c r="G185" s="16">
        <v>4</v>
      </c>
      <c r="H185" s="16" t="s">
        <v>525</v>
      </c>
      <c r="J185" s="14">
        <f>VLOOKUP(Table4[[#This Row],[Population density]],conse.pa.!$B$3:$C$11,2,FALSE)</f>
        <v>7</v>
      </c>
      <c r="K185" s="53">
        <f>VLOOKUP(Table4[[#This Row],[Gas Flow MMSCFD 
(Loss of revenue)]],conse.pa.!$B$3:$C$11,2,FALSE)</f>
        <v>3</v>
      </c>
    </row>
    <row r="186" spans="1:11" hidden="1">
      <c r="A186" s="80">
        <v>3</v>
      </c>
      <c r="B186" s="81">
        <v>330500008</v>
      </c>
      <c r="C186" s="82" t="s">
        <v>744</v>
      </c>
      <c r="D186" s="103"/>
      <c r="E186" s="103"/>
      <c r="F186" s="103"/>
      <c r="G186" s="16">
        <v>4</v>
      </c>
      <c r="H186" s="16" t="s">
        <v>525</v>
      </c>
      <c r="J186" s="14">
        <f>VLOOKUP(Table4[[#This Row],[Population density]],conse.pa.!$B$3:$C$11,2,FALSE)</f>
        <v>7</v>
      </c>
      <c r="K186" s="53">
        <f>VLOOKUP(Table4[[#This Row],[Gas Flow MMSCFD 
(Loss of revenue)]],conse.pa.!$B$3:$C$11,2,FALSE)</f>
        <v>3</v>
      </c>
    </row>
    <row r="187" spans="1:11" hidden="1">
      <c r="A187" s="80">
        <v>3</v>
      </c>
      <c r="B187" s="81">
        <v>330500012</v>
      </c>
      <c r="C187" s="82" t="s">
        <v>748</v>
      </c>
      <c r="D187" s="103"/>
      <c r="E187" s="103"/>
      <c r="F187" s="103"/>
      <c r="G187" s="16">
        <v>4</v>
      </c>
      <c r="H187" s="16" t="s">
        <v>525</v>
      </c>
      <c r="J187" s="14">
        <f>VLOOKUP(Table4[[#This Row],[Population density]],conse.pa.!$B$3:$C$11,2,FALSE)</f>
        <v>7</v>
      </c>
      <c r="K187" s="53">
        <f>VLOOKUP(Table4[[#This Row],[Gas Flow MMSCFD 
(Loss of revenue)]],conse.pa.!$B$3:$C$11,2,FALSE)</f>
        <v>3</v>
      </c>
    </row>
    <row r="188" spans="1:11" hidden="1">
      <c r="A188" s="80">
        <v>3</v>
      </c>
      <c r="B188" s="81">
        <v>330600002</v>
      </c>
      <c r="C188" s="82" t="s">
        <v>755</v>
      </c>
      <c r="D188" s="103"/>
      <c r="E188" s="103"/>
      <c r="F188" s="103"/>
      <c r="G188" s="16">
        <v>4</v>
      </c>
      <c r="H188" s="16" t="s">
        <v>525</v>
      </c>
      <c r="J188" s="14">
        <f>VLOOKUP(Table4[[#This Row],[Population density]],conse.pa.!$B$3:$C$11,2,FALSE)</f>
        <v>7</v>
      </c>
      <c r="K188" s="53">
        <f>VLOOKUP(Table4[[#This Row],[Gas Flow MMSCFD 
(Loss of revenue)]],conse.pa.!$B$3:$C$11,2,FALSE)</f>
        <v>3</v>
      </c>
    </row>
    <row r="189" spans="1:11" hidden="1">
      <c r="A189" s="80">
        <v>3</v>
      </c>
      <c r="B189" s="81">
        <v>330600003</v>
      </c>
      <c r="C189" s="82" t="s">
        <v>752</v>
      </c>
      <c r="D189" s="103"/>
      <c r="E189" s="103"/>
      <c r="F189" s="103"/>
      <c r="G189" s="16">
        <v>4</v>
      </c>
      <c r="H189" s="16" t="s">
        <v>525</v>
      </c>
      <c r="J189" s="14">
        <f>VLOOKUP(Table4[[#This Row],[Population density]],conse.pa.!$B$3:$C$11,2,FALSE)</f>
        <v>7</v>
      </c>
      <c r="K189" s="53">
        <f>VLOOKUP(Table4[[#This Row],[Gas Flow MMSCFD 
(Loss of revenue)]],conse.pa.!$B$3:$C$11,2,FALSE)</f>
        <v>3</v>
      </c>
    </row>
    <row r="190" spans="1:11" hidden="1">
      <c r="A190" s="84">
        <v>3</v>
      </c>
      <c r="B190" s="81">
        <v>430</v>
      </c>
      <c r="C190" s="82" t="s">
        <v>291</v>
      </c>
      <c r="D190" s="103"/>
      <c r="E190" s="103"/>
      <c r="F190" s="103"/>
      <c r="G190" s="16">
        <v>4</v>
      </c>
      <c r="H190" s="16" t="s">
        <v>525</v>
      </c>
      <c r="J190" s="14">
        <f>VLOOKUP(Table4[[#This Row],[Population density]],conse.pa.!$B$3:$C$11,2,FALSE)</f>
        <v>7</v>
      </c>
      <c r="K190" s="53">
        <f>VLOOKUP(Table4[[#This Row],[Gas Flow MMSCFD 
(Loss of revenue)]],conse.pa.!$B$3:$C$11,2,FALSE)</f>
        <v>3</v>
      </c>
    </row>
    <row r="191" spans="1:11" hidden="1">
      <c r="A191" s="84">
        <v>3</v>
      </c>
      <c r="B191" s="81">
        <v>3402</v>
      </c>
      <c r="C191" s="82" t="s">
        <v>292</v>
      </c>
      <c r="D191" s="103"/>
      <c r="E191" s="103"/>
      <c r="F191" s="103"/>
      <c r="G191" s="16">
        <v>4</v>
      </c>
      <c r="H191" s="16" t="s">
        <v>525</v>
      </c>
      <c r="J191" s="14">
        <f>VLOOKUP(Table4[[#This Row],[Population density]],conse.pa.!$B$3:$C$11,2,FALSE)</f>
        <v>7</v>
      </c>
      <c r="K191" s="53">
        <f>VLOOKUP(Table4[[#This Row],[Gas Flow MMSCFD 
(Loss of revenue)]],conse.pa.!$B$3:$C$11,2,FALSE)</f>
        <v>3</v>
      </c>
    </row>
    <row r="192" spans="1:11" hidden="1">
      <c r="A192" s="80">
        <v>3</v>
      </c>
      <c r="B192" s="81">
        <v>340300002</v>
      </c>
      <c r="C192" s="82" t="s">
        <v>746</v>
      </c>
      <c r="D192" s="103"/>
      <c r="E192" s="103"/>
      <c r="F192" s="103"/>
      <c r="G192" s="16">
        <v>4</v>
      </c>
      <c r="H192" s="16" t="s">
        <v>525</v>
      </c>
      <c r="J192" s="14">
        <f>VLOOKUP(Table4[[#This Row],[Population density]],conse.pa.!$B$3:$C$11,2,FALSE)</f>
        <v>7</v>
      </c>
      <c r="K192" s="53">
        <f>VLOOKUP(Table4[[#This Row],[Gas Flow MMSCFD 
(Loss of revenue)]],conse.pa.!$B$3:$C$11,2,FALSE)</f>
        <v>3</v>
      </c>
    </row>
    <row r="193" spans="1:11" hidden="1">
      <c r="A193" s="84">
        <v>3</v>
      </c>
      <c r="B193" s="81">
        <v>4014</v>
      </c>
      <c r="C193" s="82" t="s">
        <v>293</v>
      </c>
      <c r="D193" s="103"/>
      <c r="E193" s="103"/>
      <c r="F193" s="103"/>
      <c r="G193" s="16">
        <v>4</v>
      </c>
      <c r="H193" s="16" t="s">
        <v>525</v>
      </c>
      <c r="J193" s="14">
        <f>VLOOKUP(Table4[[#This Row],[Population density]],conse.pa.!$B$3:$C$11,2,FALSE)</f>
        <v>7</v>
      </c>
      <c r="K193" s="53">
        <f>VLOOKUP(Table4[[#This Row],[Gas Flow MMSCFD 
(Loss of revenue)]],conse.pa.!$B$3:$C$11,2,FALSE)</f>
        <v>3</v>
      </c>
    </row>
    <row r="194" spans="1:11" hidden="1">
      <c r="A194" s="84">
        <v>3</v>
      </c>
      <c r="B194" s="81">
        <v>40112</v>
      </c>
      <c r="C194" s="82" t="s">
        <v>294</v>
      </c>
      <c r="D194" s="103"/>
      <c r="E194" s="103"/>
      <c r="F194" s="103"/>
      <c r="G194" s="16">
        <v>4</v>
      </c>
      <c r="H194" s="16" t="s">
        <v>525</v>
      </c>
      <c r="J194" s="14">
        <f>VLOOKUP(Table4[[#This Row],[Population density]],conse.pa.!$B$3:$C$11,2,FALSE)</f>
        <v>7</v>
      </c>
      <c r="K194" s="53">
        <f>VLOOKUP(Table4[[#This Row],[Gas Flow MMSCFD 
(Loss of revenue)]],conse.pa.!$B$3:$C$11,2,FALSE)</f>
        <v>3</v>
      </c>
    </row>
    <row r="195" spans="1:11" hidden="1">
      <c r="A195" s="84">
        <v>3</v>
      </c>
      <c r="B195" s="81">
        <v>40321</v>
      </c>
      <c r="C195" s="82" t="s">
        <v>295</v>
      </c>
      <c r="D195" s="103"/>
      <c r="E195" s="103"/>
      <c r="F195" s="103"/>
      <c r="G195" s="16">
        <v>4</v>
      </c>
      <c r="H195" s="16" t="s">
        <v>525</v>
      </c>
      <c r="J195" s="14">
        <f>VLOOKUP(Table4[[#This Row],[Population density]],conse.pa.!$B$3:$C$11,2,FALSE)</f>
        <v>7</v>
      </c>
      <c r="K195" s="53">
        <f>VLOOKUP(Table4[[#This Row],[Gas Flow MMSCFD 
(Loss of revenue)]],conse.pa.!$B$3:$C$11,2,FALSE)</f>
        <v>3</v>
      </c>
    </row>
    <row r="196" spans="1:11" hidden="1">
      <c r="A196" s="84">
        <v>3</v>
      </c>
      <c r="B196" s="81">
        <v>560201</v>
      </c>
      <c r="C196" s="82" t="s">
        <v>296</v>
      </c>
      <c r="D196" s="103"/>
      <c r="E196" s="103"/>
      <c r="F196" s="103"/>
      <c r="G196" s="16">
        <v>4</v>
      </c>
      <c r="H196" s="16" t="s">
        <v>525</v>
      </c>
      <c r="J196" s="14">
        <f>VLOOKUP(Table4[[#This Row],[Population density]],conse.pa.!$B$3:$C$11,2,FALSE)</f>
        <v>7</v>
      </c>
      <c r="K196" s="53">
        <f>VLOOKUP(Table4[[#This Row],[Gas Flow MMSCFD 
(Loss of revenue)]],conse.pa.!$B$3:$C$11,2,FALSE)</f>
        <v>3</v>
      </c>
    </row>
    <row r="197" spans="1:11" hidden="1">
      <c r="A197" s="84">
        <v>3</v>
      </c>
      <c r="B197" s="81">
        <v>561201</v>
      </c>
      <c r="C197" s="82" t="s">
        <v>297</v>
      </c>
      <c r="D197" s="103"/>
      <c r="E197" s="103"/>
      <c r="F197" s="103"/>
      <c r="G197" s="16">
        <v>4</v>
      </c>
      <c r="H197" s="16" t="s">
        <v>525</v>
      </c>
      <c r="J197" s="14">
        <f>VLOOKUP(Table4[[#This Row],[Population density]],conse.pa.!$B$3:$C$11,2,FALSE)</f>
        <v>7</v>
      </c>
      <c r="K197" s="53">
        <f>VLOOKUP(Table4[[#This Row],[Gas Flow MMSCFD 
(Loss of revenue)]],conse.pa.!$B$3:$C$11,2,FALSE)</f>
        <v>3</v>
      </c>
    </row>
    <row r="198" spans="1:11" hidden="1">
      <c r="A198" s="80">
        <v>3</v>
      </c>
      <c r="B198" s="81">
        <v>6402106</v>
      </c>
      <c r="C198" s="82" t="s">
        <v>763</v>
      </c>
      <c r="D198" s="103"/>
      <c r="E198" s="103"/>
      <c r="F198" s="103"/>
      <c r="G198" s="16">
        <v>4</v>
      </c>
      <c r="H198" s="16" t="s">
        <v>525</v>
      </c>
      <c r="J198" s="14">
        <f>VLOOKUP(Table4[[#This Row],[Population density]],conse.pa.!$B$3:$C$11,2,FALSE)</f>
        <v>7</v>
      </c>
      <c r="K198" s="53">
        <f>VLOOKUP(Table4[[#This Row],[Gas Flow MMSCFD 
(Loss of revenue)]],conse.pa.!$B$3:$C$11,2,FALSE)</f>
        <v>3</v>
      </c>
    </row>
    <row r="199" spans="1:11" hidden="1">
      <c r="A199" s="84">
        <v>3</v>
      </c>
      <c r="B199" s="81">
        <v>3402101</v>
      </c>
      <c r="C199" s="82" t="s">
        <v>298</v>
      </c>
      <c r="D199" s="103"/>
      <c r="E199" s="103"/>
      <c r="F199" s="103"/>
      <c r="G199" s="16">
        <v>4</v>
      </c>
      <c r="H199" s="16" t="s">
        <v>525</v>
      </c>
      <c r="J199" s="14">
        <f>VLOOKUP(Table4[[#This Row],[Population density]],conse.pa.!$B$3:$C$11,2,FALSE)</f>
        <v>7</v>
      </c>
      <c r="K199" s="53">
        <f>VLOOKUP(Table4[[#This Row],[Gas Flow MMSCFD 
(Loss of revenue)]],conse.pa.!$B$3:$C$11,2,FALSE)</f>
        <v>3</v>
      </c>
    </row>
    <row r="200" spans="1:11" hidden="1">
      <c r="A200" s="84">
        <v>3</v>
      </c>
      <c r="B200" s="81">
        <v>3402102</v>
      </c>
      <c r="C200" s="82" t="s">
        <v>299</v>
      </c>
      <c r="D200" s="103"/>
      <c r="E200" s="103"/>
      <c r="F200" s="103"/>
      <c r="G200" s="16">
        <v>4</v>
      </c>
      <c r="H200" s="16" t="s">
        <v>525</v>
      </c>
      <c r="J200" s="14">
        <f>VLOOKUP(Table4[[#This Row],[Population density]],conse.pa.!$B$3:$C$11,2,FALSE)</f>
        <v>7</v>
      </c>
      <c r="K200" s="53">
        <f>VLOOKUP(Table4[[#This Row],[Gas Flow MMSCFD 
(Loss of revenue)]],conse.pa.!$B$3:$C$11,2,FALSE)</f>
        <v>3</v>
      </c>
    </row>
    <row r="201" spans="1:11" hidden="1">
      <c r="A201" s="84">
        <v>3</v>
      </c>
      <c r="B201" s="81">
        <v>3402103</v>
      </c>
      <c r="C201" s="82" t="s">
        <v>300</v>
      </c>
      <c r="D201" s="103"/>
      <c r="E201" s="103"/>
      <c r="F201" s="103"/>
      <c r="G201" s="16">
        <v>4</v>
      </c>
      <c r="H201" s="16" t="s">
        <v>525</v>
      </c>
      <c r="J201" s="14">
        <f>VLOOKUP(Table4[[#This Row],[Population density]],conse.pa.!$B$3:$C$11,2,FALSE)</f>
        <v>7</v>
      </c>
      <c r="K201" s="53">
        <f>VLOOKUP(Table4[[#This Row],[Gas Flow MMSCFD 
(Loss of revenue)]],conse.pa.!$B$3:$C$11,2,FALSE)</f>
        <v>3</v>
      </c>
    </row>
    <row r="202" spans="1:11" hidden="1">
      <c r="A202" s="84">
        <v>3</v>
      </c>
      <c r="B202" s="81">
        <v>3402104</v>
      </c>
      <c r="C202" s="82" t="s">
        <v>301</v>
      </c>
      <c r="D202" s="103"/>
      <c r="E202" s="103"/>
      <c r="F202" s="103"/>
      <c r="G202" s="16">
        <v>4</v>
      </c>
      <c r="H202" s="16" t="s">
        <v>525</v>
      </c>
      <c r="J202" s="14">
        <f>VLOOKUP(Table4[[#This Row],[Population density]],conse.pa.!$B$3:$C$11,2,FALSE)</f>
        <v>7</v>
      </c>
      <c r="K202" s="53">
        <f>VLOOKUP(Table4[[#This Row],[Gas Flow MMSCFD 
(Loss of revenue)]],conse.pa.!$B$3:$C$11,2,FALSE)</f>
        <v>3</v>
      </c>
    </row>
    <row r="203" spans="1:11" hidden="1">
      <c r="A203" s="84">
        <v>3</v>
      </c>
      <c r="B203" s="81">
        <v>3402105</v>
      </c>
      <c r="C203" s="82" t="s">
        <v>761</v>
      </c>
      <c r="D203" s="103"/>
      <c r="E203" s="103"/>
      <c r="F203" s="103"/>
      <c r="G203" s="16">
        <v>4</v>
      </c>
      <c r="H203" s="16" t="s">
        <v>525</v>
      </c>
      <c r="J203" s="14">
        <f>VLOOKUP(Table4[[#This Row],[Population density]],conse.pa.!$B$3:$C$11,2,FALSE)</f>
        <v>7</v>
      </c>
      <c r="K203" s="53">
        <f>VLOOKUP(Table4[[#This Row],[Gas Flow MMSCFD 
(Loss of revenue)]],conse.pa.!$B$3:$C$11,2,FALSE)</f>
        <v>3</v>
      </c>
    </row>
    <row r="204" spans="1:11" hidden="1">
      <c r="A204" s="84">
        <v>3</v>
      </c>
      <c r="B204" s="81">
        <v>3402106</v>
      </c>
      <c r="C204" s="82" t="s">
        <v>302</v>
      </c>
      <c r="D204" s="103"/>
      <c r="E204" s="103"/>
      <c r="F204" s="103"/>
      <c r="G204" s="16">
        <v>4</v>
      </c>
      <c r="H204" s="16" t="s">
        <v>525</v>
      </c>
      <c r="J204" s="14">
        <f>VLOOKUP(Table4[[#This Row],[Population density]],conse.pa.!$B$3:$C$11,2,FALSE)</f>
        <v>7</v>
      </c>
      <c r="K204" s="53">
        <f>VLOOKUP(Table4[[#This Row],[Gas Flow MMSCFD 
(Loss of revenue)]],conse.pa.!$B$3:$C$11,2,FALSE)</f>
        <v>3</v>
      </c>
    </row>
    <row r="205" spans="1:11" hidden="1">
      <c r="A205" s="84">
        <v>3</v>
      </c>
      <c r="B205" s="81">
        <v>4032201</v>
      </c>
      <c r="C205" s="82" t="s">
        <v>303</v>
      </c>
      <c r="D205" s="103"/>
      <c r="E205" s="103"/>
      <c r="F205" s="103"/>
      <c r="G205" s="16">
        <v>4</v>
      </c>
      <c r="H205" s="16" t="s">
        <v>525</v>
      </c>
      <c r="J205" s="14">
        <f>VLOOKUP(Table4[[#This Row],[Population density]],conse.pa.!$B$3:$C$11,2,FALSE)</f>
        <v>7</v>
      </c>
      <c r="K205" s="53">
        <f>VLOOKUP(Table4[[#This Row],[Gas Flow MMSCFD 
(Loss of revenue)]],conse.pa.!$B$3:$C$11,2,FALSE)</f>
        <v>3</v>
      </c>
    </row>
    <row r="206" spans="1:11" hidden="1">
      <c r="A206" s="80">
        <v>3</v>
      </c>
      <c r="B206" s="81">
        <v>330800104</v>
      </c>
      <c r="C206" s="82" t="s">
        <v>304</v>
      </c>
      <c r="D206" s="103"/>
      <c r="E206" s="103"/>
      <c r="F206" s="103"/>
      <c r="G206" s="16">
        <v>4</v>
      </c>
      <c r="H206" s="16" t="s">
        <v>525</v>
      </c>
      <c r="J206" s="14">
        <f>VLOOKUP(Table4[[#This Row],[Population density]],conse.pa.!$B$3:$C$11,2,FALSE)</f>
        <v>7</v>
      </c>
      <c r="K206" s="53">
        <f>VLOOKUP(Table4[[#This Row],[Gas Flow MMSCFD 
(Loss of revenue)]],conse.pa.!$B$3:$C$11,2,FALSE)</f>
        <v>3</v>
      </c>
    </row>
    <row r="207" spans="1:11" hidden="1">
      <c r="A207" s="87">
        <v>3</v>
      </c>
      <c r="B207" s="88">
        <v>33081004</v>
      </c>
      <c r="C207" s="89" t="s">
        <v>304</v>
      </c>
      <c r="D207" s="103"/>
      <c r="E207" s="103"/>
      <c r="F207" s="103"/>
      <c r="G207" s="16">
        <v>4</v>
      </c>
      <c r="H207" s="16" t="s">
        <v>525</v>
      </c>
      <c r="J207" s="14">
        <f>VLOOKUP(Table4[[#This Row],[Population density]],conse.pa.!$B$3:$C$11,2,FALSE)</f>
        <v>7</v>
      </c>
      <c r="K207" s="53">
        <f>VLOOKUP(Table4[[#This Row],[Gas Flow MMSCFD 
(Loss of revenue)]],conse.pa.!$B$3:$C$11,2,FALSE)</f>
        <v>3</v>
      </c>
    </row>
    <row r="208" spans="1:11" hidden="1">
      <c r="A208" s="84">
        <v>3</v>
      </c>
      <c r="B208" s="81">
        <v>33083010</v>
      </c>
      <c r="C208" s="82" t="s">
        <v>305</v>
      </c>
      <c r="D208" s="103"/>
      <c r="E208" s="103"/>
      <c r="F208" s="103"/>
      <c r="G208" s="16">
        <v>4</v>
      </c>
      <c r="H208" s="16" t="s">
        <v>525</v>
      </c>
      <c r="J208" s="14">
        <f>VLOOKUP(Table4[[#This Row],[Population density]],conse.pa.!$B$3:$C$11,2,FALSE)</f>
        <v>7</v>
      </c>
      <c r="K208" s="53">
        <f>VLOOKUP(Table4[[#This Row],[Gas Flow MMSCFD 
(Loss of revenue)]],conse.pa.!$B$3:$C$11,2,FALSE)</f>
        <v>3</v>
      </c>
    </row>
    <row r="209" spans="1:11" hidden="1">
      <c r="A209" s="84">
        <v>3</v>
      </c>
      <c r="B209" s="81">
        <v>56010101</v>
      </c>
      <c r="C209" s="82" t="s">
        <v>306</v>
      </c>
      <c r="D209" s="103"/>
      <c r="E209" s="103"/>
      <c r="F209" s="103"/>
      <c r="G209" s="16">
        <v>4</v>
      </c>
      <c r="H209" s="16" t="s">
        <v>525</v>
      </c>
      <c r="J209" s="14">
        <f>VLOOKUP(Table4[[#This Row],[Population density]],conse.pa.!$B$3:$C$11,2,FALSE)</f>
        <v>7</v>
      </c>
      <c r="K209" s="53">
        <f>VLOOKUP(Table4[[#This Row],[Gas Flow MMSCFD 
(Loss of revenue)]],conse.pa.!$B$3:$C$11,2,FALSE)</f>
        <v>3</v>
      </c>
    </row>
    <row r="210" spans="1:11" hidden="1">
      <c r="A210" s="84">
        <v>3</v>
      </c>
      <c r="B210" s="81">
        <v>56010102</v>
      </c>
      <c r="C210" s="82" t="s">
        <v>307</v>
      </c>
      <c r="D210" s="103"/>
      <c r="E210" s="103"/>
      <c r="F210" s="103"/>
      <c r="G210" s="16">
        <v>4</v>
      </c>
      <c r="H210" s="16" t="s">
        <v>525</v>
      </c>
      <c r="J210" s="14">
        <f>VLOOKUP(Table4[[#This Row],[Population density]],conse.pa.!$B$3:$C$11,2,FALSE)</f>
        <v>7</v>
      </c>
      <c r="K210" s="53">
        <f>VLOOKUP(Table4[[#This Row],[Gas Flow MMSCFD 
(Loss of revenue)]],conse.pa.!$B$3:$C$11,2,FALSE)</f>
        <v>3</v>
      </c>
    </row>
    <row r="211" spans="1:11" hidden="1">
      <c r="A211" s="84">
        <v>3</v>
      </c>
      <c r="B211" s="81">
        <v>56010103</v>
      </c>
      <c r="C211" s="82" t="s">
        <v>308</v>
      </c>
      <c r="D211" s="103"/>
      <c r="E211" s="103"/>
      <c r="F211" s="103"/>
      <c r="G211" s="16">
        <v>4</v>
      </c>
      <c r="H211" s="16" t="s">
        <v>525</v>
      </c>
      <c r="J211" s="14">
        <f>VLOOKUP(Table4[[#This Row],[Population density]],conse.pa.!$B$3:$C$11,2,FALSE)</f>
        <v>7</v>
      </c>
      <c r="K211" s="53">
        <f>VLOOKUP(Table4[[#This Row],[Gas Flow MMSCFD 
(Loss of revenue)]],conse.pa.!$B$3:$C$11,2,FALSE)</f>
        <v>3</v>
      </c>
    </row>
    <row r="212" spans="1:11" hidden="1">
      <c r="A212" s="84">
        <v>3</v>
      </c>
      <c r="B212" s="81">
        <v>330820005</v>
      </c>
      <c r="C212" s="82" t="s">
        <v>309</v>
      </c>
      <c r="D212" s="103"/>
      <c r="E212" s="103"/>
      <c r="F212" s="103"/>
      <c r="G212" s="16">
        <v>4</v>
      </c>
      <c r="H212" s="16" t="s">
        <v>525</v>
      </c>
      <c r="J212" s="14">
        <f>VLOOKUP(Table4[[#This Row],[Population density]],conse.pa.!$B$3:$C$11,2,FALSE)</f>
        <v>7</v>
      </c>
      <c r="K212" s="53">
        <f>VLOOKUP(Table4[[#This Row],[Gas Flow MMSCFD 
(Loss of revenue)]],conse.pa.!$B$3:$C$11,2,FALSE)</f>
        <v>3</v>
      </c>
    </row>
    <row r="213" spans="1:11" hidden="1">
      <c r="A213" s="80">
        <v>3</v>
      </c>
      <c r="B213" s="81">
        <v>330900001</v>
      </c>
      <c r="C213" s="82" t="s">
        <v>767</v>
      </c>
      <c r="D213" s="103"/>
      <c r="E213" s="103"/>
      <c r="F213" s="103"/>
      <c r="G213" s="16">
        <v>4</v>
      </c>
      <c r="H213" s="16" t="s">
        <v>525</v>
      </c>
      <c r="J213" s="14">
        <f>VLOOKUP(Table4[[#This Row],[Population density]],conse.pa.!$B$3:$C$11,2,FALSE)</f>
        <v>7</v>
      </c>
      <c r="K213" s="53">
        <f>VLOOKUP(Table4[[#This Row],[Gas Flow MMSCFD 
(Loss of revenue)]],conse.pa.!$B$3:$C$11,2,FALSE)</f>
        <v>3</v>
      </c>
    </row>
    <row r="214" spans="1:11" hidden="1">
      <c r="A214" s="84">
        <v>3</v>
      </c>
      <c r="B214" s="81">
        <v>330901001</v>
      </c>
      <c r="C214" s="82" t="s">
        <v>310</v>
      </c>
      <c r="D214" s="103"/>
      <c r="E214" s="103"/>
      <c r="F214" s="103"/>
      <c r="G214" s="16">
        <v>4</v>
      </c>
      <c r="H214" s="16" t="s">
        <v>525</v>
      </c>
      <c r="J214" s="14">
        <f>VLOOKUP(Table4[[#This Row],[Population density]],conse.pa.!$B$3:$C$11,2,FALSE)</f>
        <v>7</v>
      </c>
      <c r="K214" s="53">
        <f>VLOOKUP(Table4[[#This Row],[Gas Flow MMSCFD 
(Loss of revenue)]],conse.pa.!$B$3:$C$11,2,FALSE)</f>
        <v>3</v>
      </c>
    </row>
    <row r="215" spans="1:11" hidden="1">
      <c r="A215" s="80">
        <v>3</v>
      </c>
      <c r="B215" s="81">
        <v>330901002</v>
      </c>
      <c r="C215" s="82" t="s">
        <v>757</v>
      </c>
      <c r="D215" s="103"/>
      <c r="E215" s="103"/>
      <c r="F215" s="103"/>
      <c r="G215" s="16">
        <v>4</v>
      </c>
      <c r="H215" s="16" t="s">
        <v>525</v>
      </c>
      <c r="J215" s="14">
        <f>VLOOKUP(Table4[[#This Row],[Population density]],conse.pa.!$B$3:$C$11,2,FALSE)</f>
        <v>7</v>
      </c>
      <c r="K215" s="53">
        <f>VLOOKUP(Table4[[#This Row],[Gas Flow MMSCFD 
(Loss of revenue)]],conse.pa.!$B$3:$C$11,2,FALSE)</f>
        <v>3</v>
      </c>
    </row>
    <row r="216" spans="1:11" hidden="1">
      <c r="A216" s="80">
        <v>3</v>
      </c>
      <c r="B216" s="81">
        <v>330901003</v>
      </c>
      <c r="C216" s="82" t="s">
        <v>759</v>
      </c>
      <c r="D216" s="103"/>
      <c r="E216" s="103"/>
      <c r="F216" s="103"/>
      <c r="G216" s="16">
        <v>4</v>
      </c>
      <c r="H216" s="16" t="s">
        <v>525</v>
      </c>
      <c r="J216" s="14">
        <f>VLOOKUP(Table4[[#This Row],[Population density]],conse.pa.!$B$3:$C$11,2,FALSE)</f>
        <v>7</v>
      </c>
      <c r="K216" s="53">
        <f>VLOOKUP(Table4[[#This Row],[Gas Flow MMSCFD 
(Loss of revenue)]],conse.pa.!$B$3:$C$11,2,FALSE)</f>
        <v>3</v>
      </c>
    </row>
    <row r="217" spans="1:11" hidden="1">
      <c r="A217" s="84">
        <v>3</v>
      </c>
      <c r="B217" s="81">
        <v>340210602</v>
      </c>
      <c r="C217" s="82" t="s">
        <v>311</v>
      </c>
      <c r="D217" s="103"/>
      <c r="E217" s="103"/>
      <c r="F217" s="103"/>
      <c r="G217" s="16">
        <v>4</v>
      </c>
      <c r="H217" s="16" t="s">
        <v>525</v>
      </c>
      <c r="J217" s="14">
        <f>VLOOKUP(Table4[[#This Row],[Population density]],conse.pa.!$B$3:$C$11,2,FALSE)</f>
        <v>7</v>
      </c>
      <c r="K217" s="53">
        <f>VLOOKUP(Table4[[#This Row],[Gas Flow MMSCFD 
(Loss of revenue)]],conse.pa.!$B$3:$C$11,2,FALSE)</f>
        <v>3</v>
      </c>
    </row>
    <row r="218" spans="1:11" hidden="1">
      <c r="A218" s="84">
        <v>3</v>
      </c>
      <c r="B218" s="81">
        <v>340300001</v>
      </c>
      <c r="C218" s="82" t="s">
        <v>312</v>
      </c>
      <c r="D218" s="103"/>
      <c r="E218" s="103"/>
      <c r="F218" s="103"/>
      <c r="G218" s="16">
        <v>4</v>
      </c>
      <c r="H218" s="16" t="s">
        <v>525</v>
      </c>
      <c r="J218" s="14">
        <f>VLOOKUP(Table4[[#This Row],[Population density]],conse.pa.!$B$3:$C$11,2,FALSE)</f>
        <v>7</v>
      </c>
      <c r="K218" s="53">
        <f>VLOOKUP(Table4[[#This Row],[Gas Flow MMSCFD 
(Loss of revenue)]],conse.pa.!$B$3:$C$11,2,FALSE)</f>
        <v>3</v>
      </c>
    </row>
    <row r="219" spans="1:11" hidden="1">
      <c r="A219" s="84">
        <v>3</v>
      </c>
      <c r="B219" s="81">
        <v>401100001</v>
      </c>
      <c r="C219" s="82" t="s">
        <v>313</v>
      </c>
      <c r="D219" s="103"/>
      <c r="E219" s="103"/>
      <c r="F219" s="103"/>
      <c r="G219" s="16">
        <v>4</v>
      </c>
      <c r="H219" s="16" t="s">
        <v>525</v>
      </c>
      <c r="J219" s="14">
        <f>VLOOKUP(Table4[[#This Row],[Population density]],conse.pa.!$B$3:$C$11,2,FALSE)</f>
        <v>7</v>
      </c>
      <c r="K219" s="53">
        <f>VLOOKUP(Table4[[#This Row],[Gas Flow MMSCFD 
(Loss of revenue)]],conse.pa.!$B$3:$C$11,2,FALSE)</f>
        <v>3</v>
      </c>
    </row>
    <row r="220" spans="1:11" hidden="1">
      <c r="A220" s="84">
        <v>3</v>
      </c>
      <c r="B220" s="81">
        <v>401110001</v>
      </c>
      <c r="C220" s="82" t="s">
        <v>314</v>
      </c>
      <c r="D220" s="103"/>
      <c r="E220" s="103"/>
      <c r="F220" s="103"/>
      <c r="G220" s="16">
        <v>4</v>
      </c>
      <c r="H220" s="16" t="s">
        <v>525</v>
      </c>
      <c r="J220" s="14">
        <f>VLOOKUP(Table4[[#This Row],[Population density]],conse.pa.!$B$3:$C$11,2,FALSE)</f>
        <v>7</v>
      </c>
      <c r="K220" s="53">
        <f>VLOOKUP(Table4[[#This Row],[Gas Flow MMSCFD 
(Loss of revenue)]],conse.pa.!$B$3:$C$11,2,FALSE)</f>
        <v>3</v>
      </c>
    </row>
    <row r="221" spans="1:11" hidden="1">
      <c r="A221" s="80">
        <v>5</v>
      </c>
      <c r="B221" s="81">
        <v>41041</v>
      </c>
      <c r="C221" s="82" t="s">
        <v>771</v>
      </c>
      <c r="D221" s="103"/>
      <c r="E221" s="103"/>
      <c r="F221" s="103"/>
      <c r="G221" s="16">
        <v>4</v>
      </c>
      <c r="H221" s="16" t="s">
        <v>525</v>
      </c>
      <c r="J221" s="14">
        <f>VLOOKUP(Table4[[#This Row],[Population density]],conse.pa.!$B$3:$C$11,2,FALSE)</f>
        <v>7</v>
      </c>
      <c r="K221" s="53">
        <f>VLOOKUP(Table4[[#This Row],[Gas Flow MMSCFD 
(Loss of revenue)]],conse.pa.!$B$3:$C$11,2,FALSE)</f>
        <v>3</v>
      </c>
    </row>
    <row r="222" spans="1:11" hidden="1">
      <c r="A222" s="84">
        <v>5</v>
      </c>
      <c r="B222" s="81">
        <v>410101</v>
      </c>
      <c r="C222" s="82" t="s">
        <v>315</v>
      </c>
      <c r="D222" s="103"/>
      <c r="E222" s="103"/>
      <c r="F222" s="103"/>
      <c r="G222" s="16">
        <v>4</v>
      </c>
      <c r="H222" s="16" t="s">
        <v>525</v>
      </c>
      <c r="J222" s="14">
        <f>VLOOKUP(Table4[[#This Row],[Population density]],conse.pa.!$B$3:$C$11,2,FALSE)</f>
        <v>7</v>
      </c>
      <c r="K222" s="53">
        <f>VLOOKUP(Table4[[#This Row],[Gas Flow MMSCFD 
(Loss of revenue)]],conse.pa.!$B$3:$C$11,2,FALSE)</f>
        <v>3</v>
      </c>
    </row>
    <row r="223" spans="1:11" hidden="1">
      <c r="A223" s="80">
        <v>5</v>
      </c>
      <c r="B223" s="81">
        <v>41010101</v>
      </c>
      <c r="C223" s="82" t="s">
        <v>773</v>
      </c>
      <c r="D223" s="103"/>
      <c r="E223" s="103"/>
      <c r="F223" s="103"/>
      <c r="G223" s="16">
        <v>4</v>
      </c>
      <c r="H223" s="16" t="s">
        <v>525</v>
      </c>
      <c r="J223" s="14">
        <f>VLOOKUP(Table4[[#This Row],[Population density]],conse.pa.!$B$3:$C$11,2,FALSE)</f>
        <v>7</v>
      </c>
      <c r="K223" s="53">
        <f>VLOOKUP(Table4[[#This Row],[Gas Flow MMSCFD 
(Loss of revenue)]],conse.pa.!$B$3:$C$11,2,FALSE)</f>
        <v>3</v>
      </c>
    </row>
    <row r="224" spans="1:11" ht="25.5" hidden="1">
      <c r="A224" s="84">
        <v>5</v>
      </c>
      <c r="B224" s="81">
        <v>410102</v>
      </c>
      <c r="C224" s="82" t="s">
        <v>316</v>
      </c>
      <c r="D224" s="103"/>
      <c r="E224" s="103"/>
      <c r="F224" s="103"/>
      <c r="G224" s="16">
        <v>4</v>
      </c>
      <c r="H224" s="16" t="s">
        <v>525</v>
      </c>
      <c r="J224" s="14">
        <f>VLOOKUP(Table4[[#This Row],[Population density]],conse.pa.!$B$3:$C$11,2,FALSE)</f>
        <v>7</v>
      </c>
      <c r="K224" s="53">
        <f>VLOOKUP(Table4[[#This Row],[Gas Flow MMSCFD 
(Loss of revenue)]],conse.pa.!$B$3:$C$11,2,FALSE)</f>
        <v>3</v>
      </c>
    </row>
    <row r="225" spans="1:11" hidden="1">
      <c r="A225" s="84">
        <v>5</v>
      </c>
      <c r="B225" s="81">
        <v>41010201</v>
      </c>
      <c r="C225" s="82" t="s">
        <v>317</v>
      </c>
      <c r="D225" s="103"/>
      <c r="E225" s="103"/>
      <c r="F225" s="103"/>
      <c r="G225" s="16">
        <v>4</v>
      </c>
      <c r="H225" s="16" t="s">
        <v>525</v>
      </c>
      <c r="J225" s="14">
        <f>VLOOKUP(Table4[[#This Row],[Population density]],conse.pa.!$B$3:$C$11,2,FALSE)</f>
        <v>7</v>
      </c>
      <c r="K225" s="53">
        <f>VLOOKUP(Table4[[#This Row],[Gas Flow MMSCFD 
(Loss of revenue)]],conse.pa.!$B$3:$C$11,2,FALSE)</f>
        <v>3</v>
      </c>
    </row>
    <row r="226" spans="1:11" hidden="1">
      <c r="A226" s="84">
        <v>5</v>
      </c>
      <c r="B226" s="81">
        <v>41010202</v>
      </c>
      <c r="C226" s="82" t="s">
        <v>318</v>
      </c>
      <c r="D226" s="103"/>
      <c r="E226" s="103"/>
      <c r="F226" s="103"/>
      <c r="G226" s="16">
        <v>4</v>
      </c>
      <c r="H226" s="16" t="s">
        <v>525</v>
      </c>
      <c r="J226" s="14">
        <f>VLOOKUP(Table4[[#This Row],[Population density]],conse.pa.!$B$3:$C$11,2,FALSE)</f>
        <v>7</v>
      </c>
      <c r="K226" s="53">
        <f>VLOOKUP(Table4[[#This Row],[Gas Flow MMSCFD 
(Loss of revenue)]],conse.pa.!$B$3:$C$11,2,FALSE)</f>
        <v>3</v>
      </c>
    </row>
    <row r="227" spans="1:11" hidden="1">
      <c r="A227" s="84">
        <v>5</v>
      </c>
      <c r="B227" s="81">
        <v>41010203</v>
      </c>
      <c r="C227" s="82" t="s">
        <v>319</v>
      </c>
      <c r="D227" s="103"/>
      <c r="E227" s="103"/>
      <c r="F227" s="103"/>
      <c r="G227" s="16">
        <v>4</v>
      </c>
      <c r="H227" s="16" t="s">
        <v>525</v>
      </c>
      <c r="J227" s="14">
        <f>VLOOKUP(Table4[[#This Row],[Population density]],conse.pa.!$B$3:$C$11,2,FALSE)</f>
        <v>7</v>
      </c>
      <c r="K227" s="53">
        <f>VLOOKUP(Table4[[#This Row],[Gas Flow MMSCFD 
(Loss of revenue)]],conse.pa.!$B$3:$C$11,2,FALSE)</f>
        <v>3</v>
      </c>
    </row>
    <row r="228" spans="1:11" hidden="1">
      <c r="A228" s="84">
        <v>5</v>
      </c>
      <c r="B228" s="81">
        <v>41010204</v>
      </c>
      <c r="C228" s="82" t="s">
        <v>320</v>
      </c>
      <c r="D228" s="103"/>
      <c r="E228" s="103"/>
      <c r="F228" s="103"/>
      <c r="G228" s="16">
        <v>4</v>
      </c>
      <c r="H228" s="16" t="s">
        <v>525</v>
      </c>
      <c r="J228" s="14">
        <f>VLOOKUP(Table4[[#This Row],[Population density]],conse.pa.!$B$3:$C$11,2,FALSE)</f>
        <v>7</v>
      </c>
      <c r="K228" s="53">
        <f>VLOOKUP(Table4[[#This Row],[Gas Flow MMSCFD 
(Loss of revenue)]],conse.pa.!$B$3:$C$11,2,FALSE)</f>
        <v>3</v>
      </c>
    </row>
    <row r="229" spans="1:11" hidden="1">
      <c r="A229" s="80">
        <v>5</v>
      </c>
      <c r="B229" s="81">
        <v>410300001</v>
      </c>
      <c r="C229" s="82" t="s">
        <v>775</v>
      </c>
      <c r="D229" s="103"/>
      <c r="E229" s="103"/>
      <c r="F229" s="103"/>
      <c r="G229" s="16">
        <v>4</v>
      </c>
      <c r="H229" s="16" t="s">
        <v>525</v>
      </c>
      <c r="J229" s="14">
        <f>VLOOKUP(Table4[[#This Row],[Population density]],conse.pa.!$B$3:$C$11,2,FALSE)</f>
        <v>7</v>
      </c>
      <c r="K229" s="53">
        <f>VLOOKUP(Table4[[#This Row],[Gas Flow MMSCFD 
(Loss of revenue)]],conse.pa.!$B$3:$C$11,2,FALSE)</f>
        <v>3</v>
      </c>
    </row>
    <row r="230" spans="1:11" hidden="1">
      <c r="A230" s="84">
        <v>5</v>
      </c>
      <c r="B230" s="81">
        <v>401201002</v>
      </c>
      <c r="C230" s="82" t="s">
        <v>321</v>
      </c>
      <c r="D230" s="103"/>
      <c r="E230" s="103"/>
      <c r="F230" s="103"/>
      <c r="G230" s="16">
        <v>4</v>
      </c>
      <c r="H230" s="16" t="s">
        <v>525</v>
      </c>
      <c r="J230" s="14">
        <f>VLOOKUP(Table4[[#This Row],[Population density]],conse.pa.!$B$3:$C$11,2,FALSE)</f>
        <v>7</v>
      </c>
      <c r="K230" s="53">
        <f>VLOOKUP(Table4[[#This Row],[Gas Flow MMSCFD 
(Loss of revenue)]],conse.pa.!$B$3:$C$11,2,FALSE)</f>
        <v>3</v>
      </c>
    </row>
    <row r="231" spans="1:11" hidden="1">
      <c r="A231" s="80">
        <v>5</v>
      </c>
      <c r="B231" s="81">
        <v>41010102</v>
      </c>
      <c r="C231" s="82" t="s">
        <v>322</v>
      </c>
      <c r="D231" s="103"/>
      <c r="E231" s="103"/>
      <c r="F231" s="103"/>
      <c r="G231" s="16">
        <v>4</v>
      </c>
      <c r="H231" s="16" t="s">
        <v>525</v>
      </c>
      <c r="J231" s="14">
        <f>VLOOKUP(Table4[[#This Row],[Population density]],conse.pa.!$B$3:$C$11,2,FALSE)</f>
        <v>7</v>
      </c>
      <c r="K231" s="53">
        <f>VLOOKUP(Table4[[#This Row],[Gas Flow MMSCFD 
(Loss of revenue)]],conse.pa.!$B$3:$C$11,2,FALSE)</f>
        <v>3</v>
      </c>
    </row>
    <row r="232" spans="1:11" hidden="1">
      <c r="A232" s="87">
        <v>5</v>
      </c>
      <c r="B232" s="88">
        <v>41010103</v>
      </c>
      <c r="C232" s="89" t="s">
        <v>787</v>
      </c>
      <c r="D232" s="103"/>
      <c r="E232" s="103"/>
      <c r="F232" s="103"/>
      <c r="G232" s="16">
        <v>4</v>
      </c>
      <c r="H232" s="16" t="s">
        <v>525</v>
      </c>
      <c r="J232" s="14">
        <f>VLOOKUP(Table4[[#This Row],[Population density]],conse.pa.!$B$3:$C$11,2,FALSE)</f>
        <v>7</v>
      </c>
      <c r="K232" s="53">
        <f>VLOOKUP(Table4[[#This Row],[Gas Flow MMSCFD 
(Loss of revenue)]],conse.pa.!$B$3:$C$11,2,FALSE)</f>
        <v>3</v>
      </c>
    </row>
    <row r="233" spans="1:11" ht="25.5" hidden="1">
      <c r="A233" s="84">
        <v>6</v>
      </c>
      <c r="B233" s="81">
        <v>4457</v>
      </c>
      <c r="C233" s="82" t="s">
        <v>323</v>
      </c>
      <c r="D233" s="103"/>
      <c r="E233" s="103"/>
      <c r="F233" s="103"/>
      <c r="G233" s="16">
        <v>4</v>
      </c>
      <c r="H233" s="16" t="s">
        <v>525</v>
      </c>
      <c r="J233" s="14">
        <f>VLOOKUP(Table4[[#This Row],[Population density]],conse.pa.!$B$3:$C$11,2,FALSE)</f>
        <v>7</v>
      </c>
      <c r="K233" s="53">
        <f>VLOOKUP(Table4[[#This Row],[Gas Flow MMSCFD 
(Loss of revenue)]],conse.pa.!$B$3:$C$11,2,FALSE)</f>
        <v>3</v>
      </c>
    </row>
    <row r="234" spans="1:11" hidden="1">
      <c r="A234" s="84">
        <v>6</v>
      </c>
      <c r="B234" s="81">
        <v>5062</v>
      </c>
      <c r="C234" s="82" t="s">
        <v>324</v>
      </c>
      <c r="D234" s="103"/>
      <c r="E234" s="103"/>
      <c r="F234" s="103"/>
      <c r="G234" s="16">
        <v>4</v>
      </c>
      <c r="H234" s="16" t="s">
        <v>525</v>
      </c>
      <c r="J234" s="14">
        <f>VLOOKUP(Table4[[#This Row],[Population density]],conse.pa.!$B$3:$C$11,2,FALSE)</f>
        <v>7</v>
      </c>
      <c r="K234" s="53">
        <f>VLOOKUP(Table4[[#This Row],[Gas Flow MMSCFD 
(Loss of revenue)]],conse.pa.!$B$3:$C$11,2,FALSE)</f>
        <v>3</v>
      </c>
    </row>
    <row r="235" spans="1:11" hidden="1">
      <c r="A235" s="84">
        <v>6</v>
      </c>
      <c r="B235" s="81">
        <v>6100</v>
      </c>
      <c r="C235" s="82" t="s">
        <v>325</v>
      </c>
      <c r="D235" s="103"/>
      <c r="E235" s="103"/>
      <c r="F235" s="103"/>
      <c r="G235" s="16">
        <v>4</v>
      </c>
      <c r="H235" s="16" t="s">
        <v>525</v>
      </c>
      <c r="J235" s="14">
        <f>VLOOKUP(Table4[[#This Row],[Population density]],conse.pa.!$B$3:$C$11,2,FALSE)</f>
        <v>7</v>
      </c>
      <c r="K235" s="53">
        <f>VLOOKUP(Table4[[#This Row],[Gas Flow MMSCFD 
(Loss of revenue)]],conse.pa.!$B$3:$C$11,2,FALSE)</f>
        <v>3</v>
      </c>
    </row>
    <row r="236" spans="1:11" ht="25.5" hidden="1">
      <c r="A236" s="84">
        <v>6</v>
      </c>
      <c r="B236" s="81">
        <v>50611</v>
      </c>
      <c r="C236" s="82" t="s">
        <v>326</v>
      </c>
      <c r="D236" s="103"/>
      <c r="E236" s="103"/>
      <c r="F236" s="103"/>
      <c r="G236" s="16">
        <v>4</v>
      </c>
      <c r="H236" s="16" t="s">
        <v>525</v>
      </c>
      <c r="J236" s="14">
        <f>VLOOKUP(Table4[[#This Row],[Population density]],conse.pa.!$B$3:$C$11,2,FALSE)</f>
        <v>7</v>
      </c>
      <c r="K236" s="53">
        <f>VLOOKUP(Table4[[#This Row],[Gas Flow MMSCFD 
(Loss of revenue)]],conse.pa.!$B$3:$C$11,2,FALSE)</f>
        <v>3</v>
      </c>
    </row>
    <row r="237" spans="1:11" hidden="1">
      <c r="A237" s="84">
        <v>6</v>
      </c>
      <c r="B237" s="81">
        <v>445402</v>
      </c>
      <c r="C237" s="82" t="s">
        <v>327</v>
      </c>
      <c r="D237" s="103"/>
      <c r="E237" s="103"/>
      <c r="F237" s="103"/>
      <c r="G237" s="16">
        <v>4</v>
      </c>
      <c r="H237" s="16" t="s">
        <v>525</v>
      </c>
      <c r="J237" s="14">
        <f>VLOOKUP(Table4[[#This Row],[Population density]],conse.pa.!$B$3:$C$11,2,FALSE)</f>
        <v>7</v>
      </c>
      <c r="K237" s="53">
        <f>VLOOKUP(Table4[[#This Row],[Gas Flow MMSCFD 
(Loss of revenue)]],conse.pa.!$B$3:$C$11,2,FALSE)</f>
        <v>3</v>
      </c>
    </row>
    <row r="238" spans="1:11" hidden="1">
      <c r="A238" s="84">
        <v>6</v>
      </c>
      <c r="B238" s="81">
        <v>445403</v>
      </c>
      <c r="C238" s="82" t="s">
        <v>328</v>
      </c>
      <c r="D238" s="103"/>
      <c r="E238" s="103"/>
      <c r="F238" s="103"/>
      <c r="G238" s="16">
        <v>4</v>
      </c>
      <c r="H238" s="16" t="s">
        <v>525</v>
      </c>
      <c r="J238" s="14">
        <f>VLOOKUP(Table4[[#This Row],[Population density]],conse.pa.!$B$3:$C$11,2,FALSE)</f>
        <v>7</v>
      </c>
      <c r="K238" s="53">
        <f>VLOOKUP(Table4[[#This Row],[Gas Flow MMSCFD 
(Loss of revenue)]],conse.pa.!$B$3:$C$11,2,FALSE)</f>
        <v>3</v>
      </c>
    </row>
    <row r="239" spans="1:11" ht="25.5" hidden="1">
      <c r="A239" s="84">
        <v>6</v>
      </c>
      <c r="B239" s="81">
        <v>615201</v>
      </c>
      <c r="C239" s="82" t="s">
        <v>329</v>
      </c>
      <c r="D239" s="103"/>
      <c r="E239" s="103"/>
      <c r="F239" s="103"/>
      <c r="G239" s="16">
        <v>4</v>
      </c>
      <c r="H239" s="16" t="s">
        <v>525</v>
      </c>
      <c r="J239" s="14">
        <f>VLOOKUP(Table4[[#This Row],[Population density]],conse.pa.!$B$3:$C$11,2,FALSE)</f>
        <v>7</v>
      </c>
      <c r="K239" s="53">
        <f>VLOOKUP(Table4[[#This Row],[Gas Flow MMSCFD 
(Loss of revenue)]],conse.pa.!$B$3:$C$11,2,FALSE)</f>
        <v>3</v>
      </c>
    </row>
    <row r="240" spans="1:11" hidden="1">
      <c r="A240" s="84">
        <v>6</v>
      </c>
      <c r="B240" s="81">
        <v>616101</v>
      </c>
      <c r="C240" s="82" t="s">
        <v>330</v>
      </c>
      <c r="D240" s="103"/>
      <c r="E240" s="103"/>
      <c r="F240" s="103"/>
      <c r="G240" s="16">
        <v>4</v>
      </c>
      <c r="H240" s="16" t="s">
        <v>525</v>
      </c>
      <c r="J240" s="14">
        <f>VLOOKUP(Table4[[#This Row],[Population density]],conse.pa.!$B$3:$C$11,2,FALSE)</f>
        <v>7</v>
      </c>
      <c r="K240" s="53">
        <f>VLOOKUP(Table4[[#This Row],[Gas Flow MMSCFD 
(Loss of revenue)]],conse.pa.!$B$3:$C$11,2,FALSE)</f>
        <v>3</v>
      </c>
    </row>
    <row r="241" spans="1:11" hidden="1">
      <c r="A241" s="84">
        <v>6</v>
      </c>
      <c r="B241" s="81">
        <v>617801</v>
      </c>
      <c r="C241" s="82" t="s">
        <v>331</v>
      </c>
      <c r="D241" s="103"/>
      <c r="E241" s="103"/>
      <c r="F241" s="103"/>
      <c r="G241" s="16">
        <v>4</v>
      </c>
      <c r="H241" s="16" t="s">
        <v>525</v>
      </c>
      <c r="J241" s="14">
        <f>VLOOKUP(Table4[[#This Row],[Population density]],conse.pa.!$B$3:$C$11,2,FALSE)</f>
        <v>7</v>
      </c>
      <c r="K241" s="53">
        <f>VLOOKUP(Table4[[#This Row],[Gas Flow MMSCFD 
(Loss of revenue)]],conse.pa.!$B$3:$C$11,2,FALSE)</f>
        <v>3</v>
      </c>
    </row>
    <row r="242" spans="1:11" hidden="1">
      <c r="A242" s="84">
        <v>6</v>
      </c>
      <c r="B242" s="81">
        <v>61520101</v>
      </c>
      <c r="C242" s="82" t="s">
        <v>332</v>
      </c>
      <c r="D242" s="103"/>
      <c r="E242" s="103"/>
      <c r="F242" s="103"/>
      <c r="G242" s="16">
        <v>4</v>
      </c>
      <c r="H242" s="16" t="s">
        <v>525</v>
      </c>
      <c r="J242" s="14">
        <f>VLOOKUP(Table4[[#This Row],[Population density]],conse.pa.!$B$3:$C$11,2,FALSE)</f>
        <v>7</v>
      </c>
      <c r="K242" s="53">
        <f>VLOOKUP(Table4[[#This Row],[Gas Flow MMSCFD 
(Loss of revenue)]],conse.pa.!$B$3:$C$11,2,FALSE)</f>
        <v>3</v>
      </c>
    </row>
    <row r="243" spans="1:11" ht="25.5" hidden="1">
      <c r="A243" s="84">
        <v>6</v>
      </c>
      <c r="B243" s="81">
        <v>61610101</v>
      </c>
      <c r="C243" s="82" t="s">
        <v>333</v>
      </c>
      <c r="D243" s="103"/>
      <c r="E243" s="103"/>
      <c r="F243" s="103"/>
      <c r="G243" s="16">
        <v>4</v>
      </c>
      <c r="H243" s="16" t="s">
        <v>525</v>
      </c>
      <c r="J243" s="14">
        <f>VLOOKUP(Table4[[#This Row],[Population density]],conse.pa.!$B$3:$C$11,2,FALSE)</f>
        <v>7</v>
      </c>
      <c r="K243" s="53">
        <f>VLOOKUP(Table4[[#This Row],[Gas Flow MMSCFD 
(Loss of revenue)]],conse.pa.!$B$3:$C$11,2,FALSE)</f>
        <v>3</v>
      </c>
    </row>
    <row r="244" spans="1:11" ht="25.5" hidden="1">
      <c r="A244" s="84">
        <v>6</v>
      </c>
      <c r="B244" s="81">
        <v>4457010102</v>
      </c>
      <c r="C244" s="82" t="s">
        <v>334</v>
      </c>
      <c r="D244" s="103"/>
      <c r="E244" s="103"/>
      <c r="F244" s="103"/>
      <c r="G244" s="16">
        <v>4</v>
      </c>
      <c r="H244" s="16" t="s">
        <v>525</v>
      </c>
      <c r="J244" s="14">
        <f>VLOOKUP(Table4[[#This Row],[Population density]],conse.pa.!$B$3:$C$11,2,FALSE)</f>
        <v>7</v>
      </c>
      <c r="K244" s="53">
        <f>VLOOKUP(Table4[[#This Row],[Gas Flow MMSCFD 
(Loss of revenue)]],conse.pa.!$B$3:$C$11,2,FALSE)</f>
        <v>3</v>
      </c>
    </row>
    <row r="245" spans="1:11" hidden="1">
      <c r="A245" s="87">
        <v>6</v>
      </c>
      <c r="B245" s="88">
        <v>4457010103</v>
      </c>
      <c r="C245" s="89" t="s">
        <v>791</v>
      </c>
      <c r="D245" s="103"/>
      <c r="E245" s="103"/>
      <c r="F245" s="103"/>
      <c r="G245" s="16">
        <v>4</v>
      </c>
      <c r="H245" s="16" t="s">
        <v>525</v>
      </c>
      <c r="J245" s="14">
        <f>VLOOKUP(Table4[[#This Row],[Population density]],conse.pa.!$B$3:$C$11,2,FALSE)</f>
        <v>7</v>
      </c>
      <c r="K245" s="53">
        <f>VLOOKUP(Table4[[#This Row],[Gas Flow MMSCFD 
(Loss of revenue)]],conse.pa.!$B$3:$C$11,2,FALSE)</f>
        <v>3</v>
      </c>
    </row>
    <row r="246" spans="1:11" hidden="1">
      <c r="A246" s="84">
        <v>6</v>
      </c>
      <c r="B246" s="81">
        <v>4457010104</v>
      </c>
      <c r="C246" s="82" t="s">
        <v>335</v>
      </c>
      <c r="D246" s="103"/>
      <c r="E246" s="103"/>
      <c r="F246" s="103"/>
      <c r="G246" s="16">
        <v>4</v>
      </c>
      <c r="H246" s="16" t="s">
        <v>525</v>
      </c>
      <c r="J246" s="14">
        <f>VLOOKUP(Table4[[#This Row],[Population density]],conse.pa.!$B$3:$C$11,2,FALSE)</f>
        <v>7</v>
      </c>
      <c r="K246" s="53">
        <f>VLOOKUP(Table4[[#This Row],[Gas Flow MMSCFD 
(Loss of revenue)]],conse.pa.!$B$3:$C$11,2,FALSE)</f>
        <v>3</v>
      </c>
    </row>
    <row r="247" spans="1:11" hidden="1">
      <c r="A247" s="84">
        <v>6</v>
      </c>
      <c r="B247" s="81">
        <v>4457010105</v>
      </c>
      <c r="C247" s="82" t="s">
        <v>336</v>
      </c>
      <c r="D247" s="103"/>
      <c r="E247" s="103"/>
      <c r="F247" s="103"/>
      <c r="G247" s="16">
        <v>4</v>
      </c>
      <c r="H247" s="16" t="s">
        <v>525</v>
      </c>
      <c r="J247" s="14">
        <f>VLOOKUP(Table4[[#This Row],[Population density]],conse.pa.!$B$3:$C$11,2,FALSE)</f>
        <v>7</v>
      </c>
      <c r="K247" s="53">
        <f>VLOOKUP(Table4[[#This Row],[Gas Flow MMSCFD 
(Loss of revenue)]],conse.pa.!$B$3:$C$11,2,FALSE)</f>
        <v>3</v>
      </c>
    </row>
    <row r="248" spans="1:11" hidden="1">
      <c r="A248" s="84">
        <v>6</v>
      </c>
      <c r="B248" s="81">
        <v>4457010106</v>
      </c>
      <c r="C248" s="82" t="s">
        <v>337</v>
      </c>
      <c r="D248" s="103"/>
      <c r="E248" s="103"/>
      <c r="F248" s="103"/>
      <c r="G248" s="16">
        <v>4</v>
      </c>
      <c r="H248" s="16" t="s">
        <v>525</v>
      </c>
      <c r="J248" s="14">
        <f>VLOOKUP(Table4[[#This Row],[Population density]],conse.pa.!$B$3:$C$11,2,FALSE)</f>
        <v>7</v>
      </c>
      <c r="K248" s="53">
        <f>VLOOKUP(Table4[[#This Row],[Gas Flow MMSCFD 
(Loss of revenue)]],conse.pa.!$B$3:$C$11,2,FALSE)</f>
        <v>3</v>
      </c>
    </row>
    <row r="249" spans="1:11" hidden="1">
      <c r="A249" s="84">
        <v>6</v>
      </c>
      <c r="B249" s="81">
        <v>4457010108</v>
      </c>
      <c r="C249" s="82" t="s">
        <v>338</v>
      </c>
      <c r="D249" s="103"/>
      <c r="E249" s="103"/>
      <c r="F249" s="103"/>
      <c r="G249" s="16">
        <v>4</v>
      </c>
      <c r="H249" s="16" t="s">
        <v>525</v>
      </c>
      <c r="J249" s="14">
        <f>VLOOKUP(Table4[[#This Row],[Population density]],conse.pa.!$B$3:$C$11,2,FALSE)</f>
        <v>7</v>
      </c>
      <c r="K249" s="53">
        <f>VLOOKUP(Table4[[#This Row],[Gas Flow MMSCFD 
(Loss of revenue)]],conse.pa.!$B$3:$C$11,2,FALSE)</f>
        <v>3</v>
      </c>
    </row>
    <row r="250" spans="1:11">
      <c r="A250" s="80">
        <v>6</v>
      </c>
      <c r="B250" s="81"/>
      <c r="C250" s="82" t="s">
        <v>777</v>
      </c>
      <c r="D250" s="103"/>
      <c r="E250" s="103"/>
      <c r="F250" s="103"/>
      <c r="G250" s="16">
        <v>4</v>
      </c>
      <c r="H250" s="16" t="s">
        <v>525</v>
      </c>
      <c r="J250" s="14">
        <f>VLOOKUP(Table4[[#This Row],[Population density]],conse.pa.!$B$3:$C$11,2,FALSE)</f>
        <v>7</v>
      </c>
      <c r="K250" s="53">
        <f>VLOOKUP(Table4[[#This Row],[Gas Flow MMSCFD 
(Loss of revenue)]],conse.pa.!$B$3:$C$11,2,FALSE)</f>
        <v>3</v>
      </c>
    </row>
    <row r="251" spans="1:11" hidden="1">
      <c r="A251" s="87">
        <v>6</v>
      </c>
      <c r="B251" s="88">
        <v>4457010201</v>
      </c>
      <c r="C251" s="89" t="s">
        <v>789</v>
      </c>
      <c r="D251" s="103"/>
      <c r="E251" s="103"/>
      <c r="F251" s="103"/>
      <c r="G251" s="16">
        <v>4</v>
      </c>
      <c r="H251" s="16" t="s">
        <v>525</v>
      </c>
      <c r="J251" s="14">
        <f>VLOOKUP(Table4[[#This Row],[Population density]],conse.pa.!$B$3:$C$11,2,FALSE)</f>
        <v>7</v>
      </c>
      <c r="K251" s="53">
        <f>VLOOKUP(Table4[[#This Row],[Gas Flow MMSCFD 
(Loss of revenue)]],conse.pa.!$B$3:$C$11,2,FALSE)</f>
        <v>3</v>
      </c>
    </row>
    <row r="252" spans="1:11" hidden="1">
      <c r="A252" s="84">
        <v>6</v>
      </c>
      <c r="B252" s="81">
        <v>4457010204</v>
      </c>
      <c r="C252" s="82" t="s">
        <v>339</v>
      </c>
      <c r="D252" s="103"/>
      <c r="E252" s="103"/>
      <c r="F252" s="103"/>
      <c r="G252" s="16">
        <v>4</v>
      </c>
      <c r="H252" s="16" t="s">
        <v>525</v>
      </c>
      <c r="J252" s="14">
        <f>VLOOKUP(Table4[[#This Row],[Population density]],conse.pa.!$B$3:$C$11,2,FALSE)</f>
        <v>7</v>
      </c>
      <c r="K252" s="53">
        <f>VLOOKUP(Table4[[#This Row],[Gas Flow MMSCFD 
(Loss of revenue)]],conse.pa.!$B$3:$C$11,2,FALSE)</f>
        <v>3</v>
      </c>
    </row>
    <row r="253" spans="1:11" hidden="1">
      <c r="A253" s="84">
        <v>9</v>
      </c>
      <c r="B253" s="81">
        <v>620</v>
      </c>
      <c r="C253" s="82" t="s">
        <v>340</v>
      </c>
      <c r="D253" s="103"/>
      <c r="E253" s="103"/>
      <c r="F253" s="103"/>
      <c r="G253" s="16">
        <v>4</v>
      </c>
      <c r="H253" s="16" t="s">
        <v>525</v>
      </c>
      <c r="J253" s="14">
        <f>VLOOKUP(Table4[[#This Row],[Population density]],conse.pa.!$B$3:$C$11,2,FALSE)</f>
        <v>7</v>
      </c>
      <c r="K253" s="53">
        <f>VLOOKUP(Table4[[#This Row],[Gas Flow MMSCFD 
(Loss of revenue)]],conse.pa.!$B$3:$C$11,2,FALSE)</f>
        <v>3</v>
      </c>
    </row>
    <row r="254" spans="1:11" hidden="1">
      <c r="A254" s="80">
        <v>9</v>
      </c>
      <c r="B254" s="81">
        <v>6521</v>
      </c>
      <c r="C254" s="82" t="s">
        <v>779</v>
      </c>
      <c r="D254" s="103"/>
      <c r="E254" s="103"/>
      <c r="F254" s="103"/>
      <c r="G254" s="16">
        <v>4</v>
      </c>
      <c r="H254" s="16" t="s">
        <v>525</v>
      </c>
      <c r="J254" s="14">
        <f>VLOOKUP(Table4[[#This Row],[Population density]],conse.pa.!$B$3:$C$11,2,FALSE)</f>
        <v>7</v>
      </c>
      <c r="K254" s="53">
        <f>VLOOKUP(Table4[[#This Row],[Gas Flow MMSCFD 
(Loss of revenue)]],conse.pa.!$B$3:$C$11,2,FALSE)</f>
        <v>3</v>
      </c>
    </row>
    <row r="255" spans="1:11" hidden="1">
      <c r="A255" s="80">
        <v>9</v>
      </c>
      <c r="B255" s="81">
        <v>652200002</v>
      </c>
      <c r="C255" s="82" t="s">
        <v>784</v>
      </c>
      <c r="D255" s="103"/>
      <c r="E255" s="103"/>
      <c r="F255" s="103"/>
      <c r="G255" s="16">
        <v>4</v>
      </c>
      <c r="H255" s="16" t="s">
        <v>525</v>
      </c>
      <c r="J255" s="14">
        <f>VLOOKUP(Table4[[#This Row],[Population density]],conse.pa.!$B$3:$C$11,2,FALSE)</f>
        <v>7</v>
      </c>
      <c r="K255" s="53">
        <f>VLOOKUP(Table4[[#This Row],[Gas Flow MMSCFD 
(Loss of revenue)]],conse.pa.!$B$3:$C$11,2,FALSE)</f>
        <v>3</v>
      </c>
    </row>
    <row r="256" spans="1:11" hidden="1">
      <c r="A256" s="80">
        <v>9</v>
      </c>
      <c r="B256" s="81">
        <v>6523</v>
      </c>
      <c r="C256" s="82" t="s">
        <v>781</v>
      </c>
      <c r="D256" s="103"/>
      <c r="E256" s="103"/>
      <c r="F256" s="103"/>
      <c r="G256" s="16">
        <v>4</v>
      </c>
      <c r="H256" s="16" t="s">
        <v>525</v>
      </c>
      <c r="J256" s="14">
        <f>VLOOKUP(Table4[[#This Row],[Population density]],conse.pa.!$B$3:$C$11,2,FALSE)</f>
        <v>7</v>
      </c>
      <c r="K256" s="53">
        <f>VLOOKUP(Table4[[#This Row],[Gas Flow MMSCFD 
(Loss of revenue)]],conse.pa.!$B$3:$C$11,2,FALSE)</f>
        <v>3</v>
      </c>
    </row>
    <row r="257" spans="1:11" hidden="1">
      <c r="A257" s="80">
        <v>9</v>
      </c>
      <c r="B257" s="81">
        <v>6525</v>
      </c>
      <c r="C257" s="82" t="s">
        <v>799</v>
      </c>
      <c r="D257" s="103"/>
      <c r="E257" s="103"/>
      <c r="F257" s="103"/>
      <c r="G257" s="16">
        <v>4</v>
      </c>
      <c r="H257" s="16" t="s">
        <v>525</v>
      </c>
      <c r="J257" s="14">
        <f>VLOOKUP(Table4[[#This Row],[Population density]],conse.pa.!$B$3:$C$11,2,FALSE)</f>
        <v>7</v>
      </c>
      <c r="K257" s="53">
        <f>VLOOKUP(Table4[[#This Row],[Gas Flow MMSCFD 
(Loss of revenue)]],conse.pa.!$B$3:$C$11,2,FALSE)</f>
        <v>3</v>
      </c>
    </row>
    <row r="258" spans="1:11" hidden="1">
      <c r="A258" s="80">
        <v>9</v>
      </c>
      <c r="B258" s="81">
        <v>652501</v>
      </c>
      <c r="C258" s="82"/>
      <c r="D258" s="103"/>
      <c r="E258" s="103"/>
      <c r="F258" s="103"/>
      <c r="G258" s="16">
        <v>4</v>
      </c>
      <c r="H258" s="16" t="s">
        <v>525</v>
      </c>
      <c r="J258" s="14">
        <f>VLOOKUP(Table4[[#This Row],[Population density]],conse.pa.!$B$3:$C$11,2,FALSE)</f>
        <v>7</v>
      </c>
      <c r="K258" s="53">
        <f>VLOOKUP(Table4[[#This Row],[Gas Flow MMSCFD 
(Loss of revenue)]],conse.pa.!$B$3:$C$11,2,FALSE)</f>
        <v>3</v>
      </c>
    </row>
    <row r="259" spans="1:11" hidden="1">
      <c r="A259" s="84">
        <v>9</v>
      </c>
      <c r="B259" s="81">
        <v>4470</v>
      </c>
      <c r="C259" s="82" t="s">
        <v>341</v>
      </c>
      <c r="D259" s="103"/>
      <c r="E259" s="103"/>
      <c r="F259" s="103"/>
      <c r="G259" s="16">
        <v>4</v>
      </c>
      <c r="H259" s="16" t="s">
        <v>525</v>
      </c>
      <c r="J259" s="14">
        <f>VLOOKUP(Table4[[#This Row],[Population density]],conse.pa.!$B$3:$C$11,2,FALSE)</f>
        <v>7</v>
      </c>
      <c r="K259" s="53">
        <f>VLOOKUP(Table4[[#This Row],[Gas Flow MMSCFD 
(Loss of revenue)]],conse.pa.!$B$3:$C$11,2,FALSE)</f>
        <v>3</v>
      </c>
    </row>
    <row r="260" spans="1:11" hidden="1">
      <c r="A260" s="84">
        <v>9</v>
      </c>
      <c r="B260" s="81">
        <v>6203</v>
      </c>
      <c r="C260" s="82" t="s">
        <v>342</v>
      </c>
      <c r="D260" s="103"/>
      <c r="E260" s="103"/>
      <c r="F260" s="103"/>
      <c r="G260" s="16">
        <v>4</v>
      </c>
      <c r="H260" s="16" t="s">
        <v>525</v>
      </c>
      <c r="J260" s="14">
        <f>VLOOKUP(Table4[[#This Row],[Population density]],conse.pa.!$B$3:$C$11,2,FALSE)</f>
        <v>7</v>
      </c>
      <c r="K260" s="53">
        <f>VLOOKUP(Table4[[#This Row],[Gas Flow MMSCFD 
(Loss of revenue)]],conse.pa.!$B$3:$C$11,2,FALSE)</f>
        <v>3</v>
      </c>
    </row>
    <row r="261" spans="1:11" hidden="1">
      <c r="A261" s="84">
        <v>9</v>
      </c>
      <c r="B261" s="81">
        <v>6208</v>
      </c>
      <c r="C261" s="82" t="s">
        <v>343</v>
      </c>
      <c r="D261" s="103"/>
      <c r="E261" s="103"/>
      <c r="F261" s="103"/>
      <c r="G261" s="16">
        <v>4</v>
      </c>
      <c r="H261" s="16" t="s">
        <v>525</v>
      </c>
      <c r="J261" s="14">
        <f>VLOOKUP(Table4[[#This Row],[Population density]],conse.pa.!$B$3:$C$11,2,FALSE)</f>
        <v>7</v>
      </c>
      <c r="K261" s="53">
        <f>VLOOKUP(Table4[[#This Row],[Gas Flow MMSCFD 
(Loss of revenue)]],conse.pa.!$B$3:$C$11,2,FALSE)</f>
        <v>3</v>
      </c>
    </row>
    <row r="262" spans="1:11" hidden="1">
      <c r="A262" s="84">
        <v>9</v>
      </c>
      <c r="B262" s="81">
        <v>6531</v>
      </c>
      <c r="C262" s="82" t="s">
        <v>344</v>
      </c>
      <c r="D262" s="103"/>
      <c r="E262" s="103"/>
      <c r="F262" s="103"/>
      <c r="G262" s="16">
        <v>4</v>
      </c>
      <c r="H262" s="16" t="s">
        <v>525</v>
      </c>
      <c r="J262" s="14">
        <f>VLOOKUP(Table4[[#This Row],[Population density]],conse.pa.!$B$3:$C$11,2,FALSE)</f>
        <v>7</v>
      </c>
      <c r="K262" s="53">
        <f>VLOOKUP(Table4[[#This Row],[Gas Flow MMSCFD 
(Loss of revenue)]],conse.pa.!$B$3:$C$11,2,FALSE)</f>
        <v>3</v>
      </c>
    </row>
    <row r="263" spans="1:11" hidden="1">
      <c r="A263" s="80">
        <v>9</v>
      </c>
      <c r="B263" s="81">
        <v>653100001</v>
      </c>
      <c r="C263" s="82"/>
      <c r="D263" s="103"/>
      <c r="E263" s="103"/>
      <c r="F263" s="103"/>
      <c r="G263" s="16">
        <v>4</v>
      </c>
      <c r="H263" s="16" t="s">
        <v>525</v>
      </c>
      <c r="J263" s="14">
        <f>VLOOKUP(Table4[[#This Row],[Population density]],conse.pa.!$B$3:$C$11,2,FALSE)</f>
        <v>7</v>
      </c>
      <c r="K263" s="53">
        <f>VLOOKUP(Table4[[#This Row],[Gas Flow MMSCFD 
(Loss of revenue)]],conse.pa.!$B$3:$C$11,2,FALSE)</f>
        <v>3</v>
      </c>
    </row>
    <row r="264" spans="1:11" hidden="1">
      <c r="A264" s="80">
        <v>9</v>
      </c>
      <c r="B264" s="81">
        <v>65311</v>
      </c>
      <c r="C264" s="82" t="s">
        <v>817</v>
      </c>
      <c r="D264" s="103"/>
      <c r="E264" s="103"/>
      <c r="F264" s="103"/>
      <c r="G264" s="16">
        <v>4</v>
      </c>
      <c r="H264" s="16" t="s">
        <v>525</v>
      </c>
      <c r="J264" s="14">
        <f>VLOOKUP(Table4[[#This Row],[Population density]],conse.pa.!$B$3:$C$11,2,FALSE)</f>
        <v>7</v>
      </c>
      <c r="K264" s="53">
        <f>VLOOKUP(Table4[[#This Row],[Gas Flow MMSCFD 
(Loss of revenue)]],conse.pa.!$B$3:$C$11,2,FALSE)</f>
        <v>3</v>
      </c>
    </row>
    <row r="265" spans="1:11" hidden="1">
      <c r="A265" s="80">
        <v>9</v>
      </c>
      <c r="B265" s="81">
        <v>653110101</v>
      </c>
      <c r="C265" s="82" t="s">
        <v>823</v>
      </c>
      <c r="D265" s="103"/>
      <c r="E265" s="103"/>
      <c r="F265" s="103"/>
      <c r="G265" s="16">
        <v>4</v>
      </c>
      <c r="H265" s="16" t="s">
        <v>525</v>
      </c>
      <c r="J265" s="14">
        <f>VLOOKUP(Table4[[#This Row],[Population density]],conse.pa.!$B$3:$C$11,2,FALSE)</f>
        <v>7</v>
      </c>
      <c r="K265" s="53">
        <f>VLOOKUP(Table4[[#This Row],[Gas Flow MMSCFD 
(Loss of revenue)]],conse.pa.!$B$3:$C$11,2,FALSE)</f>
        <v>3</v>
      </c>
    </row>
    <row r="266" spans="1:11" hidden="1">
      <c r="A266" s="80">
        <v>9</v>
      </c>
      <c r="B266" s="81">
        <v>653110103</v>
      </c>
      <c r="C266" s="82" t="s">
        <v>826</v>
      </c>
      <c r="D266" s="103"/>
      <c r="E266" s="103"/>
      <c r="F266" s="103"/>
      <c r="G266" s="16">
        <v>4</v>
      </c>
      <c r="H266" s="16" t="s">
        <v>525</v>
      </c>
      <c r="J266" s="14">
        <f>VLOOKUP(Table4[[#This Row],[Population density]],conse.pa.!$B$3:$C$11,2,FALSE)</f>
        <v>7</v>
      </c>
      <c r="K266" s="53">
        <f>VLOOKUP(Table4[[#This Row],[Gas Flow MMSCFD 
(Loss of revenue)]],conse.pa.!$B$3:$C$11,2,FALSE)</f>
        <v>3</v>
      </c>
    </row>
    <row r="267" spans="1:11" hidden="1">
      <c r="A267" s="80">
        <v>9</v>
      </c>
      <c r="B267" s="81">
        <v>653110104</v>
      </c>
      <c r="C267" s="82" t="s">
        <v>828</v>
      </c>
      <c r="D267" s="103"/>
      <c r="E267" s="103"/>
      <c r="F267" s="103"/>
      <c r="G267" s="16">
        <v>4</v>
      </c>
      <c r="H267" s="16" t="s">
        <v>525</v>
      </c>
      <c r="J267" s="14">
        <f>VLOOKUP(Table4[[#This Row],[Population density]],conse.pa.!$B$3:$C$11,2,FALSE)</f>
        <v>7</v>
      </c>
      <c r="K267" s="53">
        <f>VLOOKUP(Table4[[#This Row],[Gas Flow MMSCFD 
(Loss of revenue)]],conse.pa.!$B$3:$C$11,2,FALSE)</f>
        <v>3</v>
      </c>
    </row>
    <row r="268" spans="1:11" hidden="1">
      <c r="A268" s="80">
        <v>9</v>
      </c>
      <c r="B268" s="81">
        <v>653110105</v>
      </c>
      <c r="C268" s="82" t="s">
        <v>830</v>
      </c>
      <c r="D268" s="103"/>
      <c r="E268" s="103"/>
      <c r="F268" s="103"/>
      <c r="G268" s="16">
        <v>4</v>
      </c>
      <c r="H268" s="16" t="s">
        <v>525</v>
      </c>
      <c r="J268" s="14">
        <f>VLOOKUP(Table4[[#This Row],[Population density]],conse.pa.!$B$3:$C$11,2,FALSE)</f>
        <v>7</v>
      </c>
      <c r="K268" s="53">
        <f>VLOOKUP(Table4[[#This Row],[Gas Flow MMSCFD 
(Loss of revenue)]],conse.pa.!$B$3:$C$11,2,FALSE)</f>
        <v>3</v>
      </c>
    </row>
    <row r="269" spans="1:11" hidden="1">
      <c r="A269" s="80">
        <v>9</v>
      </c>
      <c r="B269" s="81">
        <v>653110106</v>
      </c>
      <c r="C269" s="82" t="s">
        <v>832</v>
      </c>
      <c r="D269" s="103"/>
      <c r="E269" s="103"/>
      <c r="F269" s="103"/>
      <c r="G269" s="16">
        <v>4</v>
      </c>
      <c r="H269" s="16" t="s">
        <v>525</v>
      </c>
      <c r="J269" s="14">
        <f>VLOOKUP(Table4[[#This Row],[Population density]],conse.pa.!$B$3:$C$11,2,FALSE)</f>
        <v>7</v>
      </c>
      <c r="K269" s="53">
        <f>VLOOKUP(Table4[[#This Row],[Gas Flow MMSCFD 
(Loss of revenue)]],conse.pa.!$B$3:$C$11,2,FALSE)</f>
        <v>3</v>
      </c>
    </row>
    <row r="270" spans="1:11" hidden="1">
      <c r="A270" s="80">
        <v>9</v>
      </c>
      <c r="B270" s="81">
        <v>653110108</v>
      </c>
      <c r="C270" s="82" t="s">
        <v>834</v>
      </c>
      <c r="D270" s="103"/>
      <c r="E270" s="103"/>
      <c r="F270" s="103"/>
      <c r="G270" s="16">
        <v>4</v>
      </c>
      <c r="H270" s="16" t="s">
        <v>525</v>
      </c>
      <c r="J270" s="14">
        <f>VLOOKUP(Table4[[#This Row],[Population density]],conse.pa.!$B$3:$C$11,2,FALSE)</f>
        <v>7</v>
      </c>
      <c r="K270" s="53">
        <f>VLOOKUP(Table4[[#This Row],[Gas Flow MMSCFD 
(Loss of revenue)]],conse.pa.!$B$3:$C$11,2,FALSE)</f>
        <v>3</v>
      </c>
    </row>
    <row r="271" spans="1:11" hidden="1">
      <c r="A271" s="80">
        <v>9</v>
      </c>
      <c r="B271" s="81">
        <v>653110109</v>
      </c>
      <c r="C271" s="82" t="s">
        <v>836</v>
      </c>
      <c r="D271" s="103"/>
      <c r="E271" s="103"/>
      <c r="F271" s="103"/>
      <c r="G271" s="16">
        <v>4</v>
      </c>
      <c r="H271" s="16" t="s">
        <v>525</v>
      </c>
      <c r="J271" s="14">
        <f>VLOOKUP(Table4[[#This Row],[Population density]],conse.pa.!$B$3:$C$11,2,FALSE)</f>
        <v>7</v>
      </c>
      <c r="K271" s="53">
        <f>VLOOKUP(Table4[[#This Row],[Gas Flow MMSCFD 
(Loss of revenue)]],conse.pa.!$B$3:$C$11,2,FALSE)</f>
        <v>3</v>
      </c>
    </row>
    <row r="272" spans="1:11" hidden="1">
      <c r="A272" s="80">
        <v>9</v>
      </c>
      <c r="B272" s="81">
        <v>653110110</v>
      </c>
      <c r="C272" s="82" t="s">
        <v>838</v>
      </c>
      <c r="D272" s="103"/>
      <c r="E272" s="103"/>
      <c r="F272" s="103"/>
      <c r="G272" s="16">
        <v>4</v>
      </c>
      <c r="H272" s="16" t="s">
        <v>525</v>
      </c>
      <c r="J272" s="14">
        <f>VLOOKUP(Table4[[#This Row],[Population density]],conse.pa.!$B$3:$C$11,2,FALSE)</f>
        <v>7</v>
      </c>
      <c r="K272" s="53">
        <f>VLOOKUP(Table4[[#This Row],[Gas Flow MMSCFD 
(Loss of revenue)]],conse.pa.!$B$3:$C$11,2,FALSE)</f>
        <v>3</v>
      </c>
    </row>
    <row r="273" spans="1:11" hidden="1">
      <c r="A273" s="80">
        <v>9</v>
      </c>
      <c r="B273" s="81">
        <v>653110111</v>
      </c>
      <c r="C273" s="82" t="s">
        <v>840</v>
      </c>
      <c r="D273" s="103"/>
      <c r="E273" s="103"/>
      <c r="F273" s="103"/>
      <c r="G273" s="16">
        <v>4</v>
      </c>
      <c r="H273" s="16" t="s">
        <v>525</v>
      </c>
      <c r="J273" s="14">
        <f>VLOOKUP(Table4[[#This Row],[Population density]],conse.pa.!$B$3:$C$11,2,FALSE)</f>
        <v>7</v>
      </c>
      <c r="K273" s="53">
        <f>VLOOKUP(Table4[[#This Row],[Gas Flow MMSCFD 
(Loss of revenue)]],conse.pa.!$B$3:$C$11,2,FALSE)</f>
        <v>3</v>
      </c>
    </row>
    <row r="274" spans="1:11" hidden="1">
      <c r="A274" s="80">
        <v>9</v>
      </c>
      <c r="B274" s="81">
        <v>653110112</v>
      </c>
      <c r="C274" s="82" t="s">
        <v>842</v>
      </c>
      <c r="D274" s="103"/>
      <c r="E274" s="103"/>
      <c r="F274" s="103"/>
      <c r="G274" s="16">
        <v>4</v>
      </c>
      <c r="H274" s="16" t="s">
        <v>525</v>
      </c>
      <c r="J274" s="14">
        <f>VLOOKUP(Table4[[#This Row],[Population density]],conse.pa.!$B$3:$C$11,2,FALSE)</f>
        <v>7</v>
      </c>
      <c r="K274" s="53">
        <f>VLOOKUP(Table4[[#This Row],[Gas Flow MMSCFD 
(Loss of revenue)]],conse.pa.!$B$3:$C$11,2,FALSE)</f>
        <v>3</v>
      </c>
    </row>
    <row r="275" spans="1:11" hidden="1">
      <c r="A275" s="80">
        <v>9</v>
      </c>
      <c r="B275" s="81">
        <v>553110113</v>
      </c>
      <c r="C275" s="82" t="s">
        <v>843</v>
      </c>
      <c r="D275" s="103"/>
      <c r="E275" s="103"/>
      <c r="F275" s="103"/>
      <c r="G275" s="16">
        <v>4</v>
      </c>
      <c r="H275" s="16" t="s">
        <v>525</v>
      </c>
      <c r="J275" s="14">
        <f>VLOOKUP(Table4[[#This Row],[Population density]],conse.pa.!$B$3:$C$11,2,FALSE)</f>
        <v>7</v>
      </c>
      <c r="K275" s="53">
        <f>VLOOKUP(Table4[[#This Row],[Gas Flow MMSCFD 
(Loss of revenue)]],conse.pa.!$B$3:$C$11,2,FALSE)</f>
        <v>3</v>
      </c>
    </row>
    <row r="276" spans="1:11" hidden="1">
      <c r="A276" s="80">
        <v>9</v>
      </c>
      <c r="B276" s="81">
        <v>653110114</v>
      </c>
      <c r="C276" s="82"/>
      <c r="D276" s="103"/>
      <c r="E276" s="103"/>
      <c r="F276" s="103"/>
      <c r="G276" s="16">
        <v>4</v>
      </c>
      <c r="H276" s="16" t="s">
        <v>525</v>
      </c>
      <c r="J276" s="14">
        <f>VLOOKUP(Table4[[#This Row],[Population density]],conse.pa.!$B$3:$C$11,2,FALSE)</f>
        <v>7</v>
      </c>
      <c r="K276" s="53">
        <f>VLOOKUP(Table4[[#This Row],[Gas Flow MMSCFD 
(Loss of revenue)]],conse.pa.!$B$3:$C$11,2,FALSE)</f>
        <v>3</v>
      </c>
    </row>
    <row r="277" spans="1:11" hidden="1">
      <c r="A277" s="80">
        <v>9</v>
      </c>
      <c r="B277" s="81">
        <v>653110115</v>
      </c>
      <c r="C277" s="82" t="s">
        <v>846</v>
      </c>
      <c r="D277" s="103"/>
      <c r="E277" s="103"/>
      <c r="F277" s="103"/>
      <c r="G277" s="16">
        <v>4</v>
      </c>
      <c r="H277" s="16" t="s">
        <v>525</v>
      </c>
      <c r="J277" s="14">
        <f>VLOOKUP(Table4[[#This Row],[Population density]],conse.pa.!$B$3:$C$11,2,FALSE)</f>
        <v>7</v>
      </c>
      <c r="K277" s="53">
        <f>VLOOKUP(Table4[[#This Row],[Gas Flow MMSCFD 
(Loss of revenue)]],conse.pa.!$B$3:$C$11,2,FALSE)</f>
        <v>3</v>
      </c>
    </row>
    <row r="278" spans="1:11" hidden="1">
      <c r="A278" s="80">
        <v>9</v>
      </c>
      <c r="B278" s="81">
        <v>653110116</v>
      </c>
      <c r="C278" s="82" t="s">
        <v>848</v>
      </c>
      <c r="D278" s="103"/>
      <c r="E278" s="103"/>
      <c r="F278" s="103"/>
      <c r="G278" s="16">
        <v>4</v>
      </c>
      <c r="H278" s="16" t="s">
        <v>525</v>
      </c>
      <c r="J278" s="14">
        <f>VLOOKUP(Table4[[#This Row],[Population density]],conse.pa.!$B$3:$C$11,2,FALSE)</f>
        <v>7</v>
      </c>
      <c r="K278" s="53">
        <f>VLOOKUP(Table4[[#This Row],[Gas Flow MMSCFD 
(Loss of revenue)]],conse.pa.!$B$3:$C$11,2,FALSE)</f>
        <v>3</v>
      </c>
    </row>
    <row r="279" spans="1:11" hidden="1">
      <c r="A279" s="80">
        <v>9</v>
      </c>
      <c r="B279" s="81">
        <v>653110117</v>
      </c>
      <c r="C279" s="82" t="s">
        <v>850</v>
      </c>
      <c r="D279" s="103"/>
      <c r="E279" s="103"/>
      <c r="F279" s="103"/>
      <c r="G279" s="16">
        <v>4</v>
      </c>
      <c r="H279" s="16" t="s">
        <v>525</v>
      </c>
      <c r="J279" s="14">
        <f>VLOOKUP(Table4[[#This Row],[Population density]],conse.pa.!$B$3:$C$11,2,FALSE)</f>
        <v>7</v>
      </c>
      <c r="K279" s="53">
        <f>VLOOKUP(Table4[[#This Row],[Gas Flow MMSCFD 
(Loss of revenue)]],conse.pa.!$B$3:$C$11,2,FALSE)</f>
        <v>3</v>
      </c>
    </row>
    <row r="280" spans="1:11" hidden="1">
      <c r="A280" s="80">
        <v>9</v>
      </c>
      <c r="B280" s="81">
        <v>6531102</v>
      </c>
      <c r="C280" s="82" t="s">
        <v>819</v>
      </c>
      <c r="D280" s="103"/>
      <c r="E280" s="103"/>
      <c r="F280" s="103"/>
      <c r="G280" s="16">
        <v>4</v>
      </c>
      <c r="H280" s="16" t="s">
        <v>525</v>
      </c>
      <c r="J280" s="14">
        <f>VLOOKUP(Table4[[#This Row],[Population density]],conse.pa.!$B$3:$C$11,2,FALSE)</f>
        <v>7</v>
      </c>
      <c r="K280" s="53">
        <f>VLOOKUP(Table4[[#This Row],[Gas Flow MMSCFD 
(Loss of revenue)]],conse.pa.!$B$3:$C$11,2,FALSE)</f>
        <v>3</v>
      </c>
    </row>
    <row r="281" spans="1:11" hidden="1">
      <c r="A281" s="80">
        <v>9</v>
      </c>
      <c r="B281" s="81">
        <v>653110201</v>
      </c>
      <c r="C281" s="82" t="s">
        <v>852</v>
      </c>
      <c r="D281" s="103"/>
      <c r="E281" s="103"/>
      <c r="F281" s="103"/>
      <c r="G281" s="16">
        <v>4</v>
      </c>
      <c r="H281" s="16" t="s">
        <v>525</v>
      </c>
      <c r="J281" s="14">
        <f>VLOOKUP(Table4[[#This Row],[Population density]],conse.pa.!$B$3:$C$11,2,FALSE)</f>
        <v>7</v>
      </c>
      <c r="K281" s="53">
        <f>VLOOKUP(Table4[[#This Row],[Gas Flow MMSCFD 
(Loss of revenue)]],conse.pa.!$B$3:$C$11,2,FALSE)</f>
        <v>3</v>
      </c>
    </row>
    <row r="282" spans="1:11" hidden="1">
      <c r="A282" s="80">
        <v>9</v>
      </c>
      <c r="B282" s="81">
        <v>653110202</v>
      </c>
      <c r="C282" s="82" t="s">
        <v>819</v>
      </c>
      <c r="D282" s="103"/>
      <c r="E282" s="103"/>
      <c r="F282" s="103"/>
      <c r="G282" s="16">
        <v>4</v>
      </c>
      <c r="H282" s="16" t="s">
        <v>525</v>
      </c>
      <c r="J282" s="14">
        <f>VLOOKUP(Table4[[#This Row],[Population density]],conse.pa.!$B$3:$C$11,2,FALSE)</f>
        <v>7</v>
      </c>
      <c r="K282" s="53">
        <f>VLOOKUP(Table4[[#This Row],[Gas Flow MMSCFD 
(Loss of revenue)]],conse.pa.!$B$3:$C$11,2,FALSE)</f>
        <v>3</v>
      </c>
    </row>
    <row r="283" spans="1:11" hidden="1">
      <c r="A283" s="80">
        <v>9</v>
      </c>
      <c r="B283" s="81">
        <v>6531103</v>
      </c>
      <c r="C283" s="82"/>
      <c r="D283" s="103"/>
      <c r="E283" s="103"/>
      <c r="F283" s="103"/>
      <c r="G283" s="16">
        <v>4</v>
      </c>
      <c r="H283" s="16" t="s">
        <v>525</v>
      </c>
      <c r="J283" s="14">
        <f>VLOOKUP(Table4[[#This Row],[Population density]],conse.pa.!$B$3:$C$11,2,FALSE)</f>
        <v>7</v>
      </c>
      <c r="K283" s="53">
        <f>VLOOKUP(Table4[[#This Row],[Gas Flow MMSCFD 
(Loss of revenue)]],conse.pa.!$B$3:$C$11,2,FALSE)</f>
        <v>3</v>
      </c>
    </row>
    <row r="284" spans="1:11" hidden="1">
      <c r="A284" s="80">
        <v>9</v>
      </c>
      <c r="B284" s="81">
        <v>6531104</v>
      </c>
      <c r="C284" s="82"/>
      <c r="D284" s="103"/>
      <c r="E284" s="103"/>
      <c r="F284" s="103"/>
      <c r="G284" s="16">
        <v>4</v>
      </c>
      <c r="H284" s="16" t="s">
        <v>525</v>
      </c>
      <c r="J284" s="14">
        <f>VLOOKUP(Table4[[#This Row],[Population density]],conse.pa.!$B$3:$C$11,2,FALSE)</f>
        <v>7</v>
      </c>
      <c r="K284" s="53">
        <f>VLOOKUP(Table4[[#This Row],[Gas Flow MMSCFD 
(Loss of revenue)]],conse.pa.!$B$3:$C$11,2,FALSE)</f>
        <v>3</v>
      </c>
    </row>
    <row r="285" spans="1:11" hidden="1">
      <c r="A285" s="84">
        <v>9</v>
      </c>
      <c r="B285" s="81">
        <v>63401</v>
      </c>
      <c r="C285" s="82" t="s">
        <v>345</v>
      </c>
      <c r="D285" s="103"/>
      <c r="E285" s="103"/>
      <c r="F285" s="103"/>
      <c r="G285" s="16">
        <v>4</v>
      </c>
      <c r="H285" s="16" t="s">
        <v>525</v>
      </c>
      <c r="J285" s="14">
        <f>VLOOKUP(Table4[[#This Row],[Population density]],conse.pa.!$B$3:$C$11,2,FALSE)</f>
        <v>7</v>
      </c>
      <c r="K285" s="53">
        <f>VLOOKUP(Table4[[#This Row],[Gas Flow MMSCFD 
(Loss of revenue)]],conse.pa.!$B$3:$C$11,2,FALSE)</f>
        <v>3</v>
      </c>
    </row>
    <row r="286" spans="1:11" hidden="1">
      <c r="A286" s="80">
        <v>9</v>
      </c>
      <c r="B286" s="81">
        <v>6340101</v>
      </c>
      <c r="C286" s="82" t="s">
        <v>793</v>
      </c>
      <c r="D286" s="103"/>
      <c r="E286" s="103"/>
      <c r="F286" s="103"/>
      <c r="G286" s="16">
        <v>4</v>
      </c>
      <c r="H286" s="16" t="s">
        <v>525</v>
      </c>
      <c r="J286" s="14">
        <f>VLOOKUP(Table4[[#This Row],[Population density]],conse.pa.!$B$3:$C$11,2,FALSE)</f>
        <v>7</v>
      </c>
      <c r="K286" s="53">
        <f>VLOOKUP(Table4[[#This Row],[Gas Flow MMSCFD 
(Loss of revenue)]],conse.pa.!$B$3:$C$11,2,FALSE)</f>
        <v>3</v>
      </c>
    </row>
    <row r="287" spans="1:11" hidden="1">
      <c r="A287" s="80">
        <v>9</v>
      </c>
      <c r="B287" s="81">
        <v>634010101</v>
      </c>
      <c r="C287" s="82" t="s">
        <v>793</v>
      </c>
      <c r="D287" s="103"/>
      <c r="E287" s="103"/>
      <c r="F287" s="103"/>
      <c r="G287" s="16">
        <v>4</v>
      </c>
      <c r="H287" s="16" t="s">
        <v>525</v>
      </c>
      <c r="J287" s="14">
        <f>VLOOKUP(Table4[[#This Row],[Population density]],conse.pa.!$B$3:$C$11,2,FALSE)</f>
        <v>7</v>
      </c>
      <c r="K287" s="53">
        <f>VLOOKUP(Table4[[#This Row],[Gas Flow MMSCFD 
(Loss of revenue)]],conse.pa.!$B$3:$C$11,2,FALSE)</f>
        <v>3</v>
      </c>
    </row>
    <row r="288" spans="1:11" hidden="1">
      <c r="A288" s="80">
        <v>9</v>
      </c>
      <c r="B288" s="81">
        <v>6340102</v>
      </c>
      <c r="C288" s="82" t="s">
        <v>795</v>
      </c>
      <c r="D288" s="103"/>
      <c r="E288" s="103"/>
      <c r="F288" s="103"/>
      <c r="G288" s="16">
        <v>4</v>
      </c>
      <c r="H288" s="16" t="s">
        <v>525</v>
      </c>
      <c r="J288" s="14">
        <f>VLOOKUP(Table4[[#This Row],[Population density]],conse.pa.!$B$3:$C$11,2,FALSE)</f>
        <v>7</v>
      </c>
      <c r="K288" s="53">
        <f>VLOOKUP(Table4[[#This Row],[Gas Flow MMSCFD 
(Loss of revenue)]],conse.pa.!$B$3:$C$11,2,FALSE)</f>
        <v>3</v>
      </c>
    </row>
    <row r="289" spans="1:11" hidden="1">
      <c r="A289" s="84">
        <v>9</v>
      </c>
      <c r="B289" s="81">
        <v>65306</v>
      </c>
      <c r="C289" s="82" t="s">
        <v>346</v>
      </c>
      <c r="D289" s="103"/>
      <c r="E289" s="103"/>
      <c r="F289" s="103"/>
      <c r="G289" s="16">
        <v>4</v>
      </c>
      <c r="H289" s="16" t="s">
        <v>525</v>
      </c>
      <c r="J289" s="14">
        <f>VLOOKUP(Table4[[#This Row],[Population density]],conse.pa.!$B$3:$C$11,2,FALSE)</f>
        <v>7</v>
      </c>
      <c r="K289" s="53">
        <f>VLOOKUP(Table4[[#This Row],[Gas Flow MMSCFD 
(Loss of revenue)]],conse.pa.!$B$3:$C$11,2,FALSE)</f>
        <v>3</v>
      </c>
    </row>
    <row r="290" spans="1:11" hidden="1">
      <c r="A290" s="80">
        <v>9</v>
      </c>
      <c r="B290" s="81">
        <v>653050001</v>
      </c>
      <c r="C290" s="82" t="s">
        <v>801</v>
      </c>
      <c r="D290" s="103"/>
      <c r="E290" s="103"/>
      <c r="F290" s="103"/>
      <c r="G290" s="16">
        <v>4</v>
      </c>
      <c r="H290" s="16" t="s">
        <v>525</v>
      </c>
      <c r="J290" s="14">
        <f>VLOOKUP(Table4[[#This Row],[Population density]],conse.pa.!$B$3:$C$11,2,FALSE)</f>
        <v>7</v>
      </c>
      <c r="K290" s="53">
        <f>VLOOKUP(Table4[[#This Row],[Gas Flow MMSCFD 
(Loss of revenue)]],conse.pa.!$B$3:$C$11,2,FALSE)</f>
        <v>3</v>
      </c>
    </row>
    <row r="291" spans="1:11" hidden="1">
      <c r="A291" s="80">
        <v>9</v>
      </c>
      <c r="B291" s="81">
        <v>653050002</v>
      </c>
      <c r="C291" s="82" t="s">
        <v>803</v>
      </c>
      <c r="D291" s="103"/>
      <c r="E291" s="103"/>
      <c r="F291" s="103"/>
      <c r="G291" s="16">
        <v>4</v>
      </c>
      <c r="H291" s="16" t="s">
        <v>525</v>
      </c>
      <c r="J291" s="14">
        <f>VLOOKUP(Table4[[#This Row],[Population density]],conse.pa.!$B$3:$C$11,2,FALSE)</f>
        <v>7</v>
      </c>
      <c r="K291" s="53">
        <f>VLOOKUP(Table4[[#This Row],[Gas Flow MMSCFD 
(Loss of revenue)]],conse.pa.!$B$3:$C$11,2,FALSE)</f>
        <v>3</v>
      </c>
    </row>
    <row r="292" spans="1:11" hidden="1">
      <c r="A292" s="80">
        <v>9</v>
      </c>
      <c r="B292" s="81">
        <v>653060001</v>
      </c>
      <c r="C292" s="82" t="s">
        <v>346</v>
      </c>
      <c r="D292" s="103"/>
      <c r="E292" s="103"/>
      <c r="F292" s="103"/>
      <c r="G292" s="16">
        <v>4</v>
      </c>
      <c r="H292" s="16" t="s">
        <v>525</v>
      </c>
      <c r="J292" s="14">
        <f>VLOOKUP(Table4[[#This Row],[Population density]],conse.pa.!$B$3:$C$11,2,FALSE)</f>
        <v>7</v>
      </c>
      <c r="K292" s="53">
        <f>VLOOKUP(Table4[[#This Row],[Gas Flow MMSCFD 
(Loss of revenue)]],conse.pa.!$B$3:$C$11,2,FALSE)</f>
        <v>3</v>
      </c>
    </row>
    <row r="293" spans="1:11" hidden="1">
      <c r="A293" s="84">
        <v>9</v>
      </c>
      <c r="B293" s="81">
        <v>410903</v>
      </c>
      <c r="C293" s="82" t="s">
        <v>347</v>
      </c>
      <c r="D293" s="103"/>
      <c r="E293" s="103"/>
      <c r="F293" s="103"/>
      <c r="G293" s="16">
        <v>4</v>
      </c>
      <c r="H293" s="16" t="s">
        <v>525</v>
      </c>
      <c r="J293" s="14">
        <f>VLOOKUP(Table4[[#This Row],[Population density]],conse.pa.!$B$3:$C$11,2,FALSE)</f>
        <v>7</v>
      </c>
      <c r="K293" s="53">
        <f>VLOOKUP(Table4[[#This Row],[Gas Flow MMSCFD 
(Loss of revenue)]],conse.pa.!$B$3:$C$11,2,FALSE)</f>
        <v>3</v>
      </c>
    </row>
    <row r="294" spans="1:11" hidden="1">
      <c r="A294" s="84">
        <v>9</v>
      </c>
      <c r="B294" s="81">
        <v>6203004</v>
      </c>
      <c r="C294" s="82" t="s">
        <v>348</v>
      </c>
      <c r="D294" s="103"/>
      <c r="E294" s="103"/>
      <c r="F294" s="103"/>
      <c r="G294" s="16">
        <v>4</v>
      </c>
      <c r="H294" s="16" t="s">
        <v>525</v>
      </c>
      <c r="J294" s="14">
        <f>VLOOKUP(Table4[[#This Row],[Population density]],conse.pa.!$B$3:$C$11,2,FALSE)</f>
        <v>7</v>
      </c>
      <c r="K294" s="53">
        <f>VLOOKUP(Table4[[#This Row],[Gas Flow MMSCFD 
(Loss of revenue)]],conse.pa.!$B$3:$C$11,2,FALSE)</f>
        <v>3</v>
      </c>
    </row>
    <row r="295" spans="1:11" hidden="1">
      <c r="A295" s="84">
        <v>9</v>
      </c>
      <c r="B295" s="81">
        <v>651100001</v>
      </c>
      <c r="C295" s="82" t="s">
        <v>349</v>
      </c>
      <c r="D295" s="103"/>
      <c r="E295" s="103"/>
      <c r="F295" s="103"/>
      <c r="G295" s="16">
        <v>4</v>
      </c>
      <c r="H295" s="16" t="s">
        <v>525</v>
      </c>
      <c r="J295" s="14">
        <f>VLOOKUP(Table4[[#This Row],[Population density]],conse.pa.!$B$3:$C$11,2,FALSE)</f>
        <v>7</v>
      </c>
      <c r="K295" s="53">
        <f>VLOOKUP(Table4[[#This Row],[Gas Flow MMSCFD 
(Loss of revenue)]],conse.pa.!$B$3:$C$11,2,FALSE)</f>
        <v>3</v>
      </c>
    </row>
    <row r="296" spans="1:11" hidden="1">
      <c r="A296" s="80">
        <v>9</v>
      </c>
      <c r="B296" s="81">
        <v>651100002</v>
      </c>
      <c r="C296" s="82" t="s">
        <v>809</v>
      </c>
      <c r="D296" s="103"/>
      <c r="E296" s="103"/>
      <c r="F296" s="103"/>
      <c r="G296" s="16">
        <v>4</v>
      </c>
      <c r="H296" s="16" t="s">
        <v>525</v>
      </c>
      <c r="J296" s="14">
        <f>VLOOKUP(Table4[[#This Row],[Population density]],conse.pa.!$B$3:$C$11,2,FALSE)</f>
        <v>7</v>
      </c>
      <c r="K296" s="53">
        <f>VLOOKUP(Table4[[#This Row],[Gas Flow MMSCFD 
(Loss of revenue)]],conse.pa.!$B$3:$C$11,2,FALSE)</f>
        <v>3</v>
      </c>
    </row>
    <row r="297" spans="1:11" hidden="1">
      <c r="A297" s="80">
        <v>9</v>
      </c>
      <c r="B297" s="81">
        <v>651100003</v>
      </c>
      <c r="C297" s="82" t="s">
        <v>811</v>
      </c>
      <c r="D297" s="103"/>
      <c r="E297" s="103"/>
      <c r="F297" s="103"/>
      <c r="G297" s="16">
        <v>4</v>
      </c>
      <c r="H297" s="16" t="s">
        <v>525</v>
      </c>
      <c r="J297" s="14">
        <f>VLOOKUP(Table4[[#This Row],[Population density]],conse.pa.!$B$3:$C$11,2,FALSE)</f>
        <v>7</v>
      </c>
      <c r="K297" s="53">
        <f>VLOOKUP(Table4[[#This Row],[Gas Flow MMSCFD 
(Loss of revenue)]],conse.pa.!$B$3:$C$11,2,FALSE)</f>
        <v>3</v>
      </c>
    </row>
    <row r="298" spans="1:11" hidden="1">
      <c r="A298" s="80">
        <v>9</v>
      </c>
      <c r="B298" s="81">
        <v>651100004</v>
      </c>
      <c r="C298" s="82" t="s">
        <v>813</v>
      </c>
      <c r="D298" s="103"/>
      <c r="E298" s="103"/>
      <c r="F298" s="103"/>
      <c r="G298" s="16">
        <v>4</v>
      </c>
      <c r="H298" s="16" t="s">
        <v>525</v>
      </c>
      <c r="J298" s="14">
        <f>VLOOKUP(Table4[[#This Row],[Population density]],conse.pa.!$B$3:$C$11,2,FALSE)</f>
        <v>7</v>
      </c>
      <c r="K298" s="53">
        <f>VLOOKUP(Table4[[#This Row],[Gas Flow MMSCFD 
(Loss of revenue)]],conse.pa.!$B$3:$C$11,2,FALSE)</f>
        <v>3</v>
      </c>
    </row>
    <row r="299" spans="1:11" hidden="1">
      <c r="A299" s="80">
        <v>9</v>
      </c>
      <c r="B299" s="81">
        <v>651200001</v>
      </c>
      <c r="C299" s="82" t="s">
        <v>815</v>
      </c>
      <c r="D299" s="103"/>
      <c r="E299" s="103"/>
      <c r="F299" s="103"/>
      <c r="G299" s="16">
        <v>4</v>
      </c>
      <c r="H299" s="16" t="s">
        <v>525</v>
      </c>
      <c r="J299" s="14">
        <f>VLOOKUP(Table4[[#This Row],[Population density]],conse.pa.!$B$3:$C$11,2,FALSE)</f>
        <v>7</v>
      </c>
      <c r="K299" s="53">
        <f>VLOOKUP(Table4[[#This Row],[Gas Flow MMSCFD 
(Loss of revenue)]],conse.pa.!$B$3:$C$11,2,FALSE)</f>
        <v>3</v>
      </c>
    </row>
    <row r="300" spans="1:11" hidden="1">
      <c r="A300" s="94">
        <v>9</v>
      </c>
      <c r="B300" s="96">
        <v>651300001</v>
      </c>
      <c r="C300" s="97" t="s">
        <v>350</v>
      </c>
      <c r="D300" s="103"/>
      <c r="E300" s="103"/>
      <c r="F300" s="103"/>
      <c r="G300" s="16">
        <v>4</v>
      </c>
      <c r="H300" s="16" t="s">
        <v>525</v>
      </c>
      <c r="J300" s="14">
        <f>VLOOKUP(Table4[[#This Row],[Population density]],conse.pa.!$B$3:$C$11,2,FALSE)</f>
        <v>7</v>
      </c>
      <c r="K300" s="53">
        <f>VLOOKUP(Table4[[#This Row],[Gas Flow MMSCFD 
(Loss of revenue)]],conse.pa.!$B$3:$C$11,2,FALSE)</f>
        <v>3</v>
      </c>
    </row>
    <row r="301" spans="1:11" hidden="1">
      <c r="A301" s="80">
        <v>9</v>
      </c>
      <c r="B301" s="81">
        <v>65130101</v>
      </c>
      <c r="C301" s="82" t="s">
        <v>805</v>
      </c>
      <c r="D301" s="103"/>
      <c r="E301" s="103"/>
      <c r="F301" s="103"/>
      <c r="G301" s="16">
        <v>4</v>
      </c>
      <c r="H301" s="16" t="s">
        <v>525</v>
      </c>
      <c r="J301" s="14">
        <f>VLOOKUP(Table4[[#This Row],[Population density]],conse.pa.!$B$3:$C$11,2,FALSE)</f>
        <v>7</v>
      </c>
      <c r="K301" s="53">
        <f>VLOOKUP(Table4[[#This Row],[Gas Flow MMSCFD 
(Loss of revenue)]],conse.pa.!$B$3:$C$11,2,FALSE)</f>
        <v>3</v>
      </c>
    </row>
    <row r="302" spans="1:11" hidden="1">
      <c r="A302" s="80">
        <v>9</v>
      </c>
      <c r="B302" s="81">
        <v>65130201</v>
      </c>
      <c r="C302" s="82" t="s">
        <v>807</v>
      </c>
      <c r="D302" s="103"/>
      <c r="E302" s="103"/>
      <c r="F302" s="103"/>
      <c r="G302" s="16">
        <v>4</v>
      </c>
      <c r="H302" s="16" t="s">
        <v>525</v>
      </c>
      <c r="J302" s="14">
        <f>VLOOKUP(Table4[[#This Row],[Population density]],conse.pa.!$B$3:$C$11,2,FALSE)</f>
        <v>7</v>
      </c>
      <c r="K302" s="53">
        <f>VLOOKUP(Table4[[#This Row],[Gas Flow MMSCFD 
(Loss of revenue)]],conse.pa.!$B$3:$C$11,2,FALSE)</f>
        <v>3</v>
      </c>
    </row>
  </sheetData>
  <dataConsolidate link="1"/>
  <dataValidations count="1">
    <dataValidation type="list" allowBlank="1" showInputMessage="1" showErrorMessage="1" sqref="B112:B146">
      <formula1>$C$3:$C$6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conse.pa.!$B$8:$B$11</xm:f>
          </x14:formula1>
          <xm:sqref>G3:G302</xm:sqref>
        </x14:dataValidation>
        <x14:dataValidation type="list" allowBlank="1" showInputMessage="1" showErrorMessage="1">
          <x14:formula1>
            <xm:f>conse.pa.!$B$4:$B$6</xm:f>
          </x14:formula1>
          <xm:sqref>H3:H302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60" zoomScaleNormal="60" workbookViewId="0">
      <selection activeCell="E17" sqref="E17"/>
    </sheetView>
  </sheetViews>
  <sheetFormatPr defaultRowHeight="14.25"/>
  <sheetData>
    <row r="1" spans="1:8">
      <c r="B1" t="s">
        <v>523</v>
      </c>
    </row>
    <row r="3" spans="1:8">
      <c r="A3">
        <v>1</v>
      </c>
      <c r="B3" t="s">
        <v>524</v>
      </c>
      <c r="D3" t="s">
        <v>3</v>
      </c>
      <c r="E3" t="s">
        <v>4</v>
      </c>
      <c r="F3" t="s">
        <v>5</v>
      </c>
      <c r="G3" t="s">
        <v>6</v>
      </c>
      <c r="H3">
        <v>50</v>
      </c>
    </row>
    <row r="4" spans="1:8">
      <c r="B4" t="s">
        <v>525</v>
      </c>
      <c r="C4">
        <v>3</v>
      </c>
    </row>
    <row r="5" spans="1:8">
      <c r="B5" t="s">
        <v>526</v>
      </c>
      <c r="C5">
        <v>5</v>
      </c>
    </row>
    <row r="6" spans="1:8">
      <c r="B6" t="s">
        <v>527</v>
      </c>
      <c r="C6">
        <v>7</v>
      </c>
    </row>
    <row r="7" spans="1:8">
      <c r="A7">
        <v>2</v>
      </c>
      <c r="B7" t="s">
        <v>521</v>
      </c>
      <c r="D7" t="s">
        <v>3</v>
      </c>
      <c r="E7" t="s">
        <v>4</v>
      </c>
      <c r="F7" t="s">
        <v>5</v>
      </c>
      <c r="G7" t="s">
        <v>6</v>
      </c>
      <c r="H7">
        <v>50</v>
      </c>
    </row>
    <row r="8" spans="1:8">
      <c r="B8">
        <v>2</v>
      </c>
      <c r="C8">
        <v>0</v>
      </c>
    </row>
    <row r="9" spans="1:8">
      <c r="B9">
        <v>3</v>
      </c>
      <c r="C9">
        <v>5</v>
      </c>
    </row>
    <row r="10" spans="1:8">
      <c r="B10">
        <v>4</v>
      </c>
      <c r="C10">
        <v>7</v>
      </c>
    </row>
    <row r="11" spans="1:8">
      <c r="B11" t="s">
        <v>528</v>
      </c>
      <c r="C1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20" sqref="B20"/>
    </sheetView>
  </sheetViews>
  <sheetFormatPr defaultColWidth="9" defaultRowHeight="14.25"/>
  <cols>
    <col min="1" max="1" width="9" style="144"/>
    <col min="2" max="2" width="75.625" style="144" bestFit="1" customWidth="1"/>
    <col min="3" max="3" width="9" style="144" customWidth="1"/>
    <col min="4" max="4" width="12.625" style="144" customWidth="1"/>
    <col min="5" max="5" width="11.625" style="144" customWidth="1"/>
    <col min="6" max="6" width="8.625" style="144" customWidth="1"/>
    <col min="7" max="7" width="8.875" style="144" customWidth="1"/>
    <col min="8" max="8" width="9" style="146"/>
    <col min="9" max="16384" width="9" style="144"/>
  </cols>
  <sheetData>
    <row r="1" spans="1:8">
      <c r="B1" s="145" t="s">
        <v>523</v>
      </c>
    </row>
    <row r="2" spans="1:8">
      <c r="B2" s="145"/>
    </row>
    <row r="3" spans="1:8">
      <c r="A3" s="144">
        <v>1</v>
      </c>
      <c r="B3" s="144" t="s">
        <v>946</v>
      </c>
      <c r="C3" s="147" t="s">
        <v>161</v>
      </c>
      <c r="D3" s="144" t="s">
        <v>3</v>
      </c>
      <c r="E3" s="144" t="s">
        <v>4</v>
      </c>
      <c r="F3" s="144" t="s">
        <v>5</v>
      </c>
      <c r="G3" s="144" t="s">
        <v>6</v>
      </c>
      <c r="H3" s="146">
        <v>35</v>
      </c>
    </row>
    <row r="4" spans="1:8">
      <c r="B4" s="144" t="s">
        <v>31</v>
      </c>
      <c r="C4" s="148">
        <v>1</v>
      </c>
    </row>
    <row r="5" spans="1:8">
      <c r="B5" s="144" t="s">
        <v>947</v>
      </c>
      <c r="C5" s="148">
        <v>5</v>
      </c>
    </row>
    <row r="6" spans="1:8">
      <c r="B6" s="144" t="s">
        <v>948</v>
      </c>
      <c r="C6" s="149">
        <v>10</v>
      </c>
    </row>
    <row r="7" spans="1:8">
      <c r="A7" s="144">
        <v>2</v>
      </c>
      <c r="B7" s="150" t="s">
        <v>949</v>
      </c>
      <c r="C7" s="147" t="s">
        <v>161</v>
      </c>
      <c r="D7" s="144" t="s">
        <v>3</v>
      </c>
      <c r="E7" s="144" t="s">
        <v>4</v>
      </c>
      <c r="F7" s="144" t="s">
        <v>5</v>
      </c>
      <c r="G7" s="144" t="s">
        <v>6</v>
      </c>
      <c r="H7" s="146">
        <v>35</v>
      </c>
    </row>
    <row r="8" spans="1:8" ht="15">
      <c r="B8" s="151" t="s">
        <v>950</v>
      </c>
      <c r="C8" s="148">
        <v>2</v>
      </c>
    </row>
    <row r="9" spans="1:8" ht="15">
      <c r="B9" s="151" t="s">
        <v>951</v>
      </c>
      <c r="C9" s="148">
        <v>5</v>
      </c>
    </row>
    <row r="10" spans="1:8" ht="15">
      <c r="B10" s="151" t="s">
        <v>952</v>
      </c>
      <c r="C10" s="148">
        <v>8</v>
      </c>
    </row>
    <row r="11" spans="1:8" ht="15">
      <c r="B11" s="151" t="s">
        <v>953</v>
      </c>
      <c r="C11" s="148">
        <v>10</v>
      </c>
    </row>
    <row r="12" spans="1:8">
      <c r="A12" s="144">
        <v>3</v>
      </c>
      <c r="B12" s="144" t="s">
        <v>954</v>
      </c>
      <c r="C12" s="147" t="s">
        <v>161</v>
      </c>
      <c r="D12" s="144" t="s">
        <v>3</v>
      </c>
      <c r="E12" s="144" t="s">
        <v>4</v>
      </c>
      <c r="F12" s="144" t="s">
        <v>5</v>
      </c>
      <c r="G12" s="144" t="s">
        <v>6</v>
      </c>
      <c r="H12" s="146">
        <v>30</v>
      </c>
    </row>
    <row r="13" spans="1:8" ht="15">
      <c r="B13" s="151" t="s">
        <v>955</v>
      </c>
      <c r="C13" s="148">
        <v>0</v>
      </c>
    </row>
    <row r="14" spans="1:8" ht="15">
      <c r="B14" s="151" t="s">
        <v>956</v>
      </c>
      <c r="C14" s="148">
        <v>4</v>
      </c>
    </row>
    <row r="15" spans="1:8" ht="15">
      <c r="B15" s="151" t="s">
        <v>957</v>
      </c>
      <c r="C15" s="148">
        <v>6</v>
      </c>
    </row>
    <row r="16" spans="1:8" ht="15">
      <c r="B16" s="151" t="s">
        <v>958</v>
      </c>
      <c r="C16" s="148">
        <v>10</v>
      </c>
    </row>
    <row r="17" spans="2:3" ht="15">
      <c r="B17" s="151"/>
      <c r="C17" s="148"/>
    </row>
    <row r="18" spans="2:3">
      <c r="C18" s="148"/>
    </row>
    <row r="19" spans="2:3">
      <c r="C19" s="148"/>
    </row>
    <row r="20" spans="2:3">
      <c r="B20" s="148"/>
    </row>
    <row r="21" spans="2:3">
      <c r="B21" s="14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P324"/>
  <sheetViews>
    <sheetView topLeftCell="C1" zoomScale="90" zoomScaleNormal="90" workbookViewId="0">
      <pane xSplit="1" ySplit="4" topLeftCell="D322" activePane="bottomRight" state="frozen"/>
      <selection activeCell="C1" sqref="C1"/>
      <selection pane="topRight" activeCell="D1" sqref="D1"/>
      <selection pane="bottomLeft" activeCell="C5" sqref="C5"/>
      <selection pane="bottomRight" activeCell="J323" sqref="J323"/>
    </sheetView>
  </sheetViews>
  <sheetFormatPr defaultColWidth="8.625" defaultRowHeight="14.25"/>
  <cols>
    <col min="1" max="1" width="19.625" style="144" hidden="1" customWidth="1"/>
    <col min="2" max="2" width="18" style="144" hidden="1" customWidth="1"/>
    <col min="3" max="3" width="13.125" style="144" bestFit="1" customWidth="1"/>
    <col min="4" max="4" width="24.375" style="144" bestFit="1" customWidth="1"/>
    <col min="5" max="5" width="10.875" style="144" customWidth="1"/>
    <col min="6" max="9" width="10.875" style="144" hidden="1" customWidth="1"/>
    <col min="10" max="10" width="21.375" style="144" bestFit="1" customWidth="1"/>
    <col min="11" max="11" width="19.875" style="144" customWidth="1"/>
    <col min="12" max="16" width="12.125" style="144" customWidth="1"/>
    <col min="17" max="16384" width="8.625" style="144"/>
  </cols>
  <sheetData>
    <row r="2" spans="1:16" s="154" customFormat="1">
      <c r="A2" s="152" t="s">
        <v>959</v>
      </c>
      <c r="B2" s="152"/>
      <c r="C2" s="152" t="s">
        <v>196</v>
      </c>
      <c r="D2" s="152" t="s">
        <v>960</v>
      </c>
      <c r="E2" s="152" t="s">
        <v>195</v>
      </c>
      <c r="F2" s="152" t="s">
        <v>961</v>
      </c>
      <c r="G2" s="152" t="s">
        <v>351</v>
      </c>
      <c r="H2" s="152" t="s">
        <v>77</v>
      </c>
      <c r="I2" s="153" t="s">
        <v>962</v>
      </c>
      <c r="J2" s="153" t="s">
        <v>949</v>
      </c>
      <c r="K2" s="153" t="s">
        <v>954</v>
      </c>
      <c r="L2" s="154" t="s">
        <v>479</v>
      </c>
      <c r="M2" s="153" t="s">
        <v>963</v>
      </c>
      <c r="N2" s="153" t="s">
        <v>964</v>
      </c>
      <c r="O2" s="153" t="s">
        <v>965</v>
      </c>
      <c r="P2" s="153" t="s">
        <v>966</v>
      </c>
    </row>
    <row r="3" spans="1:16" s="154" customFormat="1" ht="15">
      <c r="A3" s="152"/>
      <c r="B3" s="152"/>
      <c r="C3" s="152"/>
      <c r="D3" s="152"/>
      <c r="E3" s="155"/>
      <c r="F3" s="152"/>
      <c r="G3" s="152"/>
      <c r="H3" s="156"/>
      <c r="I3" s="153">
        <v>3.5</v>
      </c>
      <c r="J3" s="153">
        <v>10</v>
      </c>
      <c r="K3" s="153">
        <v>3</v>
      </c>
      <c r="M3" s="153" t="e">
        <f>VLOOKUP(I3,'[3]LGS Pa.'!$B$3:$C$16,2,FALSE)</f>
        <v>#N/A</v>
      </c>
      <c r="N3" s="153" t="e">
        <f>VLOOKUP(J3,'[3]LGS Pa.'!$B$3:$C$16,2,FALSE)</f>
        <v>#N/A</v>
      </c>
      <c r="O3" s="153" t="e">
        <f>VLOOKUP(K3,'[3]LGS Pa.'!$B$3:$C$16,2,FALSE)</f>
        <v>#N/A</v>
      </c>
      <c r="P3" s="153" t="e">
        <f>($I$3*Table44[[#This Row],[Soil erosion]]+$J$3*Table44[[#This Row],[Soil stability2]]+$K$3*Table44[[#This Row],[Exposed pipeline section3]])/3</f>
        <v>#N/A</v>
      </c>
    </row>
    <row r="4" spans="1:16" ht="148.5">
      <c r="A4" s="144" t="s">
        <v>967</v>
      </c>
      <c r="B4" s="144" t="str">
        <f t="shared" ref="B4:B67" si="0">RIGHT(A4,19)</f>
        <v>Transmission-Branch</v>
      </c>
      <c r="C4" s="152" t="s">
        <v>196</v>
      </c>
      <c r="D4" s="152" t="s">
        <v>87</v>
      </c>
      <c r="E4" s="152" t="s">
        <v>195</v>
      </c>
      <c r="F4" s="152" t="s">
        <v>961</v>
      </c>
      <c r="G4" s="152" t="s">
        <v>351</v>
      </c>
      <c r="H4" s="157" t="s">
        <v>77</v>
      </c>
      <c r="I4" s="158" t="s">
        <v>962</v>
      </c>
      <c r="J4" s="158" t="s">
        <v>949</v>
      </c>
      <c r="K4" s="158" t="s">
        <v>954</v>
      </c>
      <c r="M4" s="158" t="s">
        <v>963</v>
      </c>
      <c r="N4" s="158" t="s">
        <v>949</v>
      </c>
      <c r="O4" s="158" t="s">
        <v>954</v>
      </c>
      <c r="P4" s="158" t="s">
        <v>968</v>
      </c>
    </row>
    <row r="5" spans="1:16">
      <c r="A5" s="144" t="s">
        <v>967</v>
      </c>
      <c r="B5" s="144" t="str">
        <f t="shared" si="0"/>
        <v>Transmission-Branch</v>
      </c>
      <c r="C5" s="81">
        <v>4021</v>
      </c>
      <c r="D5" s="82" t="s">
        <v>230</v>
      </c>
      <c r="E5" s="84">
        <v>1</v>
      </c>
      <c r="H5" s="159"/>
      <c r="J5" s="144" t="s">
        <v>950</v>
      </c>
      <c r="M5" s="144" t="e">
        <f>VLOOKUP(I5,'[3]LGS Pa.'!$B$3:$C$16,2,FALSE)</f>
        <v>#N/A</v>
      </c>
      <c r="N5" s="144">
        <f>VLOOKUP(J5,'[3]LGS Pa.'!$B$3:$C$16,2,FALSE)</f>
        <v>2</v>
      </c>
      <c r="O5" s="144" t="e">
        <f>VLOOKUP(K5,'[3]LGS Pa.'!$B$3:$C$16,2,FALSE)</f>
        <v>#N/A</v>
      </c>
      <c r="P5" s="144">
        <f>$J$3*Table44[[#This Row],[Soil stability2]]</f>
        <v>20</v>
      </c>
    </row>
    <row r="6" spans="1:16">
      <c r="A6" s="144" t="s">
        <v>967</v>
      </c>
      <c r="B6" s="144" t="str">
        <f t="shared" si="0"/>
        <v>Transmission-Branch</v>
      </c>
      <c r="C6" s="81">
        <v>4023</v>
      </c>
      <c r="D6" s="82" t="s">
        <v>231</v>
      </c>
      <c r="E6" s="84">
        <v>1</v>
      </c>
      <c r="H6" s="159"/>
      <c r="J6" s="144" t="s">
        <v>950</v>
      </c>
      <c r="M6" s="144" t="e">
        <f>VLOOKUP(I6,'[3]LGS Pa.'!$B$3:$C$16,2,FALSE)</f>
        <v>#N/A</v>
      </c>
      <c r="N6" s="144">
        <f>VLOOKUP(J6,'[3]LGS Pa.'!$B$3:$C$16,2,FALSE)</f>
        <v>2</v>
      </c>
      <c r="O6" s="144" t="e">
        <f>VLOOKUP(K6,'[3]LGS Pa.'!$B$3:$C$16,2,FALSE)</f>
        <v>#N/A</v>
      </c>
      <c r="P6" s="144">
        <f>$J$3*Table44[[#This Row],[Soil stability2]]</f>
        <v>20</v>
      </c>
    </row>
    <row r="7" spans="1:16" ht="25.5">
      <c r="A7" s="144" t="s">
        <v>967</v>
      </c>
      <c r="B7" s="144" t="str">
        <f t="shared" si="0"/>
        <v>Transmission-Branch</v>
      </c>
      <c r="C7" s="81">
        <v>4032</v>
      </c>
      <c r="D7" s="82" t="s">
        <v>232</v>
      </c>
      <c r="E7" s="84">
        <v>1</v>
      </c>
      <c r="H7" s="159"/>
      <c r="J7" s="144" t="s">
        <v>950</v>
      </c>
      <c r="M7" s="144" t="e">
        <f>VLOOKUP(I7,'[3]LGS Pa.'!$B$3:$C$16,2,FALSE)</f>
        <v>#N/A</v>
      </c>
      <c r="N7" s="144">
        <f>VLOOKUP(J7,'[3]LGS Pa.'!$B$3:$C$16,2,FALSE)</f>
        <v>2</v>
      </c>
      <c r="O7" s="144" t="e">
        <f>VLOOKUP(K7,'[3]LGS Pa.'!$B$3:$C$16,2,FALSE)</f>
        <v>#N/A</v>
      </c>
      <c r="P7" s="144">
        <f>$J$3*Table44[[#This Row],[Soil stability2]]</f>
        <v>20</v>
      </c>
    </row>
    <row r="8" spans="1:16">
      <c r="A8" s="144" t="s">
        <v>967</v>
      </c>
      <c r="B8" s="144" t="str">
        <f t="shared" si="0"/>
        <v>Transmission-Branch</v>
      </c>
      <c r="C8" s="81">
        <v>4311</v>
      </c>
      <c r="D8" s="82" t="s">
        <v>233</v>
      </c>
      <c r="E8" s="84">
        <v>1</v>
      </c>
      <c r="H8" s="159"/>
      <c r="J8" s="144" t="s">
        <v>950</v>
      </c>
      <c r="M8" s="144" t="e">
        <f>VLOOKUP(I8,'[3]LGS Pa.'!$B$3:$C$16,2,FALSE)</f>
        <v>#N/A</v>
      </c>
      <c r="N8" s="144">
        <f>VLOOKUP(J8,'[3]LGS Pa.'!$B$3:$C$16,2,FALSE)</f>
        <v>2</v>
      </c>
      <c r="O8" s="144" t="e">
        <f>VLOOKUP(K8,'[3]LGS Pa.'!$B$3:$C$16,2,FALSE)</f>
        <v>#N/A</v>
      </c>
      <c r="P8" s="144">
        <f>$J$3*Table44[[#This Row],[Soil stability2]]</f>
        <v>20</v>
      </c>
    </row>
    <row r="9" spans="1:16">
      <c r="A9" s="144" t="s">
        <v>967</v>
      </c>
      <c r="B9" s="144" t="str">
        <f t="shared" si="0"/>
        <v>Transmission-Branch</v>
      </c>
      <c r="C9" s="81">
        <v>431110003</v>
      </c>
      <c r="D9" s="82" t="s">
        <v>609</v>
      </c>
      <c r="E9" s="80">
        <v>1</v>
      </c>
      <c r="H9" s="159"/>
      <c r="J9" s="144" t="s">
        <v>950</v>
      </c>
      <c r="M9" s="144" t="e">
        <f>VLOOKUP(I9,'[3]LGS Pa.'!$B$3:$C$16,2,FALSE)</f>
        <v>#N/A</v>
      </c>
      <c r="N9" s="144">
        <f>VLOOKUP(J9,'[3]LGS Pa.'!$B$3:$C$16,2,FALSE)</f>
        <v>2</v>
      </c>
      <c r="O9" s="144" t="e">
        <f>VLOOKUP(K9,'[3]LGS Pa.'!$B$3:$C$16,2,FALSE)</f>
        <v>#N/A</v>
      </c>
      <c r="P9" s="144">
        <f>$J$3*Table44[[#This Row],[Soil stability2]]</f>
        <v>20</v>
      </c>
    </row>
    <row r="10" spans="1:16" ht="25.5">
      <c r="A10" s="144" t="s">
        <v>967</v>
      </c>
      <c r="B10" s="144" t="str">
        <f t="shared" si="0"/>
        <v>Transmission-Branch</v>
      </c>
      <c r="C10" s="81">
        <v>4311103</v>
      </c>
      <c r="D10" s="82" t="s">
        <v>598</v>
      </c>
      <c r="E10" s="80">
        <v>1</v>
      </c>
      <c r="H10" s="159"/>
      <c r="J10" s="144" t="s">
        <v>950</v>
      </c>
      <c r="M10" s="144" t="e">
        <f>VLOOKUP(I10,'[3]LGS Pa.'!$B$3:$C$16,2,FALSE)</f>
        <v>#N/A</v>
      </c>
      <c r="N10" s="144">
        <f>VLOOKUP(J10,'[3]LGS Pa.'!$B$3:$C$16,2,FALSE)</f>
        <v>2</v>
      </c>
      <c r="O10" s="144" t="e">
        <f>VLOOKUP(K10,'[3]LGS Pa.'!$B$3:$C$16,2,FALSE)</f>
        <v>#N/A</v>
      </c>
      <c r="P10" s="144">
        <f>$J$3*Table44[[#This Row],[Soil stability2]]</f>
        <v>20</v>
      </c>
    </row>
    <row r="11" spans="1:16">
      <c r="A11" s="144" t="s">
        <v>967</v>
      </c>
      <c r="B11" s="144" t="str">
        <f t="shared" si="0"/>
        <v>Transmission-Branch</v>
      </c>
      <c r="C11" s="81">
        <v>431120101</v>
      </c>
      <c r="D11" s="82" t="s">
        <v>594</v>
      </c>
      <c r="E11" s="80">
        <v>1</v>
      </c>
      <c r="H11" s="159"/>
      <c r="J11" s="144" t="s">
        <v>950</v>
      </c>
      <c r="M11" s="144" t="e">
        <f>VLOOKUP(I11,'[3]LGS Pa.'!$B$3:$C$16,2,FALSE)</f>
        <v>#N/A</v>
      </c>
      <c r="N11" s="144">
        <f>VLOOKUP(J11,'[3]LGS Pa.'!$B$3:$C$16,2,FALSE)</f>
        <v>2</v>
      </c>
      <c r="O11" s="144" t="e">
        <f>VLOOKUP(K11,'[3]LGS Pa.'!$B$3:$C$16,2,FALSE)</f>
        <v>#N/A</v>
      </c>
      <c r="P11" s="144">
        <f>$J$3*Table44[[#This Row],[Soil stability2]]</f>
        <v>20</v>
      </c>
    </row>
    <row r="12" spans="1:16">
      <c r="A12" s="144" t="s">
        <v>967</v>
      </c>
      <c r="B12" s="144" t="str">
        <f t="shared" si="0"/>
        <v>Transmission-Branch</v>
      </c>
      <c r="C12" s="81">
        <v>431120102</v>
      </c>
      <c r="D12" s="82" t="s">
        <v>596</v>
      </c>
      <c r="E12" s="80">
        <v>1</v>
      </c>
      <c r="H12" s="159"/>
      <c r="J12" s="144" t="s">
        <v>950</v>
      </c>
      <c r="M12" s="144" t="e">
        <f>VLOOKUP(I12,'[3]LGS Pa.'!$B$3:$C$16,2,FALSE)</f>
        <v>#N/A</v>
      </c>
      <c r="N12" s="144">
        <f>VLOOKUP(J12,'[3]LGS Pa.'!$B$3:$C$16,2,FALSE)</f>
        <v>2</v>
      </c>
      <c r="O12" s="144" t="e">
        <f>VLOOKUP(K12,'[3]LGS Pa.'!$B$3:$C$16,2,FALSE)</f>
        <v>#N/A</v>
      </c>
      <c r="P12" s="144">
        <f>$J$3*Table44[[#This Row],[Soil stability2]]</f>
        <v>20</v>
      </c>
    </row>
    <row r="13" spans="1:16">
      <c r="A13" s="144" t="s">
        <v>967</v>
      </c>
      <c r="B13" s="144" t="str">
        <f t="shared" si="0"/>
        <v>Transmission-Branch</v>
      </c>
      <c r="C13" s="81">
        <v>431120103</v>
      </c>
      <c r="D13" s="82" t="s">
        <v>601</v>
      </c>
      <c r="E13" s="80">
        <v>1</v>
      </c>
      <c r="H13" s="159"/>
      <c r="J13" s="144" t="s">
        <v>950</v>
      </c>
      <c r="M13" s="144" t="e">
        <f>VLOOKUP(I13,'[3]LGS Pa.'!$B$3:$C$16,2,FALSE)</f>
        <v>#N/A</v>
      </c>
      <c r="N13" s="144">
        <f>VLOOKUP(J13,'[3]LGS Pa.'!$B$3:$C$16,2,FALSE)</f>
        <v>2</v>
      </c>
      <c r="O13" s="144" t="e">
        <f>VLOOKUP(K13,'[3]LGS Pa.'!$B$3:$C$16,2,FALSE)</f>
        <v>#N/A</v>
      </c>
      <c r="P13" s="144">
        <f>$J$3*Table44[[#This Row],[Soil stability2]]</f>
        <v>20</v>
      </c>
    </row>
    <row r="14" spans="1:16">
      <c r="A14" s="144" t="s">
        <v>967</v>
      </c>
      <c r="B14" s="144" t="str">
        <f t="shared" si="0"/>
        <v>Transmission-Branch</v>
      </c>
      <c r="C14" s="81">
        <v>431120106</v>
      </c>
      <c r="D14" s="82" t="s">
        <v>584</v>
      </c>
      <c r="E14" s="80">
        <v>1</v>
      </c>
      <c r="H14" s="159"/>
      <c r="J14" s="144" t="s">
        <v>950</v>
      </c>
      <c r="M14" s="144" t="e">
        <f>VLOOKUP(I14,'[3]LGS Pa.'!$B$3:$C$16,2,FALSE)</f>
        <v>#N/A</v>
      </c>
      <c r="N14" s="144">
        <f>VLOOKUP(J14,'[3]LGS Pa.'!$B$3:$C$16,2,FALSE)</f>
        <v>2</v>
      </c>
      <c r="O14" s="144" t="e">
        <f>VLOOKUP(K14,'[3]LGS Pa.'!$B$3:$C$16,2,FALSE)</f>
        <v>#N/A</v>
      </c>
      <c r="P14" s="144">
        <f>$J$3*Table44[[#This Row],[Soil stability2]]</f>
        <v>20</v>
      </c>
    </row>
    <row r="15" spans="1:16">
      <c r="A15" s="144" t="s">
        <v>967</v>
      </c>
      <c r="B15" s="144" t="str">
        <f t="shared" si="0"/>
        <v>Transmission-Branch</v>
      </c>
      <c r="C15" s="111">
        <v>431120108</v>
      </c>
      <c r="D15" s="112" t="s">
        <v>589</v>
      </c>
      <c r="E15" s="110">
        <v>1</v>
      </c>
      <c r="H15" s="159"/>
      <c r="J15" s="144" t="s">
        <v>950</v>
      </c>
      <c r="M15" s="144" t="e">
        <f>VLOOKUP(I15,'[3]LGS Pa.'!$B$3:$C$16,2,FALSE)</f>
        <v>#N/A</v>
      </c>
      <c r="N15" s="144">
        <f>VLOOKUP(J15,'[3]LGS Pa.'!$B$3:$C$16,2,FALSE)</f>
        <v>2</v>
      </c>
      <c r="O15" s="144" t="e">
        <f>VLOOKUP(K15,'[3]LGS Pa.'!$B$3:$C$16,2,FALSE)</f>
        <v>#N/A</v>
      </c>
      <c r="P15" s="144">
        <f>$J$3*Table44[[#This Row],[Soil stability2]]</f>
        <v>20</v>
      </c>
    </row>
    <row r="16" spans="1:16">
      <c r="A16" s="144" t="s">
        <v>967</v>
      </c>
      <c r="B16" s="144" t="str">
        <f t="shared" si="0"/>
        <v>Transmission-Branch</v>
      </c>
      <c r="C16" s="81">
        <v>431120001</v>
      </c>
      <c r="D16" s="82" t="s">
        <v>586</v>
      </c>
      <c r="E16" s="80">
        <v>1</v>
      </c>
      <c r="H16" s="159"/>
      <c r="J16" s="144" t="s">
        <v>950</v>
      </c>
      <c r="M16" s="144" t="e">
        <f>VLOOKUP(I16,'[3]LGS Pa.'!$B$3:$C$16,2,FALSE)</f>
        <v>#N/A</v>
      </c>
      <c r="N16" s="144">
        <f>VLOOKUP(J16,'[3]LGS Pa.'!$B$3:$C$16,2,FALSE)</f>
        <v>2</v>
      </c>
      <c r="O16" s="144" t="e">
        <f>VLOOKUP(K16,'[3]LGS Pa.'!$B$3:$C$16,2,FALSE)</f>
        <v>#N/A</v>
      </c>
      <c r="P16" s="144">
        <f>$J$3*Table44[[#This Row],[Soil stability2]]</f>
        <v>20</v>
      </c>
    </row>
    <row r="17" spans="1:16">
      <c r="A17" s="144" t="s">
        <v>967</v>
      </c>
      <c r="B17" s="144" t="str">
        <f t="shared" si="0"/>
        <v>Transmission-Branch</v>
      </c>
      <c r="C17" s="81">
        <v>4401</v>
      </c>
      <c r="D17" s="82" t="s">
        <v>234</v>
      </c>
      <c r="E17" s="84">
        <v>1</v>
      </c>
      <c r="H17" s="159"/>
      <c r="J17" s="144" t="s">
        <v>950</v>
      </c>
      <c r="M17" s="144" t="e">
        <f>VLOOKUP(I17,'[3]LGS Pa.'!$B$3:$C$16,2,FALSE)</f>
        <v>#N/A</v>
      </c>
      <c r="N17" s="144">
        <f>VLOOKUP(J17,'[3]LGS Pa.'!$B$3:$C$16,2,FALSE)</f>
        <v>2</v>
      </c>
      <c r="O17" s="144" t="e">
        <f>VLOOKUP(K17,'[3]LGS Pa.'!$B$3:$C$16,2,FALSE)</f>
        <v>#N/A</v>
      </c>
      <c r="P17" s="144">
        <f>$J$3*Table44[[#This Row],[Soil stability2]]</f>
        <v>20</v>
      </c>
    </row>
    <row r="18" spans="1:16" ht="25.5">
      <c r="A18" s="144" t="s">
        <v>967</v>
      </c>
      <c r="B18" s="144" t="str">
        <f t="shared" si="0"/>
        <v>Transmission-Branch</v>
      </c>
      <c r="C18" s="81">
        <v>5033</v>
      </c>
      <c r="D18" s="82" t="s">
        <v>235</v>
      </c>
      <c r="E18" s="84">
        <v>1</v>
      </c>
      <c r="H18" s="159"/>
      <c r="J18" s="144" t="s">
        <v>950</v>
      </c>
      <c r="M18" s="144" t="e">
        <f>VLOOKUP(I18,'[3]LGS Pa.'!$B$3:$C$16,2,FALSE)</f>
        <v>#N/A</v>
      </c>
      <c r="N18" s="144">
        <f>VLOOKUP(J18,'[3]LGS Pa.'!$B$3:$C$16,2,FALSE)</f>
        <v>2</v>
      </c>
      <c r="O18" s="144" t="e">
        <f>VLOOKUP(K18,'[3]LGS Pa.'!$B$3:$C$16,2,FALSE)</f>
        <v>#N/A</v>
      </c>
      <c r="P18" s="144">
        <f>$J$3*Table44[[#This Row],[Soil stability2]]</f>
        <v>20</v>
      </c>
    </row>
    <row r="19" spans="1:16">
      <c r="A19" s="144" t="s">
        <v>969</v>
      </c>
      <c r="B19" s="144" t="str">
        <f t="shared" si="0"/>
        <v>Transmission - Main</v>
      </c>
      <c r="C19" s="26">
        <v>40231</v>
      </c>
      <c r="D19" s="27" t="s">
        <v>236</v>
      </c>
      <c r="E19" s="29">
        <v>1</v>
      </c>
      <c r="H19" s="159"/>
      <c r="J19" s="144" t="s">
        <v>950</v>
      </c>
      <c r="M19" s="144" t="e">
        <f>VLOOKUP(I19,'[3]LGS Pa.'!$B$3:$C$16,2,FALSE)</f>
        <v>#N/A</v>
      </c>
      <c r="N19" s="144">
        <f>VLOOKUP(J19,'[3]LGS Pa.'!$B$3:$C$16,2,FALSE)</f>
        <v>2</v>
      </c>
      <c r="O19" s="144" t="e">
        <f>VLOOKUP(K19,'[3]LGS Pa.'!$B$3:$C$16,2,FALSE)</f>
        <v>#N/A</v>
      </c>
      <c r="P19" s="144">
        <f>$J$3*Table44[[#This Row],[Soil stability2]]</f>
        <v>20</v>
      </c>
    </row>
    <row r="20" spans="1:16" ht="25.5">
      <c r="A20" s="144" t="s">
        <v>969</v>
      </c>
      <c r="B20" s="144" t="str">
        <f t="shared" si="0"/>
        <v>Transmission - Main</v>
      </c>
      <c r="C20" s="81">
        <v>44041</v>
      </c>
      <c r="D20" s="82" t="s">
        <v>237</v>
      </c>
      <c r="E20" s="84">
        <v>1</v>
      </c>
      <c r="H20" s="159"/>
      <c r="J20" s="144" t="s">
        <v>950</v>
      </c>
      <c r="M20" s="144" t="e">
        <f>VLOOKUP(I20,'[3]LGS Pa.'!$B$3:$C$16,2,FALSE)</f>
        <v>#N/A</v>
      </c>
      <c r="N20" s="144">
        <f>VLOOKUP(J20,'[3]LGS Pa.'!$B$3:$C$16,2,FALSE)</f>
        <v>2</v>
      </c>
      <c r="O20" s="144" t="e">
        <f>VLOOKUP(K20,'[3]LGS Pa.'!$B$3:$C$16,2,FALSE)</f>
        <v>#N/A</v>
      </c>
      <c r="P20" s="144">
        <f>$J$3*Table44[[#This Row],[Soil stability2]]</f>
        <v>20</v>
      </c>
    </row>
    <row r="21" spans="1:16">
      <c r="A21" s="144" t="s">
        <v>967</v>
      </c>
      <c r="B21" s="144" t="str">
        <f t="shared" si="0"/>
        <v>Transmission-Branch</v>
      </c>
      <c r="C21" s="81">
        <v>402330206</v>
      </c>
      <c r="D21" s="82" t="s">
        <v>613</v>
      </c>
      <c r="E21" s="80">
        <v>1</v>
      </c>
      <c r="H21" s="159"/>
      <c r="J21" s="144" t="s">
        <v>950</v>
      </c>
      <c r="M21" s="144" t="e">
        <f>VLOOKUP(I21,'[3]LGS Pa.'!$B$3:$C$16,2,FALSE)</f>
        <v>#N/A</v>
      </c>
      <c r="N21" s="144">
        <f>VLOOKUP(J21,'[3]LGS Pa.'!$B$3:$C$16,2,FALSE)</f>
        <v>2</v>
      </c>
      <c r="O21" s="144" t="e">
        <f>VLOOKUP(K21,'[3]LGS Pa.'!$B$3:$C$16,2,FALSE)</f>
        <v>#N/A</v>
      </c>
      <c r="P21" s="144">
        <f>$J$3*Table44[[#This Row],[Soil stability2]]</f>
        <v>20</v>
      </c>
    </row>
    <row r="22" spans="1:16">
      <c r="A22" s="144" t="s">
        <v>967</v>
      </c>
      <c r="B22" s="144" t="str">
        <f t="shared" si="0"/>
        <v>Transmission-Branch</v>
      </c>
      <c r="C22" s="81">
        <v>632102</v>
      </c>
      <c r="D22" s="82" t="s">
        <v>238</v>
      </c>
      <c r="E22" s="84">
        <v>1</v>
      </c>
      <c r="H22" s="159"/>
      <c r="J22" s="144" t="s">
        <v>950</v>
      </c>
      <c r="M22" s="144" t="e">
        <f>VLOOKUP(I22,'[3]LGS Pa.'!$B$3:$C$16,2,FALSE)</f>
        <v>#N/A</v>
      </c>
      <c r="N22" s="144">
        <f>VLOOKUP(J22,'[3]LGS Pa.'!$B$3:$C$16,2,FALSE)</f>
        <v>2</v>
      </c>
      <c r="O22" s="144" t="e">
        <f>VLOOKUP(K22,'[3]LGS Pa.'!$B$3:$C$16,2,FALSE)</f>
        <v>#N/A</v>
      </c>
      <c r="P22" s="144">
        <f>$J$3*Table44[[#This Row],[Soil stability2]]</f>
        <v>20</v>
      </c>
    </row>
    <row r="23" spans="1:16">
      <c r="A23" s="144" t="s">
        <v>967</v>
      </c>
      <c r="B23" s="144" t="str">
        <f t="shared" si="0"/>
        <v>Transmission-Branch</v>
      </c>
      <c r="C23" s="81" t="s">
        <v>888</v>
      </c>
      <c r="D23" s="82" t="s">
        <v>568</v>
      </c>
      <c r="E23" s="80">
        <v>1</v>
      </c>
      <c r="H23" s="159"/>
      <c r="J23" s="144" t="s">
        <v>950</v>
      </c>
      <c r="M23" s="144" t="e">
        <f>VLOOKUP(I23,'[3]LGS Pa.'!$B$3:$C$16,2,FALSE)</f>
        <v>#N/A</v>
      </c>
      <c r="N23" s="144">
        <f>VLOOKUP(J23,'[3]LGS Pa.'!$B$3:$C$16,2,FALSE)</f>
        <v>2</v>
      </c>
      <c r="O23" s="144" t="e">
        <f>VLOOKUP(K23,'[3]LGS Pa.'!$B$3:$C$16,2,FALSE)</f>
        <v>#N/A</v>
      </c>
      <c r="P23" s="144">
        <f>$J$3*Table44[[#This Row],[Soil stability2]]</f>
        <v>20</v>
      </c>
    </row>
    <row r="24" spans="1:16">
      <c r="A24" s="144" t="s">
        <v>967</v>
      </c>
      <c r="B24" s="144" t="str">
        <f t="shared" si="0"/>
        <v>Transmission-Branch</v>
      </c>
      <c r="C24" s="81" t="s">
        <v>889</v>
      </c>
      <c r="D24" s="82" t="s">
        <v>569</v>
      </c>
      <c r="E24" s="80">
        <v>1</v>
      </c>
      <c r="H24" s="159"/>
      <c r="J24" s="144" t="s">
        <v>950</v>
      </c>
      <c r="M24" s="144" t="e">
        <f>VLOOKUP(I24,'[3]LGS Pa.'!$B$3:$C$16,2,FALSE)</f>
        <v>#N/A</v>
      </c>
      <c r="N24" s="144">
        <f>VLOOKUP(J24,'[3]LGS Pa.'!$B$3:$C$16,2,FALSE)</f>
        <v>2</v>
      </c>
      <c r="O24" s="144" t="e">
        <f>VLOOKUP(K24,'[3]LGS Pa.'!$B$3:$C$16,2,FALSE)</f>
        <v>#N/A</v>
      </c>
      <c r="P24" s="144">
        <f>$J$3*Table44[[#This Row],[Soil stability2]]</f>
        <v>20</v>
      </c>
    </row>
    <row r="25" spans="1:16">
      <c r="A25" s="144" t="s">
        <v>967</v>
      </c>
      <c r="B25" s="144" t="str">
        <f t="shared" si="0"/>
        <v>Transmission-Branch</v>
      </c>
      <c r="C25" s="81" t="s">
        <v>890</v>
      </c>
      <c r="D25" s="82" t="s">
        <v>572</v>
      </c>
      <c r="E25" s="80">
        <v>1</v>
      </c>
      <c r="H25" s="159"/>
      <c r="J25" s="144" t="s">
        <v>950</v>
      </c>
      <c r="M25" s="144" t="e">
        <f>VLOOKUP(I25,'[3]LGS Pa.'!$B$3:$C$16,2,FALSE)</f>
        <v>#N/A</v>
      </c>
      <c r="N25" s="144">
        <f>VLOOKUP(J25,'[3]LGS Pa.'!$B$3:$C$16,2,FALSE)</f>
        <v>2</v>
      </c>
      <c r="O25" s="144" t="e">
        <f>VLOOKUP(K25,'[3]LGS Pa.'!$B$3:$C$16,2,FALSE)</f>
        <v>#N/A</v>
      </c>
      <c r="P25" s="144">
        <f>$J$3*Table44[[#This Row],[Soil stability2]]</f>
        <v>20</v>
      </c>
    </row>
    <row r="26" spans="1:16">
      <c r="A26" s="144" t="s">
        <v>967</v>
      </c>
      <c r="B26" s="144" t="str">
        <f t="shared" si="0"/>
        <v>Transmission-Branch</v>
      </c>
      <c r="C26" s="81" t="s">
        <v>891</v>
      </c>
      <c r="D26" s="82" t="s">
        <v>579</v>
      </c>
      <c r="E26" s="80">
        <v>1</v>
      </c>
      <c r="H26" s="159"/>
      <c r="J26" s="144" t="s">
        <v>950</v>
      </c>
      <c r="M26" s="144" t="e">
        <f>VLOOKUP(I26,'[3]LGS Pa.'!$B$3:$C$16,2,FALSE)</f>
        <v>#N/A</v>
      </c>
      <c r="N26" s="144">
        <f>VLOOKUP(J26,'[3]LGS Pa.'!$B$3:$C$16,2,FALSE)</f>
        <v>2</v>
      </c>
      <c r="O26" s="144" t="e">
        <f>VLOOKUP(K26,'[3]LGS Pa.'!$B$3:$C$16,2,FALSE)</f>
        <v>#N/A</v>
      </c>
      <c r="P26" s="144">
        <f>$J$3*Table44[[#This Row],[Soil stability2]]</f>
        <v>20</v>
      </c>
    </row>
    <row r="27" spans="1:16">
      <c r="A27" s="144" t="s">
        <v>967</v>
      </c>
      <c r="B27" s="144" t="str">
        <f t="shared" si="0"/>
        <v>Transmission-Branch</v>
      </c>
      <c r="C27" s="81" t="s">
        <v>892</v>
      </c>
      <c r="D27" s="82" t="s">
        <v>580</v>
      </c>
      <c r="E27" s="80">
        <v>1</v>
      </c>
      <c r="H27" s="159"/>
      <c r="J27" s="144" t="s">
        <v>950</v>
      </c>
      <c r="M27" s="144" t="e">
        <f>VLOOKUP(I27,'[3]LGS Pa.'!$B$3:$C$16,2,FALSE)</f>
        <v>#N/A</v>
      </c>
      <c r="N27" s="144">
        <f>VLOOKUP(J27,'[3]LGS Pa.'!$B$3:$C$16,2,FALSE)</f>
        <v>2</v>
      </c>
      <c r="O27" s="144" t="e">
        <f>VLOOKUP(K27,'[3]LGS Pa.'!$B$3:$C$16,2,FALSE)</f>
        <v>#N/A</v>
      </c>
      <c r="P27" s="144">
        <f>$J$3*Table44[[#This Row],[Soil stability2]]</f>
        <v>20</v>
      </c>
    </row>
    <row r="28" spans="1:16">
      <c r="A28" s="144" t="s">
        <v>967</v>
      </c>
      <c r="B28" s="144" t="str">
        <f t="shared" si="0"/>
        <v>Transmission-Branch</v>
      </c>
      <c r="C28" s="81" t="s">
        <v>893</v>
      </c>
      <c r="D28" s="82" t="s">
        <v>581</v>
      </c>
      <c r="E28" s="80">
        <v>1</v>
      </c>
      <c r="H28" s="159"/>
      <c r="J28" s="144" t="s">
        <v>950</v>
      </c>
      <c r="M28" s="144" t="e">
        <f>VLOOKUP(I28,'[3]LGS Pa.'!$B$3:$C$16,2,FALSE)</f>
        <v>#N/A</v>
      </c>
      <c r="N28" s="144">
        <f>VLOOKUP(J28,'[3]LGS Pa.'!$B$3:$C$16,2,FALSE)</f>
        <v>2</v>
      </c>
      <c r="O28" s="144" t="e">
        <f>VLOOKUP(K28,'[3]LGS Pa.'!$B$3:$C$16,2,FALSE)</f>
        <v>#N/A</v>
      </c>
      <c r="P28" s="144">
        <f>$J$3*Table44[[#This Row],[Soil stability2]]</f>
        <v>20</v>
      </c>
    </row>
    <row r="29" spans="1:16">
      <c r="A29" s="144" t="s">
        <v>967</v>
      </c>
      <c r="B29" s="144" t="str">
        <f t="shared" si="0"/>
        <v>Transmission-Branch</v>
      </c>
      <c r="C29" s="81" t="s">
        <v>894</v>
      </c>
      <c r="D29" s="82" t="s">
        <v>582</v>
      </c>
      <c r="E29" s="80">
        <v>1</v>
      </c>
      <c r="H29" s="159"/>
      <c r="J29" s="144" t="s">
        <v>950</v>
      </c>
      <c r="M29" s="144" t="e">
        <f>VLOOKUP(I29,'[3]LGS Pa.'!$B$3:$C$16,2,FALSE)</f>
        <v>#N/A</v>
      </c>
      <c r="N29" s="144">
        <f>VLOOKUP(J29,'[3]LGS Pa.'!$B$3:$C$16,2,FALSE)</f>
        <v>2</v>
      </c>
      <c r="O29" s="144" t="e">
        <f>VLOOKUP(K29,'[3]LGS Pa.'!$B$3:$C$16,2,FALSE)</f>
        <v>#N/A</v>
      </c>
      <c r="P29" s="144">
        <f>$J$3*Table44[[#This Row],[Soil stability2]]</f>
        <v>20</v>
      </c>
    </row>
    <row r="30" spans="1:16">
      <c r="A30" s="144" t="s">
        <v>967</v>
      </c>
      <c r="B30" s="144" t="str">
        <f t="shared" si="0"/>
        <v>Transmission-Branch</v>
      </c>
      <c r="C30" s="88" t="s">
        <v>895</v>
      </c>
      <c r="D30" s="89" t="s">
        <v>587</v>
      </c>
      <c r="E30" s="87">
        <v>1</v>
      </c>
      <c r="H30" s="159"/>
      <c r="J30" s="144" t="s">
        <v>950</v>
      </c>
      <c r="M30" s="144" t="e">
        <f>VLOOKUP(I30,'[3]LGS Pa.'!$B$3:$C$16,2,FALSE)</f>
        <v>#N/A</v>
      </c>
      <c r="N30" s="144">
        <f>VLOOKUP(J30,'[3]LGS Pa.'!$B$3:$C$16,2,FALSE)</f>
        <v>2</v>
      </c>
      <c r="O30" s="144" t="e">
        <f>VLOOKUP(K30,'[3]LGS Pa.'!$B$3:$C$16,2,FALSE)</f>
        <v>#N/A</v>
      </c>
      <c r="P30" s="144">
        <f>$J$3*Table44[[#This Row],[Soil stability2]]</f>
        <v>20</v>
      </c>
    </row>
    <row r="31" spans="1:16">
      <c r="A31" s="144" t="s">
        <v>967</v>
      </c>
      <c r="B31" s="144" t="str">
        <f t="shared" si="0"/>
        <v>Transmission-Branch</v>
      </c>
      <c r="C31" s="111">
        <v>40231</v>
      </c>
      <c r="D31" s="112" t="s">
        <v>591</v>
      </c>
      <c r="E31" s="110">
        <v>1</v>
      </c>
      <c r="H31" s="159"/>
      <c r="J31" s="144" t="s">
        <v>950</v>
      </c>
      <c r="M31" s="144" t="e">
        <f>VLOOKUP(I31,'[3]LGS Pa.'!$B$3:$C$16,2,FALSE)</f>
        <v>#N/A</v>
      </c>
      <c r="N31" s="144">
        <f>VLOOKUP(J31,'[3]LGS Pa.'!$B$3:$C$16,2,FALSE)</f>
        <v>2</v>
      </c>
      <c r="O31" s="144" t="e">
        <f>VLOOKUP(K31,'[3]LGS Pa.'!$B$3:$C$16,2,FALSE)</f>
        <v>#N/A</v>
      </c>
      <c r="P31" s="144">
        <f>$J$3*Table44[[#This Row],[Soil stability2]]</f>
        <v>20</v>
      </c>
    </row>
    <row r="32" spans="1:16">
      <c r="A32" s="144" t="s">
        <v>967</v>
      </c>
      <c r="B32" s="144" t="str">
        <f t="shared" si="0"/>
        <v>Transmission-Branch</v>
      </c>
      <c r="C32" s="81" t="s">
        <v>896</v>
      </c>
      <c r="D32" s="82" t="s">
        <v>592</v>
      </c>
      <c r="E32" s="80">
        <v>1</v>
      </c>
      <c r="H32" s="159"/>
      <c r="J32" s="144" t="s">
        <v>950</v>
      </c>
      <c r="M32" s="144" t="e">
        <f>VLOOKUP(I32,'[3]LGS Pa.'!$B$3:$C$16,2,FALSE)</f>
        <v>#N/A</v>
      </c>
      <c r="N32" s="144">
        <f>VLOOKUP(J32,'[3]LGS Pa.'!$B$3:$C$16,2,FALSE)</f>
        <v>2</v>
      </c>
      <c r="O32" s="144" t="e">
        <f>VLOOKUP(K32,'[3]LGS Pa.'!$B$3:$C$16,2,FALSE)</f>
        <v>#N/A</v>
      </c>
      <c r="P32" s="144">
        <f>$J$3*Table44[[#This Row],[Soil stability2]]</f>
        <v>20</v>
      </c>
    </row>
    <row r="33" spans="1:16">
      <c r="A33" s="144" t="s">
        <v>969</v>
      </c>
      <c r="B33" s="144" t="str">
        <f t="shared" si="0"/>
        <v>Transmission - Main</v>
      </c>
      <c r="C33" s="81" t="s">
        <v>897</v>
      </c>
      <c r="D33" s="82" t="s">
        <v>590</v>
      </c>
      <c r="E33" s="80">
        <v>1</v>
      </c>
      <c r="H33" s="159"/>
      <c r="J33" s="144" t="s">
        <v>950</v>
      </c>
      <c r="M33" s="144" t="e">
        <f>VLOOKUP(I33,'[3]LGS Pa.'!$B$3:$C$16,2,FALSE)</f>
        <v>#N/A</v>
      </c>
      <c r="N33" s="144">
        <f>VLOOKUP(J33,'[3]LGS Pa.'!$B$3:$C$16,2,FALSE)</f>
        <v>2</v>
      </c>
      <c r="O33" s="144" t="e">
        <f>VLOOKUP(K33,'[3]LGS Pa.'!$B$3:$C$16,2,FALSE)</f>
        <v>#N/A</v>
      </c>
      <c r="P33" s="144">
        <f>$J$3*Table44[[#This Row],[Soil stability2]]</f>
        <v>20</v>
      </c>
    </row>
    <row r="34" spans="1:16">
      <c r="A34" s="144" t="s">
        <v>969</v>
      </c>
      <c r="B34" s="144" t="str">
        <f t="shared" si="0"/>
        <v>Transmission - Main</v>
      </c>
      <c r="C34" s="81" t="s">
        <v>898</v>
      </c>
      <c r="D34" s="82" t="s">
        <v>599</v>
      </c>
      <c r="E34" s="80">
        <v>1</v>
      </c>
      <c r="H34" s="159"/>
      <c r="J34" s="144" t="s">
        <v>950</v>
      </c>
      <c r="M34" s="144" t="e">
        <f>VLOOKUP(I34,'[3]LGS Pa.'!$B$3:$C$16,2,FALSE)</f>
        <v>#N/A</v>
      </c>
      <c r="N34" s="144">
        <f>VLOOKUP(J34,'[3]LGS Pa.'!$B$3:$C$16,2,FALSE)</f>
        <v>2</v>
      </c>
      <c r="O34" s="144" t="e">
        <f>VLOOKUP(K34,'[3]LGS Pa.'!$B$3:$C$16,2,FALSE)</f>
        <v>#N/A</v>
      </c>
      <c r="P34" s="144">
        <f>$J$3*Table44[[#This Row],[Soil stability2]]</f>
        <v>20</v>
      </c>
    </row>
    <row r="35" spans="1:16">
      <c r="A35" s="144" t="s">
        <v>969</v>
      </c>
      <c r="B35" s="144" t="str">
        <f t="shared" si="0"/>
        <v>Transmission - Main</v>
      </c>
      <c r="C35" s="81" t="s">
        <v>899</v>
      </c>
      <c r="D35" s="82" t="s">
        <v>602</v>
      </c>
      <c r="E35" s="80">
        <v>1</v>
      </c>
      <c r="H35" s="159"/>
      <c r="J35" s="144" t="s">
        <v>950</v>
      </c>
      <c r="M35" s="144" t="e">
        <f>VLOOKUP(I35,'[3]LGS Pa.'!$B$3:$C$16,2,FALSE)</f>
        <v>#N/A</v>
      </c>
      <c r="N35" s="144">
        <f>VLOOKUP(J35,'[3]LGS Pa.'!$B$3:$C$16,2,FALSE)</f>
        <v>2</v>
      </c>
      <c r="O35" s="144" t="e">
        <f>VLOOKUP(K35,'[3]LGS Pa.'!$B$3:$C$16,2,FALSE)</f>
        <v>#N/A</v>
      </c>
      <c r="P35" s="144">
        <f>$J$3*Table44[[#This Row],[Soil stability2]]</f>
        <v>20</v>
      </c>
    </row>
    <row r="36" spans="1:16">
      <c r="A36" s="144" t="s">
        <v>969</v>
      </c>
      <c r="B36" s="144" t="str">
        <f t="shared" si="0"/>
        <v>Transmission - Main</v>
      </c>
      <c r="C36" s="81" t="s">
        <v>900</v>
      </c>
      <c r="D36" s="82" t="s">
        <v>603</v>
      </c>
      <c r="E36" s="80">
        <v>1</v>
      </c>
      <c r="H36" s="159"/>
      <c r="J36" s="144" t="s">
        <v>950</v>
      </c>
      <c r="M36" s="144" t="e">
        <f>VLOOKUP(I36,'[3]LGS Pa.'!$B$3:$C$16,2,FALSE)</f>
        <v>#N/A</v>
      </c>
      <c r="N36" s="144">
        <f>VLOOKUP(J36,'[3]LGS Pa.'!$B$3:$C$16,2,FALSE)</f>
        <v>2</v>
      </c>
      <c r="O36" s="144" t="e">
        <f>VLOOKUP(K36,'[3]LGS Pa.'!$B$3:$C$16,2,FALSE)</f>
        <v>#N/A</v>
      </c>
      <c r="P36" s="144">
        <f>$J$3*Table44[[#This Row],[Soil stability2]]</f>
        <v>20</v>
      </c>
    </row>
    <row r="37" spans="1:16">
      <c r="A37" s="144" t="s">
        <v>967</v>
      </c>
      <c r="B37" s="144" t="str">
        <f t="shared" si="0"/>
        <v>Transmission-Branch</v>
      </c>
      <c r="C37" s="81" t="s">
        <v>901</v>
      </c>
      <c r="D37" s="82" t="s">
        <v>604</v>
      </c>
      <c r="E37" s="80">
        <v>1</v>
      </c>
      <c r="H37" s="159"/>
      <c r="J37" s="144" t="s">
        <v>950</v>
      </c>
      <c r="M37" s="144" t="e">
        <f>VLOOKUP(I37,'[3]LGS Pa.'!$B$3:$C$16,2,FALSE)</f>
        <v>#N/A</v>
      </c>
      <c r="N37" s="144">
        <f>VLOOKUP(J37,'[3]LGS Pa.'!$B$3:$C$16,2,FALSE)</f>
        <v>2</v>
      </c>
      <c r="O37" s="144" t="e">
        <f>VLOOKUP(K37,'[3]LGS Pa.'!$B$3:$C$16,2,FALSE)</f>
        <v>#N/A</v>
      </c>
      <c r="P37" s="144">
        <f>$J$3*Table44[[#This Row],[Soil stability2]]</f>
        <v>20</v>
      </c>
    </row>
    <row r="38" spans="1:16">
      <c r="A38" s="144" t="s">
        <v>967</v>
      </c>
      <c r="B38" s="144" t="str">
        <f t="shared" si="0"/>
        <v>Transmission-Branch</v>
      </c>
      <c r="C38" s="81" t="s">
        <v>902</v>
      </c>
      <c r="D38" s="82" t="s">
        <v>605</v>
      </c>
      <c r="E38" s="80">
        <v>1</v>
      </c>
      <c r="H38" s="159"/>
      <c r="J38" s="144" t="s">
        <v>950</v>
      </c>
      <c r="M38" s="144" t="e">
        <f>VLOOKUP(I38,'[3]LGS Pa.'!$B$3:$C$16,2,FALSE)</f>
        <v>#N/A</v>
      </c>
      <c r="N38" s="144">
        <f>VLOOKUP(J38,'[3]LGS Pa.'!$B$3:$C$16,2,FALSE)</f>
        <v>2</v>
      </c>
      <c r="O38" s="144" t="e">
        <f>VLOOKUP(K38,'[3]LGS Pa.'!$B$3:$C$16,2,FALSE)</f>
        <v>#N/A</v>
      </c>
      <c r="P38" s="144">
        <f>$J$3*Table44[[#This Row],[Soil stability2]]</f>
        <v>20</v>
      </c>
    </row>
    <row r="39" spans="1:16">
      <c r="A39" s="144" t="s">
        <v>967</v>
      </c>
      <c r="B39" s="144" t="str">
        <f t="shared" si="0"/>
        <v>Transmission-Branch</v>
      </c>
      <c r="C39" s="81" t="s">
        <v>903</v>
      </c>
      <c r="D39" s="82" t="s">
        <v>606</v>
      </c>
      <c r="E39" s="80">
        <v>1</v>
      </c>
      <c r="H39" s="159"/>
      <c r="J39" s="144" t="s">
        <v>950</v>
      </c>
      <c r="M39" s="144" t="e">
        <f>VLOOKUP(I39,'[3]LGS Pa.'!$B$3:$C$16,2,FALSE)</f>
        <v>#N/A</v>
      </c>
      <c r="N39" s="144">
        <f>VLOOKUP(J39,'[3]LGS Pa.'!$B$3:$C$16,2,FALSE)</f>
        <v>2</v>
      </c>
      <c r="O39" s="144" t="e">
        <f>VLOOKUP(K39,'[3]LGS Pa.'!$B$3:$C$16,2,FALSE)</f>
        <v>#N/A</v>
      </c>
      <c r="P39" s="144">
        <f>$J$3*Table44[[#This Row],[Soil stability2]]</f>
        <v>20</v>
      </c>
    </row>
    <row r="40" spans="1:16">
      <c r="A40" s="144" t="s">
        <v>967</v>
      </c>
      <c r="B40" s="144" t="str">
        <f t="shared" si="0"/>
        <v>Transmission-Branch</v>
      </c>
      <c r="C40" s="81" t="s">
        <v>904</v>
      </c>
      <c r="D40" s="82" t="s">
        <v>607</v>
      </c>
      <c r="E40" s="80">
        <v>1</v>
      </c>
      <c r="H40" s="159"/>
      <c r="J40" s="144" t="s">
        <v>950</v>
      </c>
      <c r="M40" s="144" t="e">
        <f>VLOOKUP(I40,'[3]LGS Pa.'!$B$3:$C$16,2,FALSE)</f>
        <v>#N/A</v>
      </c>
      <c r="N40" s="144">
        <f>VLOOKUP(J40,'[3]LGS Pa.'!$B$3:$C$16,2,FALSE)</f>
        <v>2</v>
      </c>
      <c r="O40" s="144" t="e">
        <f>VLOOKUP(K40,'[3]LGS Pa.'!$B$3:$C$16,2,FALSE)</f>
        <v>#N/A</v>
      </c>
      <c r="P40" s="144">
        <f>$J$3*Table44[[#This Row],[Soil stability2]]</f>
        <v>20</v>
      </c>
    </row>
    <row r="41" spans="1:16">
      <c r="A41" s="144" t="s">
        <v>967</v>
      </c>
      <c r="B41" s="144" t="str">
        <f t="shared" si="0"/>
        <v>Transmission-Branch</v>
      </c>
      <c r="C41" s="81">
        <v>631100002</v>
      </c>
      <c r="D41" s="82" t="s">
        <v>574</v>
      </c>
      <c r="E41" s="80">
        <v>1</v>
      </c>
      <c r="H41" s="159"/>
      <c r="J41" s="144" t="s">
        <v>950</v>
      </c>
      <c r="M41" s="144" t="e">
        <f>VLOOKUP(I41,'[3]LGS Pa.'!$B$3:$C$16,2,FALSE)</f>
        <v>#N/A</v>
      </c>
      <c r="N41" s="144">
        <f>VLOOKUP(J41,'[3]LGS Pa.'!$B$3:$C$16,2,FALSE)</f>
        <v>2</v>
      </c>
      <c r="O41" s="144" t="e">
        <f>VLOOKUP(K41,'[3]LGS Pa.'!$B$3:$C$16,2,FALSE)</f>
        <v>#N/A</v>
      </c>
      <c r="P41" s="144">
        <f>$J$3*Table44[[#This Row],[Soil stability2]]</f>
        <v>20</v>
      </c>
    </row>
    <row r="42" spans="1:16">
      <c r="A42" s="144" t="s">
        <v>967</v>
      </c>
      <c r="B42" s="144" t="str">
        <f t="shared" si="0"/>
        <v>Transmission-Branch</v>
      </c>
      <c r="C42" s="81">
        <v>631100004</v>
      </c>
      <c r="D42" s="82" t="s">
        <v>571</v>
      </c>
      <c r="E42" s="80">
        <v>1</v>
      </c>
      <c r="H42" s="159"/>
      <c r="J42" s="144" t="s">
        <v>950</v>
      </c>
      <c r="M42" s="144" t="e">
        <f>VLOOKUP(I42,'[3]LGS Pa.'!$B$3:$C$16,2,FALSE)</f>
        <v>#N/A</v>
      </c>
      <c r="N42" s="144">
        <f>VLOOKUP(J42,'[3]LGS Pa.'!$B$3:$C$16,2,FALSE)</f>
        <v>2</v>
      </c>
      <c r="O42" s="144" t="e">
        <f>VLOOKUP(K42,'[3]LGS Pa.'!$B$3:$C$16,2,FALSE)</f>
        <v>#N/A</v>
      </c>
      <c r="P42" s="144">
        <f>$J$3*Table44[[#This Row],[Soil stability2]]</f>
        <v>20</v>
      </c>
    </row>
    <row r="43" spans="1:16">
      <c r="A43" s="144" t="s">
        <v>967</v>
      </c>
      <c r="B43" s="144" t="str">
        <f t="shared" si="0"/>
        <v>Transmission-Branch</v>
      </c>
      <c r="C43" s="81">
        <v>6322101</v>
      </c>
      <c r="D43" s="82" t="s">
        <v>239</v>
      </c>
      <c r="E43" s="84">
        <v>1</v>
      </c>
      <c r="H43" s="159"/>
      <c r="J43" s="144" t="s">
        <v>950</v>
      </c>
      <c r="M43" s="144" t="e">
        <f>VLOOKUP(I43,'[3]LGS Pa.'!$B$3:$C$16,2,FALSE)</f>
        <v>#N/A</v>
      </c>
      <c r="N43" s="144">
        <f>VLOOKUP(J43,'[3]LGS Pa.'!$B$3:$C$16,2,FALSE)</f>
        <v>2</v>
      </c>
      <c r="O43" s="144" t="e">
        <f>VLOOKUP(K43,'[3]LGS Pa.'!$B$3:$C$16,2,FALSE)</f>
        <v>#N/A</v>
      </c>
      <c r="P43" s="144">
        <f>$J$3*Table44[[#This Row],[Soil stability2]]</f>
        <v>20</v>
      </c>
    </row>
    <row r="44" spans="1:16">
      <c r="A44" s="144" t="s">
        <v>967</v>
      </c>
      <c r="B44" s="144" t="str">
        <f t="shared" si="0"/>
        <v>Transmission-Branch</v>
      </c>
      <c r="C44" s="81">
        <v>6322104</v>
      </c>
      <c r="D44" s="82" t="s">
        <v>240</v>
      </c>
      <c r="E44" s="84">
        <v>1</v>
      </c>
      <c r="H44" s="159"/>
      <c r="J44" s="144" t="s">
        <v>950</v>
      </c>
      <c r="M44" s="144" t="e">
        <f>VLOOKUP(I44,'[3]LGS Pa.'!$B$3:$C$16,2,FALSE)</f>
        <v>#N/A</v>
      </c>
      <c r="N44" s="144">
        <f>VLOOKUP(J44,'[3]LGS Pa.'!$B$3:$C$16,2,FALSE)</f>
        <v>2</v>
      </c>
      <c r="O44" s="144" t="e">
        <f>VLOOKUP(K44,'[3]LGS Pa.'!$B$3:$C$16,2,FALSE)</f>
        <v>#N/A</v>
      </c>
      <c r="P44" s="144">
        <f>$J$3*Table44[[#This Row],[Soil stability2]]</f>
        <v>20</v>
      </c>
    </row>
    <row r="45" spans="1:16" ht="25.5">
      <c r="A45" s="144" t="s">
        <v>969</v>
      </c>
      <c r="B45" s="144" t="str">
        <f t="shared" si="0"/>
        <v>Transmission - Main</v>
      </c>
      <c r="C45" s="81">
        <v>40222012</v>
      </c>
      <c r="D45" s="82" t="s">
        <v>241</v>
      </c>
      <c r="E45" s="84">
        <v>1</v>
      </c>
      <c r="H45" s="159"/>
      <c r="J45" s="144" t="s">
        <v>950</v>
      </c>
      <c r="M45" s="144" t="e">
        <f>VLOOKUP(I45,'[3]LGS Pa.'!$B$3:$C$16,2,FALSE)</f>
        <v>#N/A</v>
      </c>
      <c r="N45" s="144">
        <f>VLOOKUP(J45,'[3]LGS Pa.'!$B$3:$C$16,2,FALSE)</f>
        <v>2</v>
      </c>
      <c r="O45" s="144" t="e">
        <f>VLOOKUP(K45,'[3]LGS Pa.'!$B$3:$C$16,2,FALSE)</f>
        <v>#N/A</v>
      </c>
      <c r="P45" s="144">
        <f>$J$3*Table44[[#This Row],[Soil stability2]]</f>
        <v>20</v>
      </c>
    </row>
    <row r="46" spans="1:16">
      <c r="A46" s="144" t="s">
        <v>969</v>
      </c>
      <c r="B46" s="144" t="str">
        <f t="shared" si="0"/>
        <v>Transmission - Main</v>
      </c>
      <c r="C46" s="81">
        <v>402110001</v>
      </c>
      <c r="D46" s="82" t="s">
        <v>242</v>
      </c>
      <c r="E46" s="84">
        <v>1</v>
      </c>
      <c r="H46" s="159"/>
      <c r="J46" s="144" t="s">
        <v>950</v>
      </c>
      <c r="M46" s="144" t="e">
        <f>VLOOKUP(I46,'[3]LGS Pa.'!$B$3:$C$16,2,FALSE)</f>
        <v>#N/A</v>
      </c>
      <c r="N46" s="144">
        <f>VLOOKUP(J46,'[3]LGS Pa.'!$B$3:$C$16,2,FALSE)</f>
        <v>2</v>
      </c>
      <c r="O46" s="144" t="e">
        <f>VLOOKUP(K46,'[3]LGS Pa.'!$B$3:$C$16,2,FALSE)</f>
        <v>#N/A</v>
      </c>
      <c r="P46" s="144">
        <f>$J$3*Table44[[#This Row],[Soil stability2]]</f>
        <v>20</v>
      </c>
    </row>
    <row r="47" spans="1:16">
      <c r="A47" s="144" t="s">
        <v>969</v>
      </c>
      <c r="B47" s="144" t="str">
        <f t="shared" si="0"/>
        <v>Transmission - Main</v>
      </c>
      <c r="C47" s="81">
        <v>402210001</v>
      </c>
      <c r="D47" s="82" t="s">
        <v>243</v>
      </c>
      <c r="E47" s="84">
        <v>1</v>
      </c>
      <c r="H47" s="159"/>
      <c r="J47" s="144" t="s">
        <v>950</v>
      </c>
      <c r="M47" s="144" t="e">
        <f>VLOOKUP(I47,'[3]LGS Pa.'!$B$3:$C$16,2,FALSE)</f>
        <v>#N/A</v>
      </c>
      <c r="N47" s="144">
        <f>VLOOKUP(J47,'[3]LGS Pa.'!$B$3:$C$16,2,FALSE)</f>
        <v>2</v>
      </c>
      <c r="O47" s="144" t="e">
        <f>VLOOKUP(K47,'[3]LGS Pa.'!$B$3:$C$16,2,FALSE)</f>
        <v>#N/A</v>
      </c>
      <c r="P47" s="144">
        <f>$J$3*Table44[[#This Row],[Soil stability2]]</f>
        <v>20</v>
      </c>
    </row>
    <row r="48" spans="1:16">
      <c r="A48" s="144" t="s">
        <v>969</v>
      </c>
      <c r="B48" s="144" t="str">
        <f t="shared" si="0"/>
        <v>Transmission - Main</v>
      </c>
      <c r="C48" s="81">
        <v>402210003</v>
      </c>
      <c r="D48" s="82" t="s">
        <v>244</v>
      </c>
      <c r="E48" s="84">
        <v>1</v>
      </c>
      <c r="H48" s="159"/>
      <c r="J48" s="144" t="s">
        <v>950</v>
      </c>
      <c r="M48" s="144" t="e">
        <f>VLOOKUP(I48,'[3]LGS Pa.'!$B$3:$C$16,2,FALSE)</f>
        <v>#N/A</v>
      </c>
      <c r="N48" s="144">
        <f>VLOOKUP(J48,'[3]LGS Pa.'!$B$3:$C$16,2,FALSE)</f>
        <v>2</v>
      </c>
      <c r="O48" s="144" t="e">
        <f>VLOOKUP(K48,'[3]LGS Pa.'!$B$3:$C$16,2,FALSE)</f>
        <v>#N/A</v>
      </c>
      <c r="P48" s="144">
        <f>$J$3*Table44[[#This Row],[Soil stability2]]</f>
        <v>20</v>
      </c>
    </row>
    <row r="49" spans="1:16">
      <c r="A49" s="144" t="s">
        <v>969</v>
      </c>
      <c r="B49" s="144" t="str">
        <f t="shared" si="0"/>
        <v>Transmission - Main</v>
      </c>
      <c r="C49" s="81">
        <v>4030301</v>
      </c>
      <c r="D49" s="82" t="s">
        <v>578</v>
      </c>
      <c r="E49" s="80">
        <v>1</v>
      </c>
      <c r="H49" s="159"/>
      <c r="J49" s="144" t="s">
        <v>950</v>
      </c>
      <c r="M49" s="144" t="e">
        <f>VLOOKUP(I49,'[3]LGS Pa.'!$B$3:$C$16,2,FALSE)</f>
        <v>#N/A</v>
      </c>
      <c r="N49" s="144">
        <f>VLOOKUP(J49,'[3]LGS Pa.'!$B$3:$C$16,2,FALSE)</f>
        <v>2</v>
      </c>
      <c r="O49" s="144" t="e">
        <f>VLOOKUP(K49,'[3]LGS Pa.'!$B$3:$C$16,2,FALSE)</f>
        <v>#N/A</v>
      </c>
      <c r="P49" s="144">
        <f>$J$3*Table44[[#This Row],[Soil stability2]]</f>
        <v>20</v>
      </c>
    </row>
    <row r="50" spans="1:16" ht="25.5">
      <c r="A50" s="144" t="s">
        <v>969</v>
      </c>
      <c r="B50" s="144" t="str">
        <f t="shared" si="0"/>
        <v>Transmission - Main</v>
      </c>
      <c r="C50" s="81">
        <v>405110101</v>
      </c>
      <c r="D50" s="82" t="s">
        <v>245</v>
      </c>
      <c r="E50" s="84">
        <v>1</v>
      </c>
      <c r="H50" s="159"/>
      <c r="J50" s="144" t="s">
        <v>950</v>
      </c>
      <c r="M50" s="144" t="e">
        <f>VLOOKUP(I50,'[3]LGS Pa.'!$B$3:$C$16,2,FALSE)</f>
        <v>#N/A</v>
      </c>
      <c r="N50" s="144">
        <f>VLOOKUP(J50,'[3]LGS Pa.'!$B$3:$C$16,2,FALSE)</f>
        <v>2</v>
      </c>
      <c r="O50" s="144" t="e">
        <f>VLOOKUP(K50,'[3]LGS Pa.'!$B$3:$C$16,2,FALSE)</f>
        <v>#N/A</v>
      </c>
      <c r="P50" s="144">
        <f>$J$3*Table44[[#This Row],[Soil stability2]]</f>
        <v>20</v>
      </c>
    </row>
    <row r="51" spans="1:16">
      <c r="A51" s="144" t="s">
        <v>969</v>
      </c>
      <c r="B51" s="144" t="str">
        <f t="shared" si="0"/>
        <v>Transmission - Main</v>
      </c>
      <c r="C51" s="81">
        <v>4052</v>
      </c>
      <c r="D51" s="82" t="s">
        <v>611</v>
      </c>
      <c r="E51" s="80">
        <v>1</v>
      </c>
      <c r="H51" s="159"/>
      <c r="J51" s="144" t="s">
        <v>950</v>
      </c>
      <c r="M51" s="144" t="e">
        <f>VLOOKUP(I51,'[3]LGS Pa.'!$B$3:$C$16,2,FALSE)</f>
        <v>#N/A</v>
      </c>
      <c r="N51" s="144">
        <f>VLOOKUP(J51,'[3]LGS Pa.'!$B$3:$C$16,2,FALSE)</f>
        <v>2</v>
      </c>
      <c r="O51" s="144" t="e">
        <f>VLOOKUP(K51,'[3]LGS Pa.'!$B$3:$C$16,2,FALSE)</f>
        <v>#N/A</v>
      </c>
      <c r="P51" s="144">
        <f>$J$3*Table44[[#This Row],[Soil stability2]]</f>
        <v>20</v>
      </c>
    </row>
    <row r="52" spans="1:16">
      <c r="A52" s="144" t="s">
        <v>969</v>
      </c>
      <c r="B52" s="144" t="str">
        <f t="shared" si="0"/>
        <v>Transmission - Main</v>
      </c>
      <c r="C52" s="81">
        <v>44021001</v>
      </c>
      <c r="D52" s="82" t="s">
        <v>563</v>
      </c>
      <c r="E52" s="80">
        <v>1</v>
      </c>
      <c r="H52" s="159"/>
      <c r="J52" s="144" t="s">
        <v>950</v>
      </c>
      <c r="M52" s="144" t="e">
        <f>VLOOKUP(I52,'[3]LGS Pa.'!$B$3:$C$16,2,FALSE)</f>
        <v>#N/A</v>
      </c>
      <c r="N52" s="144">
        <f>VLOOKUP(J52,'[3]LGS Pa.'!$B$3:$C$16,2,FALSE)</f>
        <v>2</v>
      </c>
      <c r="O52" s="144" t="e">
        <f>VLOOKUP(K52,'[3]LGS Pa.'!$B$3:$C$16,2,FALSE)</f>
        <v>#N/A</v>
      </c>
      <c r="P52" s="144">
        <f>$J$3*Table44[[#This Row],[Soil stability2]]</f>
        <v>20</v>
      </c>
    </row>
    <row r="53" spans="1:16">
      <c r="A53" s="144" t="s">
        <v>969</v>
      </c>
      <c r="B53" s="144" t="str">
        <f t="shared" si="0"/>
        <v>Transmission - Main</v>
      </c>
      <c r="C53" s="81">
        <v>440210002</v>
      </c>
      <c r="D53" s="82" t="s">
        <v>246</v>
      </c>
      <c r="E53" s="84">
        <v>1</v>
      </c>
      <c r="H53" s="159"/>
      <c r="J53" s="144" t="s">
        <v>950</v>
      </c>
      <c r="M53" s="144" t="e">
        <f>VLOOKUP(I53,'[3]LGS Pa.'!$B$3:$C$16,2,FALSE)</f>
        <v>#N/A</v>
      </c>
      <c r="N53" s="144">
        <f>VLOOKUP(J53,'[3]LGS Pa.'!$B$3:$C$16,2,FALSE)</f>
        <v>2</v>
      </c>
      <c r="O53" s="144" t="e">
        <f>VLOOKUP(K53,'[3]LGS Pa.'!$B$3:$C$16,2,FALSE)</f>
        <v>#N/A</v>
      </c>
      <c r="P53" s="144">
        <f>$J$3*Table44[[#This Row],[Soil stability2]]</f>
        <v>20</v>
      </c>
    </row>
    <row r="54" spans="1:16">
      <c r="A54" s="144" t="s">
        <v>969</v>
      </c>
      <c r="B54" s="144" t="str">
        <f t="shared" si="0"/>
        <v>Transmission - Main</v>
      </c>
      <c r="C54" s="81">
        <v>440210003</v>
      </c>
      <c r="D54" s="82" t="s">
        <v>565</v>
      </c>
      <c r="E54" s="80">
        <v>1</v>
      </c>
      <c r="H54" s="159"/>
      <c r="J54" s="144" t="s">
        <v>950</v>
      </c>
      <c r="M54" s="144" t="e">
        <f>VLOOKUP(I54,'[3]LGS Pa.'!$B$3:$C$16,2,FALSE)</f>
        <v>#N/A</v>
      </c>
      <c r="N54" s="144">
        <f>VLOOKUP(J54,'[3]LGS Pa.'!$B$3:$C$16,2,FALSE)</f>
        <v>2</v>
      </c>
      <c r="O54" s="144" t="e">
        <f>VLOOKUP(K54,'[3]LGS Pa.'!$B$3:$C$16,2,FALSE)</f>
        <v>#N/A</v>
      </c>
      <c r="P54" s="144">
        <f>$J$3*Table44[[#This Row],[Soil stability2]]</f>
        <v>20</v>
      </c>
    </row>
    <row r="55" spans="1:16">
      <c r="A55" s="144" t="s">
        <v>969</v>
      </c>
      <c r="B55" s="144" t="str">
        <f t="shared" si="0"/>
        <v>Transmission - Main</v>
      </c>
      <c r="C55" s="81">
        <v>440210004</v>
      </c>
      <c r="D55" s="82" t="s">
        <v>567</v>
      </c>
      <c r="E55" s="80">
        <v>1</v>
      </c>
      <c r="H55" s="159"/>
      <c r="J55" s="144" t="s">
        <v>950</v>
      </c>
      <c r="M55" s="144" t="e">
        <f>VLOOKUP(I55,'[3]LGS Pa.'!$B$3:$C$16,2,FALSE)</f>
        <v>#N/A</v>
      </c>
      <c r="N55" s="144">
        <f>VLOOKUP(J55,'[3]LGS Pa.'!$B$3:$C$16,2,FALSE)</f>
        <v>2</v>
      </c>
      <c r="O55" s="144" t="e">
        <f>VLOOKUP(K55,'[3]LGS Pa.'!$B$3:$C$16,2,FALSE)</f>
        <v>#N/A</v>
      </c>
      <c r="P55" s="144">
        <f>$J$3*Table44[[#This Row],[Soil stability2]]</f>
        <v>20</v>
      </c>
    </row>
    <row r="56" spans="1:16">
      <c r="A56" s="144" t="s">
        <v>969</v>
      </c>
      <c r="B56" s="144" t="str">
        <f t="shared" si="0"/>
        <v>Transmission - Main</v>
      </c>
      <c r="C56" s="81">
        <v>440220001</v>
      </c>
      <c r="D56" s="82" t="s">
        <v>247</v>
      </c>
      <c r="E56" s="84">
        <v>1</v>
      </c>
      <c r="H56" s="159"/>
      <c r="J56" s="144" t="s">
        <v>950</v>
      </c>
      <c r="M56" s="144" t="e">
        <f>VLOOKUP(I56,'[3]LGS Pa.'!$B$3:$C$16,2,FALSE)</f>
        <v>#N/A</v>
      </c>
      <c r="N56" s="144">
        <f>VLOOKUP(J56,'[3]LGS Pa.'!$B$3:$C$16,2,FALSE)</f>
        <v>2</v>
      </c>
      <c r="O56" s="144" t="e">
        <f>VLOOKUP(K56,'[3]LGS Pa.'!$B$3:$C$16,2,FALSE)</f>
        <v>#N/A</v>
      </c>
      <c r="P56" s="144">
        <f>$J$3*Table44[[#This Row],[Soil stability2]]</f>
        <v>20</v>
      </c>
    </row>
    <row r="57" spans="1:16">
      <c r="A57" s="144" t="s">
        <v>969</v>
      </c>
      <c r="B57" s="144" t="str">
        <f t="shared" si="0"/>
        <v>Transmission - Main</v>
      </c>
      <c r="C57" s="81">
        <v>503100001</v>
      </c>
      <c r="D57" s="82" t="s">
        <v>248</v>
      </c>
      <c r="E57" s="84">
        <v>1</v>
      </c>
      <c r="H57" s="159"/>
      <c r="J57" s="144" t="s">
        <v>950</v>
      </c>
      <c r="M57" s="144" t="e">
        <f>VLOOKUP(I57,'[3]LGS Pa.'!$B$3:$C$16,2,FALSE)</f>
        <v>#N/A</v>
      </c>
      <c r="N57" s="144">
        <f>VLOOKUP(J57,'[3]LGS Pa.'!$B$3:$C$16,2,FALSE)</f>
        <v>2</v>
      </c>
      <c r="O57" s="144" t="e">
        <f>VLOOKUP(K57,'[3]LGS Pa.'!$B$3:$C$16,2,FALSE)</f>
        <v>#N/A</v>
      </c>
      <c r="P57" s="144">
        <f>$J$3*Table44[[#This Row],[Soil stability2]]</f>
        <v>20</v>
      </c>
    </row>
    <row r="58" spans="1:16">
      <c r="A58" s="144" t="s">
        <v>967</v>
      </c>
      <c r="B58" s="144" t="str">
        <f t="shared" si="0"/>
        <v>Transmission-Branch</v>
      </c>
      <c r="C58" s="81">
        <v>503100002</v>
      </c>
      <c r="D58" s="82" t="s">
        <v>561</v>
      </c>
      <c r="E58" s="80">
        <v>1</v>
      </c>
      <c r="H58" s="159"/>
      <c r="J58" s="144" t="s">
        <v>950</v>
      </c>
      <c r="M58" s="144" t="e">
        <f>VLOOKUP(I58,'[3]LGS Pa.'!$B$3:$C$16,2,FALSE)</f>
        <v>#N/A</v>
      </c>
      <c r="N58" s="144">
        <f>VLOOKUP(J58,'[3]LGS Pa.'!$B$3:$C$16,2,FALSE)</f>
        <v>2</v>
      </c>
      <c r="O58" s="144" t="e">
        <f>VLOOKUP(K58,'[3]LGS Pa.'!$B$3:$C$16,2,FALSE)</f>
        <v>#N/A</v>
      </c>
      <c r="P58" s="144">
        <f>$J$3*Table44[[#This Row],[Soil stability2]]</f>
        <v>20</v>
      </c>
    </row>
    <row r="59" spans="1:16">
      <c r="A59" s="144" t="s">
        <v>967</v>
      </c>
      <c r="B59" s="144" t="str">
        <f t="shared" si="0"/>
        <v>Transmission-Branch</v>
      </c>
      <c r="C59" s="81">
        <v>503200001</v>
      </c>
      <c r="D59" s="82" t="s">
        <v>558</v>
      </c>
      <c r="E59" s="80">
        <v>1</v>
      </c>
      <c r="H59" s="159"/>
      <c r="J59" s="144" t="s">
        <v>950</v>
      </c>
      <c r="M59" s="144" t="e">
        <f>VLOOKUP(I59,'[3]LGS Pa.'!$B$3:$C$16,2,FALSE)</f>
        <v>#N/A</v>
      </c>
      <c r="N59" s="144">
        <f>VLOOKUP(J59,'[3]LGS Pa.'!$B$3:$C$16,2,FALSE)</f>
        <v>2</v>
      </c>
      <c r="O59" s="144" t="e">
        <f>VLOOKUP(K59,'[3]LGS Pa.'!$B$3:$C$16,2,FALSE)</f>
        <v>#N/A</v>
      </c>
      <c r="P59" s="144">
        <f>$J$3*Table44[[#This Row],[Soil stability2]]</f>
        <v>20</v>
      </c>
    </row>
    <row r="60" spans="1:16">
      <c r="A60" s="144" t="s">
        <v>969</v>
      </c>
      <c r="B60" s="144" t="str">
        <f t="shared" si="0"/>
        <v>Transmission - Main</v>
      </c>
      <c r="C60" s="111">
        <v>5033</v>
      </c>
      <c r="D60" s="112" t="s">
        <v>559</v>
      </c>
      <c r="E60" s="110">
        <v>1</v>
      </c>
      <c r="H60" s="159"/>
      <c r="J60" s="144" t="s">
        <v>950</v>
      </c>
      <c r="M60" s="144" t="e">
        <f>VLOOKUP(I60,'[3]LGS Pa.'!$B$3:$C$16,2,FALSE)</f>
        <v>#N/A</v>
      </c>
      <c r="N60" s="144">
        <f>VLOOKUP(J60,'[3]LGS Pa.'!$B$3:$C$16,2,FALSE)</f>
        <v>2</v>
      </c>
      <c r="O60" s="144" t="e">
        <f>VLOOKUP(K60,'[3]LGS Pa.'!$B$3:$C$16,2,FALSE)</f>
        <v>#N/A</v>
      </c>
      <c r="P60" s="144">
        <f>$J$3*Table44[[#This Row],[Soil stability2]]</f>
        <v>20</v>
      </c>
    </row>
    <row r="61" spans="1:16">
      <c r="A61" s="144" t="s">
        <v>969</v>
      </c>
      <c r="B61" s="144" t="str">
        <f t="shared" si="0"/>
        <v>Transmission - Main</v>
      </c>
      <c r="C61" s="81">
        <v>5041</v>
      </c>
      <c r="D61" s="82" t="s">
        <v>556</v>
      </c>
      <c r="E61" s="80">
        <v>1</v>
      </c>
      <c r="H61" s="159"/>
      <c r="J61" s="144" t="s">
        <v>950</v>
      </c>
      <c r="M61" s="144" t="e">
        <f>VLOOKUP(I61,'[3]LGS Pa.'!$B$3:$C$16,2,FALSE)</f>
        <v>#N/A</v>
      </c>
      <c r="N61" s="144">
        <f>VLOOKUP(J61,'[3]LGS Pa.'!$B$3:$C$16,2,FALSE)</f>
        <v>2</v>
      </c>
      <c r="O61" s="144" t="e">
        <f>VLOOKUP(K61,'[3]LGS Pa.'!$B$3:$C$16,2,FALSE)</f>
        <v>#N/A</v>
      </c>
      <c r="P61" s="144">
        <f>$J$3*Table44[[#This Row],[Soil stability2]]</f>
        <v>20</v>
      </c>
    </row>
    <row r="62" spans="1:16">
      <c r="A62" s="144" t="s">
        <v>969</v>
      </c>
      <c r="B62" s="144" t="str">
        <f t="shared" si="0"/>
        <v>Transmission - Main</v>
      </c>
      <c r="C62" s="81">
        <v>504200001</v>
      </c>
      <c r="D62" s="82" t="s">
        <v>552</v>
      </c>
      <c r="E62" s="80">
        <v>1</v>
      </c>
      <c r="H62" s="159"/>
      <c r="J62" s="144" t="s">
        <v>950</v>
      </c>
      <c r="M62" s="144" t="e">
        <f>VLOOKUP(I62,'[3]LGS Pa.'!$B$3:$C$16,2,FALSE)</f>
        <v>#N/A</v>
      </c>
      <c r="N62" s="144">
        <f>VLOOKUP(J62,'[3]LGS Pa.'!$B$3:$C$16,2,FALSE)</f>
        <v>2</v>
      </c>
      <c r="O62" s="144" t="e">
        <f>VLOOKUP(K62,'[3]LGS Pa.'!$B$3:$C$16,2,FALSE)</f>
        <v>#N/A</v>
      </c>
      <c r="P62" s="144">
        <f>$J$3*Table44[[#This Row],[Soil stability2]]</f>
        <v>20</v>
      </c>
    </row>
    <row r="63" spans="1:16">
      <c r="A63" s="144" t="s">
        <v>967</v>
      </c>
      <c r="B63" s="144" t="str">
        <f t="shared" si="0"/>
        <v>Transmission-Branch</v>
      </c>
      <c r="C63" s="81">
        <v>504300001</v>
      </c>
      <c r="D63" s="82" t="s">
        <v>554</v>
      </c>
      <c r="E63" s="80">
        <v>1</v>
      </c>
      <c r="H63" s="159"/>
      <c r="J63" s="144" t="s">
        <v>950</v>
      </c>
      <c r="M63" s="144" t="e">
        <f>VLOOKUP(I63,'[3]LGS Pa.'!$B$3:$C$16,2,FALSE)</f>
        <v>#N/A</v>
      </c>
      <c r="N63" s="144">
        <f>VLOOKUP(J63,'[3]LGS Pa.'!$B$3:$C$16,2,FALSE)</f>
        <v>2</v>
      </c>
      <c r="O63" s="144" t="e">
        <f>VLOOKUP(K63,'[3]LGS Pa.'!$B$3:$C$16,2,FALSE)</f>
        <v>#N/A</v>
      </c>
      <c r="P63" s="144">
        <f>$J$3*Table44[[#This Row],[Soil stability2]]</f>
        <v>20</v>
      </c>
    </row>
    <row r="64" spans="1:16">
      <c r="A64" s="144" t="s">
        <v>969</v>
      </c>
      <c r="B64" s="144" t="str">
        <f t="shared" si="0"/>
        <v>Transmission - Main</v>
      </c>
      <c r="C64" s="81">
        <v>505100001</v>
      </c>
      <c r="D64" s="82" t="s">
        <v>550</v>
      </c>
      <c r="E64" s="80">
        <v>1</v>
      </c>
      <c r="H64" s="159"/>
      <c r="J64" s="144" t="s">
        <v>950</v>
      </c>
      <c r="M64" s="144" t="e">
        <f>VLOOKUP(I64,'[3]LGS Pa.'!$B$3:$C$16,2,FALSE)</f>
        <v>#N/A</v>
      </c>
      <c r="N64" s="144">
        <f>VLOOKUP(J64,'[3]LGS Pa.'!$B$3:$C$16,2,FALSE)</f>
        <v>2</v>
      </c>
      <c r="O64" s="144" t="e">
        <f>VLOOKUP(K64,'[3]LGS Pa.'!$B$3:$C$16,2,FALSE)</f>
        <v>#N/A</v>
      </c>
      <c r="P64" s="144">
        <f>$J$3*Table44[[#This Row],[Soil stability2]]</f>
        <v>20</v>
      </c>
    </row>
    <row r="65" spans="1:16">
      <c r="A65" s="144" t="s">
        <v>969</v>
      </c>
      <c r="B65" s="144" t="str">
        <f t="shared" si="0"/>
        <v>Transmission - Main</v>
      </c>
      <c r="C65" s="81">
        <v>56051101</v>
      </c>
      <c r="D65" s="82" t="s">
        <v>576</v>
      </c>
      <c r="E65" s="80">
        <v>1</v>
      </c>
      <c r="H65" s="159"/>
      <c r="J65" s="144" t="s">
        <v>950</v>
      </c>
      <c r="M65" s="144" t="e">
        <f>VLOOKUP(I65,'[3]LGS Pa.'!$B$3:$C$16,2,FALSE)</f>
        <v>#N/A</v>
      </c>
      <c r="N65" s="144">
        <f>VLOOKUP(J65,'[3]LGS Pa.'!$B$3:$C$16,2,FALSE)</f>
        <v>2</v>
      </c>
      <c r="O65" s="144" t="e">
        <f>VLOOKUP(K65,'[3]LGS Pa.'!$B$3:$C$16,2,FALSE)</f>
        <v>#N/A</v>
      </c>
      <c r="P65" s="144">
        <f>$J$3*Table44[[#This Row],[Soil stability2]]</f>
        <v>20</v>
      </c>
    </row>
    <row r="66" spans="1:16">
      <c r="A66" s="144" t="s">
        <v>969</v>
      </c>
      <c r="B66" s="144" t="str">
        <f t="shared" si="0"/>
        <v>Transmission - Main</v>
      </c>
      <c r="C66" s="81">
        <v>674</v>
      </c>
      <c r="D66" s="82" t="s">
        <v>249</v>
      </c>
      <c r="E66" s="84">
        <v>2</v>
      </c>
      <c r="H66" s="159"/>
      <c r="J66" s="144" t="s">
        <v>950</v>
      </c>
      <c r="M66" s="144" t="e">
        <f>VLOOKUP(I66,'[3]LGS Pa.'!$B$3:$C$16,2,FALSE)</f>
        <v>#N/A</v>
      </c>
      <c r="N66" s="144">
        <f>VLOOKUP(J66,'[3]LGS Pa.'!$B$3:$C$16,2,FALSE)</f>
        <v>2</v>
      </c>
      <c r="O66" s="144" t="e">
        <f>VLOOKUP(K66,'[3]LGS Pa.'!$B$3:$C$16,2,FALSE)</f>
        <v>#N/A</v>
      </c>
      <c r="P66" s="144">
        <f>$J$3*Table44[[#This Row],[Soil stability2]]</f>
        <v>20</v>
      </c>
    </row>
    <row r="67" spans="1:16">
      <c r="A67" s="144" t="s">
        <v>967</v>
      </c>
      <c r="B67" s="144" t="str">
        <f t="shared" si="0"/>
        <v>Transmission-Branch</v>
      </c>
      <c r="C67" s="81">
        <v>6611</v>
      </c>
      <c r="D67" s="82"/>
      <c r="E67" s="80">
        <v>2</v>
      </c>
      <c r="H67" s="159"/>
      <c r="J67" s="144" t="s">
        <v>950</v>
      </c>
      <c r="M67" s="144" t="e">
        <f>VLOOKUP(I67,'[3]LGS Pa.'!$B$3:$C$16,2,FALSE)</f>
        <v>#N/A</v>
      </c>
      <c r="N67" s="144">
        <f>VLOOKUP(J67,'[3]LGS Pa.'!$B$3:$C$16,2,FALSE)</f>
        <v>2</v>
      </c>
      <c r="O67" s="144" t="e">
        <f>VLOOKUP(K67,'[3]LGS Pa.'!$B$3:$C$16,2,FALSE)</f>
        <v>#N/A</v>
      </c>
      <c r="P67" s="144">
        <f>$J$3*Table44[[#This Row],[Soil stability2]]</f>
        <v>20</v>
      </c>
    </row>
    <row r="68" spans="1:16">
      <c r="A68" s="144" t="s">
        <v>967</v>
      </c>
      <c r="B68" s="144" t="str">
        <f>RIGHT(A68,19)</f>
        <v>Transmission-Branch</v>
      </c>
      <c r="C68" s="81">
        <v>661301</v>
      </c>
      <c r="D68" s="82" t="s">
        <v>617</v>
      </c>
      <c r="E68" s="80">
        <v>2</v>
      </c>
      <c r="H68" s="159"/>
      <c r="J68" s="144" t="s">
        <v>950</v>
      </c>
      <c r="M68" s="144" t="e">
        <f>VLOOKUP(I68,'[3]LGS Pa.'!$B$3:$C$16,2,FALSE)</f>
        <v>#N/A</v>
      </c>
      <c r="N68" s="144">
        <f>VLOOKUP(J68,'[3]LGS Pa.'!$B$3:$C$16,2,FALSE)</f>
        <v>2</v>
      </c>
      <c r="O68" s="144" t="e">
        <f>VLOOKUP(K68,'[3]LGS Pa.'!$B$3:$C$16,2,FALSE)</f>
        <v>#N/A</v>
      </c>
      <c r="P68" s="144">
        <f>$J$3*Table44[[#This Row],[Soil stability2]]</f>
        <v>20</v>
      </c>
    </row>
    <row r="69" spans="1:16">
      <c r="A69" s="144" t="s">
        <v>967</v>
      </c>
      <c r="B69" s="144" t="str">
        <f>RIGHT(A69,19)</f>
        <v>Transmission-Branch</v>
      </c>
      <c r="C69" s="81">
        <v>6614</v>
      </c>
      <c r="D69" s="82"/>
      <c r="E69" s="80">
        <v>2</v>
      </c>
      <c r="H69" s="159"/>
      <c r="J69" s="144" t="s">
        <v>950</v>
      </c>
      <c r="M69" s="144" t="e">
        <f>VLOOKUP(I69,'[3]LGS Pa.'!$B$3:$C$16,2,FALSE)</f>
        <v>#N/A</v>
      </c>
      <c r="N69" s="144">
        <f>VLOOKUP(J69,'[3]LGS Pa.'!$B$3:$C$16,2,FALSE)</f>
        <v>2</v>
      </c>
      <c r="O69" s="144" t="e">
        <f>VLOOKUP(K69,'[3]LGS Pa.'!$B$3:$C$16,2,FALSE)</f>
        <v>#N/A</v>
      </c>
      <c r="P69" s="144">
        <f>$J$3*Table44[[#This Row],[Soil stability2]]</f>
        <v>20</v>
      </c>
    </row>
    <row r="70" spans="1:16">
      <c r="A70" s="144" t="s">
        <v>969</v>
      </c>
      <c r="B70" s="144" t="str">
        <f>RIGHT(A70,19)</f>
        <v>Transmission - Main</v>
      </c>
      <c r="C70" s="81">
        <v>6731</v>
      </c>
      <c r="D70" s="82" t="s">
        <v>251</v>
      </c>
      <c r="E70" s="84">
        <v>2</v>
      </c>
      <c r="H70" s="159"/>
      <c r="J70" s="144" t="s">
        <v>950</v>
      </c>
      <c r="M70" s="144" t="e">
        <f>VLOOKUP(I70,'[3]LGS Pa.'!$B$3:$C$16,2,FALSE)</f>
        <v>#N/A</v>
      </c>
      <c r="N70" s="144">
        <f>VLOOKUP(J70,'[3]LGS Pa.'!$B$3:$C$16,2,FALSE)</f>
        <v>2</v>
      </c>
      <c r="O70" s="144" t="e">
        <f>VLOOKUP(K70,'[3]LGS Pa.'!$B$3:$C$16,2,FALSE)</f>
        <v>#N/A</v>
      </c>
      <c r="P70" s="144">
        <f>$J$3*Table44[[#This Row],[Soil stability2]]</f>
        <v>20</v>
      </c>
    </row>
    <row r="71" spans="1:16">
      <c r="A71" s="144" t="s">
        <v>969</v>
      </c>
      <c r="B71" s="144" t="str">
        <f>RIGHT(A71,19)</f>
        <v>Transmission - Main</v>
      </c>
      <c r="C71" s="81">
        <v>6732</v>
      </c>
      <c r="D71" s="82" t="s">
        <v>252</v>
      </c>
      <c r="E71" s="84">
        <v>2</v>
      </c>
      <c r="H71" s="159"/>
      <c r="J71" s="144" t="s">
        <v>950</v>
      </c>
      <c r="M71" s="144" t="e">
        <f>VLOOKUP(I71,'[3]LGS Pa.'!$B$3:$C$16,2,FALSE)</f>
        <v>#N/A</v>
      </c>
      <c r="N71" s="144">
        <f>VLOOKUP(J71,'[3]LGS Pa.'!$B$3:$C$16,2,FALSE)</f>
        <v>2</v>
      </c>
      <c r="O71" s="144" t="e">
        <f>VLOOKUP(K71,'[3]LGS Pa.'!$B$3:$C$16,2,FALSE)</f>
        <v>#N/A</v>
      </c>
      <c r="P71" s="144">
        <f>$J$3*Table44[[#This Row],[Soil stability2]]</f>
        <v>20</v>
      </c>
    </row>
    <row r="72" spans="1:16">
      <c r="C72" s="81">
        <v>6734</v>
      </c>
      <c r="D72" s="82" t="s">
        <v>253</v>
      </c>
      <c r="E72" s="84">
        <v>2</v>
      </c>
      <c r="H72" s="159"/>
      <c r="J72" s="144" t="s">
        <v>950</v>
      </c>
      <c r="M72" s="144" t="e">
        <f>VLOOKUP(I72,'[3]LGS Pa.'!$B$3:$C$16,2,FALSE)</f>
        <v>#N/A</v>
      </c>
      <c r="N72" s="144">
        <f>VLOOKUP(J72,'[3]LGS Pa.'!$B$3:$C$16,2,FALSE)</f>
        <v>2</v>
      </c>
      <c r="O72" s="144" t="e">
        <f>VLOOKUP(K72,'[3]LGS Pa.'!$B$3:$C$16,2,FALSE)</f>
        <v>#N/A</v>
      </c>
      <c r="P72" s="144">
        <f>$J$3*Table44[[#This Row],[Soil stability2]]</f>
        <v>20</v>
      </c>
    </row>
    <row r="73" spans="1:16" s="160" customFormat="1" ht="15">
      <c r="C73" s="81">
        <v>63601</v>
      </c>
      <c r="D73" s="82"/>
      <c r="E73" s="80">
        <v>2</v>
      </c>
      <c r="H73" s="161"/>
      <c r="I73" s="144"/>
      <c r="J73" s="144" t="s">
        <v>950</v>
      </c>
      <c r="K73" s="144"/>
      <c r="M73" s="160" t="e">
        <f>VLOOKUP(I73,'[3]LGS Pa.'!$B$3:$C$16,2,FALSE)</f>
        <v>#N/A</v>
      </c>
      <c r="N73" s="160">
        <f>VLOOKUP(J73,'[3]LGS Pa.'!$B$3:$C$16,2,FALSE)</f>
        <v>2</v>
      </c>
      <c r="O73" s="160" t="e">
        <f>VLOOKUP(K73,'[3]LGS Pa.'!$B$3:$C$16,2,FALSE)</f>
        <v>#N/A</v>
      </c>
      <c r="P73" s="144">
        <f>$J$3*Table44[[#This Row],[Soil stability2]]</f>
        <v>20</v>
      </c>
    </row>
    <row r="74" spans="1:16" ht="25.5">
      <c r="C74" s="81">
        <v>63602</v>
      </c>
      <c r="D74" s="82" t="s">
        <v>254</v>
      </c>
      <c r="E74" s="84">
        <v>2</v>
      </c>
      <c r="F74" s="162"/>
      <c r="G74" s="162"/>
      <c r="H74" s="164"/>
      <c r="J74" s="144" t="s">
        <v>950</v>
      </c>
      <c r="K74" s="162"/>
      <c r="L74" s="162"/>
      <c r="M74" s="162" t="e">
        <f>VLOOKUP(I74,'[3]LGS Pa.'!$B$3:$C$16,2,FALSE)</f>
        <v>#N/A</v>
      </c>
      <c r="N74" s="162">
        <f>VLOOKUP(J74,'[3]LGS Pa.'!$B$3:$C$16,2,FALSE)</f>
        <v>2</v>
      </c>
      <c r="O74" s="162" t="e">
        <f>VLOOKUP(K74,'[3]LGS Pa.'!$B$3:$C$16,2,FALSE)</f>
        <v>#N/A</v>
      </c>
      <c r="P74" s="144">
        <f>$J$3*Table44[[#This Row],[Soil stability2]]</f>
        <v>20</v>
      </c>
    </row>
    <row r="75" spans="1:16" ht="15">
      <c r="C75" s="81">
        <v>65820</v>
      </c>
      <c r="D75" s="82" t="s">
        <v>255</v>
      </c>
      <c r="E75" s="84">
        <v>2</v>
      </c>
      <c r="H75" s="165"/>
      <c r="J75" s="144" t="s">
        <v>950</v>
      </c>
      <c r="M75" s="144" t="e">
        <f>VLOOKUP(I75,'[3]LGS Pa.'!$B$3:$C$16,2,FALSE)</f>
        <v>#N/A</v>
      </c>
      <c r="N75" s="144">
        <f>VLOOKUP(J75,'[3]LGS Pa.'!$B$3:$C$16,2,FALSE)</f>
        <v>2</v>
      </c>
      <c r="O75" s="144" t="e">
        <f>VLOOKUP(K75,'[3]LGS Pa.'!$B$3:$C$16,2,FALSE)</f>
        <v>#N/A</v>
      </c>
      <c r="P75" s="144">
        <f>$J$3*Table44[[#This Row],[Soil stability2]]</f>
        <v>20</v>
      </c>
    </row>
    <row r="76" spans="1:16" ht="15">
      <c r="C76" s="81">
        <v>66111</v>
      </c>
      <c r="D76" s="82" t="s">
        <v>256</v>
      </c>
      <c r="E76" s="84">
        <v>2</v>
      </c>
      <c r="H76" s="165"/>
      <c r="J76" s="144" t="s">
        <v>950</v>
      </c>
      <c r="M76" s="144" t="e">
        <f>VLOOKUP(I76,'[3]LGS Pa.'!$B$3:$C$16,2,FALSE)</f>
        <v>#N/A</v>
      </c>
      <c r="N76" s="144">
        <f>VLOOKUP(J76,'[3]LGS Pa.'!$B$3:$C$16,2,FALSE)</f>
        <v>2</v>
      </c>
      <c r="O76" s="144" t="e">
        <f>VLOOKUP(K76,'[3]LGS Pa.'!$B$3:$C$16,2,FALSE)</f>
        <v>#N/A</v>
      </c>
      <c r="P76" s="144">
        <f>$J$3*Table44[[#This Row],[Soil stability2]]</f>
        <v>20</v>
      </c>
    </row>
    <row r="77" spans="1:16" ht="15">
      <c r="C77" s="81">
        <v>6611102</v>
      </c>
      <c r="D77" s="82"/>
      <c r="E77" s="80">
        <v>2</v>
      </c>
      <c r="H77" s="165"/>
      <c r="J77" s="144" t="s">
        <v>950</v>
      </c>
      <c r="M77" s="144" t="e">
        <f>VLOOKUP(I77,'[3]LGS Pa.'!$B$3:$C$16,2,FALSE)</f>
        <v>#N/A</v>
      </c>
      <c r="N77" s="144">
        <f>VLOOKUP(J77,'[3]LGS Pa.'!$B$3:$C$16,2,FALSE)</f>
        <v>2</v>
      </c>
      <c r="O77" s="144" t="e">
        <f>VLOOKUP(K77,'[3]LGS Pa.'!$B$3:$C$16,2,FALSE)</f>
        <v>#N/A</v>
      </c>
      <c r="P77" s="144">
        <f>$J$3*Table44[[#This Row],[Soil stability2]]</f>
        <v>20</v>
      </c>
    </row>
    <row r="78" spans="1:16" ht="15">
      <c r="C78" s="88">
        <v>661110201</v>
      </c>
      <c r="D78" s="89" t="s">
        <v>711</v>
      </c>
      <c r="E78" s="87">
        <v>2</v>
      </c>
      <c r="H78" s="165"/>
      <c r="J78" s="144" t="s">
        <v>950</v>
      </c>
      <c r="M78" s="144" t="e">
        <f>VLOOKUP(I78,'[3]LGS Pa.'!$B$3:$C$16,2,FALSE)</f>
        <v>#N/A</v>
      </c>
      <c r="N78" s="144">
        <f>VLOOKUP(J78,'[3]LGS Pa.'!$B$3:$C$16,2,FALSE)</f>
        <v>2</v>
      </c>
      <c r="O78" s="144" t="e">
        <f>VLOOKUP(K78,'[3]LGS Pa.'!$B$3:$C$16,2,FALSE)</f>
        <v>#N/A</v>
      </c>
      <c r="P78" s="144">
        <f>$J$3*Table44[[#This Row],[Soil stability2]]</f>
        <v>20</v>
      </c>
    </row>
    <row r="79" spans="1:16" ht="15">
      <c r="C79" s="81">
        <v>661110202</v>
      </c>
      <c r="D79" s="82"/>
      <c r="E79" s="80">
        <v>2</v>
      </c>
      <c r="H79" s="165"/>
      <c r="J79" s="144" t="s">
        <v>950</v>
      </c>
      <c r="M79" s="144" t="e">
        <f>VLOOKUP(I79,'[3]LGS Pa.'!$B$3:$C$16,2,FALSE)</f>
        <v>#N/A</v>
      </c>
      <c r="N79" s="144">
        <f>VLOOKUP(J79,'[3]LGS Pa.'!$B$3:$C$16,2,FALSE)</f>
        <v>2</v>
      </c>
      <c r="O79" s="144" t="e">
        <f>VLOOKUP(K79,'[3]LGS Pa.'!$B$3:$C$16,2,FALSE)</f>
        <v>#N/A</v>
      </c>
      <c r="P79" s="144">
        <f>$J$3*Table44[[#This Row],[Soil stability2]]</f>
        <v>20</v>
      </c>
    </row>
    <row r="80" spans="1:16" ht="15">
      <c r="C80" s="81">
        <v>661110203</v>
      </c>
      <c r="D80" s="82"/>
      <c r="E80" s="80">
        <v>2</v>
      </c>
      <c r="H80" s="165"/>
      <c r="J80" s="144" t="s">
        <v>950</v>
      </c>
      <c r="M80" s="144" t="e">
        <f>VLOOKUP(I80,'[3]LGS Pa.'!$B$3:$C$16,2,FALSE)</f>
        <v>#N/A</v>
      </c>
      <c r="N80" s="144">
        <f>VLOOKUP(J80,'[3]LGS Pa.'!$B$3:$C$16,2,FALSE)</f>
        <v>2</v>
      </c>
      <c r="O80" s="144" t="e">
        <f>VLOOKUP(K80,'[3]LGS Pa.'!$B$3:$C$16,2,FALSE)</f>
        <v>#N/A</v>
      </c>
      <c r="P80" s="144">
        <f>$J$3*Table44[[#This Row],[Soil stability2]]</f>
        <v>20</v>
      </c>
    </row>
    <row r="81" spans="3:16" ht="15">
      <c r="C81" s="81">
        <v>66112</v>
      </c>
      <c r="D81" s="82" t="s">
        <v>257</v>
      </c>
      <c r="E81" s="84">
        <v>2</v>
      </c>
      <c r="H81" s="165"/>
      <c r="J81" s="144" t="s">
        <v>950</v>
      </c>
      <c r="M81" s="144" t="e">
        <f>VLOOKUP(I81,'[3]LGS Pa.'!$B$3:$C$16,2,FALSE)</f>
        <v>#N/A</v>
      </c>
      <c r="N81" s="144">
        <f>VLOOKUP(J81,'[3]LGS Pa.'!$B$3:$C$16,2,FALSE)</f>
        <v>2</v>
      </c>
      <c r="O81" s="144" t="e">
        <f>VLOOKUP(K81,'[3]LGS Pa.'!$B$3:$C$16,2,FALSE)</f>
        <v>#N/A</v>
      </c>
      <c r="P81" s="144">
        <f>$J$3*Table44[[#This Row],[Soil stability2]]</f>
        <v>20</v>
      </c>
    </row>
    <row r="82" spans="3:16" ht="15">
      <c r="C82" s="81">
        <v>66203</v>
      </c>
      <c r="D82" s="82" t="s">
        <v>258</v>
      </c>
      <c r="E82" s="84">
        <v>2</v>
      </c>
      <c r="H82" s="165"/>
      <c r="J82" s="144" t="s">
        <v>950</v>
      </c>
      <c r="M82" s="144" t="e">
        <f>VLOOKUP(I82,'[3]LGS Pa.'!$B$3:$C$16,2,FALSE)</f>
        <v>#N/A</v>
      </c>
      <c r="N82" s="144">
        <f>VLOOKUP(J82,'[3]LGS Pa.'!$B$3:$C$16,2,FALSE)</f>
        <v>2</v>
      </c>
      <c r="O82" s="144" t="e">
        <f>VLOOKUP(K82,'[3]LGS Pa.'!$B$3:$C$16,2,FALSE)</f>
        <v>#N/A</v>
      </c>
      <c r="P82" s="144">
        <f>$J$3*Table44[[#This Row],[Soil stability2]]</f>
        <v>20</v>
      </c>
    </row>
    <row r="83" spans="3:16" ht="15">
      <c r="C83" s="81">
        <v>662100001</v>
      </c>
      <c r="D83" s="82" t="s">
        <v>709</v>
      </c>
      <c r="E83" s="80">
        <v>2</v>
      </c>
      <c r="H83" s="165"/>
      <c r="J83" s="144" t="s">
        <v>950</v>
      </c>
      <c r="M83" s="144" t="e">
        <f>VLOOKUP(I83,'[3]LGS Pa.'!$B$3:$C$16,2,FALSE)</f>
        <v>#N/A</v>
      </c>
      <c r="N83" s="144">
        <f>VLOOKUP(J83,'[3]LGS Pa.'!$B$3:$C$16,2,FALSE)</f>
        <v>2</v>
      </c>
      <c r="O83" s="144" t="e">
        <f>VLOOKUP(K83,'[3]LGS Pa.'!$B$3:$C$16,2,FALSE)</f>
        <v>#N/A</v>
      </c>
      <c r="P83" s="144">
        <f>$J$3*Table44[[#This Row],[Soil stability2]]</f>
        <v>20</v>
      </c>
    </row>
    <row r="84" spans="3:16" ht="15">
      <c r="C84" s="81">
        <v>66401001</v>
      </c>
      <c r="D84" s="82"/>
      <c r="E84" s="80">
        <v>2</v>
      </c>
      <c r="H84" s="165"/>
      <c r="J84" s="144" t="s">
        <v>950</v>
      </c>
      <c r="M84" s="144" t="e">
        <f>VLOOKUP(I84,'[3]LGS Pa.'!$B$3:$C$16,2,FALSE)</f>
        <v>#N/A</v>
      </c>
      <c r="N84" s="144">
        <f>VLOOKUP(J84,'[3]LGS Pa.'!$B$3:$C$16,2,FALSE)</f>
        <v>2</v>
      </c>
      <c r="O84" s="144" t="e">
        <f>VLOOKUP(K84,'[3]LGS Pa.'!$B$3:$C$16,2,FALSE)</f>
        <v>#N/A</v>
      </c>
      <c r="P84" s="144">
        <f>$J$3*Table44[[#This Row],[Soil stability2]]</f>
        <v>20</v>
      </c>
    </row>
    <row r="85" spans="3:16" ht="15">
      <c r="C85" s="81">
        <v>66401002</v>
      </c>
      <c r="D85" s="82" t="s">
        <v>706</v>
      </c>
      <c r="E85" s="80">
        <v>2</v>
      </c>
      <c r="H85" s="165"/>
      <c r="J85" s="144" t="s">
        <v>950</v>
      </c>
      <c r="M85" s="144" t="e">
        <f>VLOOKUP(I85,'[3]LGS Pa.'!$B$3:$C$16,2,FALSE)</f>
        <v>#N/A</v>
      </c>
      <c r="N85" s="144">
        <f>VLOOKUP(J85,'[3]LGS Pa.'!$B$3:$C$16,2,FALSE)</f>
        <v>2</v>
      </c>
      <c r="O85" s="144" t="e">
        <f>VLOOKUP(K85,'[3]LGS Pa.'!$B$3:$C$16,2,FALSE)</f>
        <v>#N/A</v>
      </c>
      <c r="P85" s="144">
        <f>$J$3*Table44[[#This Row],[Soil stability2]]</f>
        <v>20</v>
      </c>
    </row>
    <row r="86" spans="3:16" ht="15">
      <c r="C86" s="81">
        <v>6711</v>
      </c>
      <c r="D86" s="82"/>
      <c r="E86" s="80">
        <v>2</v>
      </c>
      <c r="H86" s="165"/>
      <c r="J86" s="144" t="s">
        <v>950</v>
      </c>
      <c r="M86" s="144" t="e">
        <f>VLOOKUP(I86,'[3]LGS Pa.'!$B$3:$C$16,2,FALSE)</f>
        <v>#N/A</v>
      </c>
      <c r="N86" s="144">
        <f>VLOOKUP(J86,'[3]LGS Pa.'!$B$3:$C$16,2,FALSE)</f>
        <v>2</v>
      </c>
      <c r="O86" s="144" t="e">
        <f>VLOOKUP(K86,'[3]LGS Pa.'!$B$3:$C$16,2,FALSE)</f>
        <v>#N/A</v>
      </c>
      <c r="P86" s="144">
        <f>$J$3*Table44[[#This Row],[Soil stability2]]</f>
        <v>20</v>
      </c>
    </row>
    <row r="87" spans="3:16" ht="15">
      <c r="C87" s="81" t="s">
        <v>973</v>
      </c>
      <c r="D87" s="82" t="s">
        <v>680</v>
      </c>
      <c r="E87" s="80">
        <v>2</v>
      </c>
      <c r="H87" s="165"/>
      <c r="J87" s="144" t="s">
        <v>950</v>
      </c>
      <c r="M87" s="144" t="e">
        <f>VLOOKUP(I87,'[3]LGS Pa.'!$B$3:$C$16,2,FALSE)</f>
        <v>#N/A</v>
      </c>
      <c r="N87" s="144">
        <f>VLOOKUP(J87,'[3]LGS Pa.'!$B$3:$C$16,2,FALSE)</f>
        <v>2</v>
      </c>
      <c r="O87" s="144" t="e">
        <f>VLOOKUP(K87,'[3]LGS Pa.'!$B$3:$C$16,2,FALSE)</f>
        <v>#N/A</v>
      </c>
      <c r="P87" s="144">
        <f>$J$3*Table44[[#This Row],[Soil stability2]]</f>
        <v>20</v>
      </c>
    </row>
    <row r="88" spans="3:16" ht="15">
      <c r="C88" s="81">
        <v>67111002</v>
      </c>
      <c r="D88" s="82" t="s">
        <v>682</v>
      </c>
      <c r="E88" s="80">
        <v>2</v>
      </c>
      <c r="H88" s="165"/>
      <c r="J88" s="144" t="s">
        <v>950</v>
      </c>
      <c r="M88" s="144" t="e">
        <f>VLOOKUP(I88,'[3]LGS Pa.'!$B$3:$C$16,2,FALSE)</f>
        <v>#N/A</v>
      </c>
      <c r="N88" s="144">
        <f>VLOOKUP(J88,'[3]LGS Pa.'!$B$3:$C$16,2,FALSE)</f>
        <v>2</v>
      </c>
      <c r="O88" s="144" t="e">
        <f>VLOOKUP(K88,'[3]LGS Pa.'!$B$3:$C$16,2,FALSE)</f>
        <v>#N/A</v>
      </c>
      <c r="P88" s="144">
        <f>$J$3*Table44[[#This Row],[Soil stability2]]</f>
        <v>20</v>
      </c>
    </row>
    <row r="89" spans="3:16" ht="15">
      <c r="C89" s="81">
        <v>67111003</v>
      </c>
      <c r="D89" s="82" t="s">
        <v>684</v>
      </c>
      <c r="E89" s="80">
        <v>2</v>
      </c>
      <c r="H89" s="165"/>
      <c r="J89" s="144" t="s">
        <v>950</v>
      </c>
      <c r="M89" s="144" t="e">
        <f>VLOOKUP(I89,'[3]LGS Pa.'!$B$3:$C$16,2,FALSE)</f>
        <v>#N/A</v>
      </c>
      <c r="N89" s="144">
        <f>VLOOKUP(J89,'[3]LGS Pa.'!$B$3:$C$16,2,FALSE)</f>
        <v>2</v>
      </c>
      <c r="O89" s="144" t="e">
        <f>VLOOKUP(K89,'[3]LGS Pa.'!$B$3:$C$16,2,FALSE)</f>
        <v>#N/A</v>
      </c>
      <c r="P89" s="144">
        <f>$J$3*Table44[[#This Row],[Soil stability2]]</f>
        <v>20</v>
      </c>
    </row>
    <row r="90" spans="3:16" ht="15">
      <c r="C90" s="81">
        <v>67111004</v>
      </c>
      <c r="D90" s="82" t="s">
        <v>686</v>
      </c>
      <c r="E90" s="80">
        <v>2</v>
      </c>
      <c r="H90" s="165"/>
      <c r="J90" s="144" t="s">
        <v>950</v>
      </c>
      <c r="M90" s="144" t="e">
        <f>VLOOKUP(I90,'[3]LGS Pa.'!$B$3:$C$16,2,FALSE)</f>
        <v>#N/A</v>
      </c>
      <c r="N90" s="144">
        <f>VLOOKUP(J90,'[3]LGS Pa.'!$B$3:$C$16,2,FALSE)</f>
        <v>2</v>
      </c>
      <c r="O90" s="144" t="e">
        <f>VLOOKUP(K90,'[3]LGS Pa.'!$B$3:$C$16,2,FALSE)</f>
        <v>#N/A</v>
      </c>
      <c r="P90" s="144">
        <f>$J$3*Table44[[#This Row],[Soil stability2]]</f>
        <v>20</v>
      </c>
    </row>
    <row r="91" spans="3:16" ht="15">
      <c r="C91" s="81">
        <v>6712</v>
      </c>
      <c r="D91" s="82" t="s">
        <v>668</v>
      </c>
      <c r="E91" s="80">
        <v>2</v>
      </c>
      <c r="H91" s="165"/>
      <c r="J91" s="144" t="s">
        <v>950</v>
      </c>
      <c r="M91" s="144" t="e">
        <f>VLOOKUP(I91,'[3]LGS Pa.'!$B$3:$C$16,2,FALSE)</f>
        <v>#N/A</v>
      </c>
      <c r="N91" s="144">
        <f>VLOOKUP(J91,'[3]LGS Pa.'!$B$3:$C$16,2,FALSE)</f>
        <v>2</v>
      </c>
      <c r="O91" s="144" t="e">
        <f>VLOOKUP(K91,'[3]LGS Pa.'!$B$3:$C$16,2,FALSE)</f>
        <v>#N/A</v>
      </c>
      <c r="P91" s="144">
        <f>$J$3*Table44[[#This Row],[Soil stability2]]</f>
        <v>20</v>
      </c>
    </row>
    <row r="92" spans="3:16" ht="15">
      <c r="C92" s="81">
        <v>67111</v>
      </c>
      <c r="D92" s="82" t="s">
        <v>259</v>
      </c>
      <c r="E92" s="84">
        <v>2</v>
      </c>
      <c r="H92" s="165"/>
      <c r="J92" s="144" t="s">
        <v>950</v>
      </c>
      <c r="M92" s="144" t="e">
        <f>VLOOKUP(I92,'[3]LGS Pa.'!$B$3:$C$16,2,FALSE)</f>
        <v>#N/A</v>
      </c>
      <c r="N92" s="144">
        <f>VLOOKUP(J92,'[3]LGS Pa.'!$B$3:$C$16,2,FALSE)</f>
        <v>2</v>
      </c>
      <c r="O92" s="144" t="e">
        <f>VLOOKUP(K92,'[3]LGS Pa.'!$B$3:$C$16,2,FALSE)</f>
        <v>#N/A</v>
      </c>
      <c r="P92" s="144">
        <f>$J$3*Table44[[#This Row],[Soil stability2]]</f>
        <v>20</v>
      </c>
    </row>
    <row r="93" spans="3:16" ht="15">
      <c r="C93" s="81">
        <v>67121</v>
      </c>
      <c r="D93" s="82" t="s">
        <v>260</v>
      </c>
      <c r="E93" s="84">
        <v>2</v>
      </c>
      <c r="H93" s="165"/>
      <c r="J93" s="144" t="s">
        <v>950</v>
      </c>
      <c r="M93" s="144" t="e">
        <f>VLOOKUP(I93,'[3]LGS Pa.'!$B$3:$C$16,2,FALSE)</f>
        <v>#N/A</v>
      </c>
      <c r="N93" s="144">
        <f>VLOOKUP(J93,'[3]LGS Pa.'!$B$3:$C$16,2,FALSE)</f>
        <v>2</v>
      </c>
      <c r="O93" s="144" t="e">
        <f>VLOOKUP(K93,'[3]LGS Pa.'!$B$3:$C$16,2,FALSE)</f>
        <v>#N/A</v>
      </c>
      <c r="P93" s="144">
        <f>$J$3*Table44[[#This Row],[Soil stability2]]</f>
        <v>20</v>
      </c>
    </row>
    <row r="94" spans="3:16" ht="15">
      <c r="C94" s="81">
        <v>67121</v>
      </c>
      <c r="D94" s="82" t="s">
        <v>669</v>
      </c>
      <c r="E94" s="84">
        <v>2</v>
      </c>
      <c r="H94" s="165"/>
      <c r="J94" s="144" t="s">
        <v>950</v>
      </c>
      <c r="M94" s="144" t="e">
        <f>VLOOKUP(I94,'[3]LGS Pa.'!$B$3:$C$16,2,FALSE)</f>
        <v>#N/A</v>
      </c>
      <c r="N94" s="144">
        <f>VLOOKUP(J94,'[3]LGS Pa.'!$B$3:$C$16,2,FALSE)</f>
        <v>2</v>
      </c>
      <c r="O94" s="144" t="e">
        <f>VLOOKUP(K94,'[3]LGS Pa.'!$B$3:$C$16,2,FALSE)</f>
        <v>#N/A</v>
      </c>
      <c r="P94" s="144">
        <f>$J$3*Table44[[#This Row],[Soil stability2]]</f>
        <v>20</v>
      </c>
    </row>
    <row r="95" spans="3:16" ht="15">
      <c r="C95" s="81">
        <v>67121</v>
      </c>
      <c r="D95" s="82" t="s">
        <v>670</v>
      </c>
      <c r="E95" s="84">
        <v>2</v>
      </c>
      <c r="H95" s="165"/>
      <c r="J95" s="144" t="s">
        <v>950</v>
      </c>
      <c r="M95" s="144" t="e">
        <f>VLOOKUP(I95,'[3]LGS Pa.'!$B$3:$C$16,2,FALSE)</f>
        <v>#N/A</v>
      </c>
      <c r="N95" s="144">
        <f>VLOOKUP(J95,'[3]LGS Pa.'!$B$3:$C$16,2,FALSE)</f>
        <v>2</v>
      </c>
      <c r="O95" s="144" t="e">
        <f>VLOOKUP(K95,'[3]LGS Pa.'!$B$3:$C$16,2,FALSE)</f>
        <v>#N/A</v>
      </c>
      <c r="P95" s="144">
        <f>$J$3*Table44[[#This Row],[Soil stability2]]</f>
        <v>20</v>
      </c>
    </row>
    <row r="96" spans="3:16" ht="15">
      <c r="C96" s="81">
        <v>6712101</v>
      </c>
      <c r="D96" s="82" t="s">
        <v>674</v>
      </c>
      <c r="E96" s="80">
        <v>2</v>
      </c>
      <c r="H96" s="165"/>
      <c r="J96" s="144" t="s">
        <v>950</v>
      </c>
      <c r="M96" s="144" t="e">
        <f>VLOOKUP(I96,'[3]LGS Pa.'!$B$3:$C$16,2,FALSE)</f>
        <v>#N/A</v>
      </c>
      <c r="N96" s="144">
        <f>VLOOKUP(J96,'[3]LGS Pa.'!$B$3:$C$16,2,FALSE)</f>
        <v>2</v>
      </c>
      <c r="O96" s="144" t="e">
        <f>VLOOKUP(K96,'[3]LGS Pa.'!$B$3:$C$16,2,FALSE)</f>
        <v>#N/A</v>
      </c>
      <c r="P96" s="144">
        <f>$J$3*Table44[[#This Row],[Soil stability2]]</f>
        <v>20</v>
      </c>
    </row>
    <row r="97" spans="3:16" ht="15">
      <c r="C97" s="81">
        <v>671210103</v>
      </c>
      <c r="D97" s="82" t="s">
        <v>694</v>
      </c>
      <c r="E97" s="80">
        <v>2</v>
      </c>
      <c r="H97" s="165"/>
      <c r="J97" s="144" t="s">
        <v>950</v>
      </c>
      <c r="M97" s="144" t="e">
        <f>VLOOKUP(I97,'[3]LGS Pa.'!$B$3:$C$16,2,FALSE)</f>
        <v>#N/A</v>
      </c>
      <c r="N97" s="144">
        <f>VLOOKUP(J97,'[3]LGS Pa.'!$B$3:$C$16,2,FALSE)</f>
        <v>2</v>
      </c>
      <c r="O97" s="144" t="e">
        <f>VLOOKUP(K97,'[3]LGS Pa.'!$B$3:$C$16,2,FALSE)</f>
        <v>#N/A</v>
      </c>
      <c r="P97" s="144">
        <f>$J$3*Table44[[#This Row],[Soil stability2]]</f>
        <v>20</v>
      </c>
    </row>
    <row r="98" spans="3:16" ht="15">
      <c r="C98" s="81">
        <v>671210104</v>
      </c>
      <c r="D98" s="82" t="s">
        <v>696</v>
      </c>
      <c r="E98" s="80">
        <v>2</v>
      </c>
      <c r="H98" s="165"/>
      <c r="J98" s="144" t="s">
        <v>950</v>
      </c>
      <c r="M98" s="144" t="e">
        <f>VLOOKUP(I98,'[3]LGS Pa.'!$B$3:$C$16,2,FALSE)</f>
        <v>#N/A</v>
      </c>
      <c r="N98" s="144">
        <f>VLOOKUP(J98,'[3]LGS Pa.'!$B$3:$C$16,2,FALSE)</f>
        <v>2</v>
      </c>
      <c r="O98" s="144" t="e">
        <f>VLOOKUP(K98,'[3]LGS Pa.'!$B$3:$C$16,2,FALSE)</f>
        <v>#N/A</v>
      </c>
      <c r="P98" s="144">
        <f>$J$3*Table44[[#This Row],[Soil stability2]]</f>
        <v>20</v>
      </c>
    </row>
    <row r="99" spans="3:16" ht="15">
      <c r="C99" s="81">
        <v>6712102</v>
      </c>
      <c r="D99" s="82"/>
      <c r="E99" s="80">
        <v>2</v>
      </c>
      <c r="H99" s="165"/>
      <c r="J99" s="144" t="s">
        <v>950</v>
      </c>
      <c r="M99" s="144" t="e">
        <f>VLOOKUP(I99,'[3]LGS Pa.'!$B$3:$C$16,2,FALSE)</f>
        <v>#N/A</v>
      </c>
      <c r="N99" s="144">
        <f>VLOOKUP(J99,'[3]LGS Pa.'!$B$3:$C$16,2,FALSE)</f>
        <v>2</v>
      </c>
      <c r="O99" s="144" t="e">
        <f>VLOOKUP(K99,'[3]LGS Pa.'!$B$3:$C$16,2,FALSE)</f>
        <v>#N/A</v>
      </c>
      <c r="P99" s="144">
        <f>$J$3*Table44[[#This Row],[Soil stability2]]</f>
        <v>20</v>
      </c>
    </row>
    <row r="100" spans="3:16" ht="15">
      <c r="C100" s="81">
        <v>671210201</v>
      </c>
      <c r="D100" s="82" t="s">
        <v>698</v>
      </c>
      <c r="E100" s="80">
        <v>2</v>
      </c>
      <c r="H100" s="165"/>
      <c r="J100" s="144" t="s">
        <v>950</v>
      </c>
      <c r="M100" s="144" t="e">
        <f>VLOOKUP(I100,'[3]LGS Pa.'!$B$3:$C$16,2,FALSE)</f>
        <v>#N/A</v>
      </c>
      <c r="N100" s="144">
        <f>VLOOKUP(J100,'[3]LGS Pa.'!$B$3:$C$16,2,FALSE)</f>
        <v>2</v>
      </c>
      <c r="O100" s="144" t="e">
        <f>VLOOKUP(K100,'[3]LGS Pa.'!$B$3:$C$16,2,FALSE)</f>
        <v>#N/A</v>
      </c>
      <c r="P100" s="144">
        <f>$J$3*Table44[[#This Row],[Soil stability2]]</f>
        <v>20</v>
      </c>
    </row>
    <row r="101" spans="3:16" ht="15">
      <c r="C101" s="81">
        <v>671210202</v>
      </c>
      <c r="D101" s="82" t="s">
        <v>700</v>
      </c>
      <c r="E101" s="80">
        <v>2</v>
      </c>
      <c r="H101" s="165"/>
      <c r="J101" s="144" t="s">
        <v>950</v>
      </c>
      <c r="M101" s="144" t="e">
        <f>VLOOKUP(I101,'[3]LGS Pa.'!$B$3:$C$16,2,FALSE)</f>
        <v>#N/A</v>
      </c>
      <c r="N101" s="144">
        <f>VLOOKUP(J101,'[3]LGS Pa.'!$B$3:$C$16,2,FALSE)</f>
        <v>2</v>
      </c>
      <c r="O101" s="144" t="e">
        <f>VLOOKUP(K101,'[3]LGS Pa.'!$B$3:$C$16,2,FALSE)</f>
        <v>#N/A</v>
      </c>
      <c r="P101" s="144">
        <f>$J$3*Table44[[#This Row],[Soil stability2]]</f>
        <v>20</v>
      </c>
    </row>
    <row r="102" spans="3:16" ht="15">
      <c r="C102" s="81">
        <v>6712103</v>
      </c>
      <c r="D102" s="82"/>
      <c r="E102" s="80">
        <v>2</v>
      </c>
      <c r="H102" s="165"/>
      <c r="J102" s="144" t="s">
        <v>950</v>
      </c>
      <c r="M102" s="144" t="e">
        <f>VLOOKUP(I102,'[3]LGS Pa.'!$B$3:$C$16,2,FALSE)</f>
        <v>#N/A</v>
      </c>
      <c r="N102" s="144">
        <f>VLOOKUP(J102,'[3]LGS Pa.'!$B$3:$C$16,2,FALSE)</f>
        <v>2</v>
      </c>
      <c r="O102" s="144" t="e">
        <f>VLOOKUP(K102,'[3]LGS Pa.'!$B$3:$C$16,2,FALSE)</f>
        <v>#N/A</v>
      </c>
      <c r="P102" s="144">
        <f>$J$3*Table44[[#This Row],[Soil stability2]]</f>
        <v>20</v>
      </c>
    </row>
    <row r="103" spans="3:16" ht="15">
      <c r="C103" s="81">
        <v>671210301</v>
      </c>
      <c r="D103" s="82" t="s">
        <v>702</v>
      </c>
      <c r="E103" s="80">
        <v>2</v>
      </c>
      <c r="H103" s="165"/>
      <c r="J103" s="144" t="s">
        <v>950</v>
      </c>
      <c r="M103" s="144" t="e">
        <f>VLOOKUP(I103,'[3]LGS Pa.'!$B$3:$C$16,2,FALSE)</f>
        <v>#N/A</v>
      </c>
      <c r="N103" s="144">
        <f>VLOOKUP(J103,'[3]LGS Pa.'!$B$3:$C$16,2,FALSE)</f>
        <v>2</v>
      </c>
      <c r="O103" s="144" t="e">
        <f>VLOOKUP(K103,'[3]LGS Pa.'!$B$3:$C$16,2,FALSE)</f>
        <v>#N/A</v>
      </c>
      <c r="P103" s="144">
        <f>$J$3*Table44[[#This Row],[Soil stability2]]</f>
        <v>20</v>
      </c>
    </row>
    <row r="104" spans="3:16" ht="15">
      <c r="C104" s="81">
        <v>671210401</v>
      </c>
      <c r="D104" s="82" t="s">
        <v>704</v>
      </c>
      <c r="E104" s="80">
        <v>2</v>
      </c>
      <c r="H104" s="165"/>
      <c r="J104" s="144" t="s">
        <v>950</v>
      </c>
      <c r="M104" s="144" t="e">
        <f>VLOOKUP(I104,'[3]LGS Pa.'!$B$3:$C$16,2,FALSE)</f>
        <v>#N/A</v>
      </c>
      <c r="N104" s="144">
        <f>VLOOKUP(J104,'[3]LGS Pa.'!$B$3:$C$16,2,FALSE)</f>
        <v>2</v>
      </c>
      <c r="O104" s="144" t="e">
        <f>VLOOKUP(K104,'[3]LGS Pa.'!$B$3:$C$16,2,FALSE)</f>
        <v>#N/A</v>
      </c>
      <c r="P104" s="144">
        <f>$J$3*Table44[[#This Row],[Soil stability2]]</f>
        <v>20</v>
      </c>
    </row>
    <row r="105" spans="3:16" ht="15">
      <c r="C105" s="81">
        <v>6712104</v>
      </c>
      <c r="D105" s="82" t="s">
        <v>678</v>
      </c>
      <c r="E105" s="80">
        <v>2</v>
      </c>
      <c r="H105" s="165"/>
      <c r="J105" s="144" t="s">
        <v>950</v>
      </c>
      <c r="M105" s="144" t="e">
        <f>VLOOKUP(I105,'[3]LGS Pa.'!$B$3:$C$16,2,FALSE)</f>
        <v>#N/A</v>
      </c>
      <c r="N105" s="144">
        <f>VLOOKUP(J105,'[3]LGS Pa.'!$B$3:$C$16,2,FALSE)</f>
        <v>2</v>
      </c>
      <c r="O105" s="144" t="e">
        <f>VLOOKUP(K105,'[3]LGS Pa.'!$B$3:$C$16,2,FALSE)</f>
        <v>#N/A</v>
      </c>
      <c r="P105" s="144">
        <f>$J$3*Table44[[#This Row],[Soil stability2]]</f>
        <v>20</v>
      </c>
    </row>
    <row r="106" spans="3:16" ht="15">
      <c r="C106" s="81">
        <v>6712105</v>
      </c>
      <c r="D106" s="82" t="s">
        <v>267</v>
      </c>
      <c r="E106" s="80">
        <v>2</v>
      </c>
      <c r="H106" s="165"/>
      <c r="J106" s="144" t="s">
        <v>950</v>
      </c>
      <c r="M106" s="144" t="e">
        <f>VLOOKUP(I106,'[3]LGS Pa.'!$B$3:$C$16,2,FALSE)</f>
        <v>#N/A</v>
      </c>
      <c r="N106" s="144">
        <f>VLOOKUP(J106,'[3]LGS Pa.'!$B$3:$C$16,2,FALSE)</f>
        <v>2</v>
      </c>
      <c r="O106" s="144" t="e">
        <f>VLOOKUP(K106,'[3]LGS Pa.'!$B$3:$C$16,2,FALSE)</f>
        <v>#N/A</v>
      </c>
      <c r="P106" s="144">
        <f>$J$3*Table44[[#This Row],[Soil stability2]]</f>
        <v>20</v>
      </c>
    </row>
    <row r="107" spans="3:16" ht="15">
      <c r="C107" s="81">
        <v>67122</v>
      </c>
      <c r="D107" s="82" t="s">
        <v>672</v>
      </c>
      <c r="E107" s="80">
        <v>2</v>
      </c>
      <c r="H107" s="165"/>
      <c r="J107" s="144" t="s">
        <v>950</v>
      </c>
      <c r="M107" s="144" t="e">
        <f>VLOOKUP(I107,'[3]LGS Pa.'!$B$3:$C$16,2,FALSE)</f>
        <v>#N/A</v>
      </c>
      <c r="N107" s="144">
        <f>VLOOKUP(J107,'[3]LGS Pa.'!$B$3:$C$16,2,FALSE)</f>
        <v>2</v>
      </c>
      <c r="O107" s="144" t="e">
        <f>VLOOKUP(K107,'[3]LGS Pa.'!$B$3:$C$16,2,FALSE)</f>
        <v>#N/A</v>
      </c>
      <c r="P107" s="144">
        <f>$J$3*Table44[[#This Row],[Soil stability2]]</f>
        <v>20</v>
      </c>
    </row>
    <row r="108" spans="3:16" ht="15">
      <c r="C108" s="88">
        <v>673010101</v>
      </c>
      <c r="D108" s="89" t="s">
        <v>718</v>
      </c>
      <c r="E108" s="87">
        <v>2</v>
      </c>
      <c r="H108" s="165"/>
      <c r="J108" s="144" t="s">
        <v>950</v>
      </c>
      <c r="M108" s="144" t="e">
        <f>VLOOKUP(I108,'[3]LGS Pa.'!$B$3:$C$16,2,FALSE)</f>
        <v>#N/A</v>
      </c>
      <c r="N108" s="144">
        <f>VLOOKUP(J108,'[3]LGS Pa.'!$B$3:$C$16,2,FALSE)</f>
        <v>2</v>
      </c>
      <c r="O108" s="144" t="e">
        <f>VLOOKUP(K108,'[3]LGS Pa.'!$B$3:$C$16,2,FALSE)</f>
        <v>#N/A</v>
      </c>
      <c r="P108" s="144">
        <f>$J$3*Table44[[#This Row],[Soil stability2]]</f>
        <v>20</v>
      </c>
    </row>
    <row r="109" spans="3:16" ht="15">
      <c r="C109" s="88">
        <v>67303</v>
      </c>
      <c r="D109" s="89" t="s">
        <v>714</v>
      </c>
      <c r="E109" s="87">
        <v>2</v>
      </c>
      <c r="H109" s="165"/>
      <c r="J109" s="144" t="s">
        <v>950</v>
      </c>
      <c r="M109" s="144" t="e">
        <f>VLOOKUP(I109,'[3]LGS Pa.'!$B$3:$C$16,2,FALSE)</f>
        <v>#N/A</v>
      </c>
      <c r="N109" s="144">
        <f>VLOOKUP(J109,'[3]LGS Pa.'!$B$3:$C$16,2,FALSE)</f>
        <v>2</v>
      </c>
      <c r="O109" s="144" t="e">
        <f>VLOOKUP(K109,'[3]LGS Pa.'!$B$3:$C$16,2,FALSE)</f>
        <v>#N/A</v>
      </c>
      <c r="P109" s="144">
        <f>$J$3*Table44[[#This Row],[Soil stability2]]</f>
        <v>20</v>
      </c>
    </row>
    <row r="110" spans="3:16" ht="15">
      <c r="C110" s="81">
        <v>67311</v>
      </c>
      <c r="D110" s="82" t="s">
        <v>261</v>
      </c>
      <c r="E110" s="84">
        <v>2</v>
      </c>
      <c r="H110" s="165"/>
      <c r="J110" s="144" t="s">
        <v>950</v>
      </c>
      <c r="M110" s="144" t="e">
        <f>VLOOKUP(I110,'[3]LGS Pa.'!$B$3:$C$16,2,FALSE)</f>
        <v>#N/A</v>
      </c>
      <c r="N110" s="144">
        <f>VLOOKUP(J110,'[3]LGS Pa.'!$B$3:$C$16,2,FALSE)</f>
        <v>2</v>
      </c>
      <c r="O110" s="144" t="e">
        <f>VLOOKUP(K110,'[3]LGS Pa.'!$B$3:$C$16,2,FALSE)</f>
        <v>#N/A</v>
      </c>
      <c r="P110" s="144">
        <f>$J$3*Table44[[#This Row],[Soil stability2]]</f>
        <v>20</v>
      </c>
    </row>
    <row r="111" spans="3:16" ht="15">
      <c r="C111" s="81">
        <v>69211</v>
      </c>
      <c r="D111" s="82" t="s">
        <v>262</v>
      </c>
      <c r="E111" s="84">
        <v>2</v>
      </c>
      <c r="H111" s="165"/>
      <c r="J111" s="144" t="s">
        <v>950</v>
      </c>
      <c r="M111" s="144" t="e">
        <f>VLOOKUP(I111,'[3]LGS Pa.'!$B$3:$C$16,2,FALSE)</f>
        <v>#N/A</v>
      </c>
      <c r="N111" s="144">
        <f>VLOOKUP(J111,'[3]LGS Pa.'!$B$3:$C$16,2,FALSE)</f>
        <v>2</v>
      </c>
      <c r="O111" s="144" t="e">
        <f>VLOOKUP(K111,'[3]LGS Pa.'!$B$3:$C$16,2,FALSE)</f>
        <v>#N/A</v>
      </c>
      <c r="P111" s="144">
        <f>$J$3*Table44[[#This Row],[Soil stability2]]</f>
        <v>20</v>
      </c>
    </row>
    <row r="112" spans="3:16" ht="15">
      <c r="C112" s="81">
        <v>671111</v>
      </c>
      <c r="D112" s="82" t="s">
        <v>263</v>
      </c>
      <c r="E112" s="84">
        <v>2</v>
      </c>
      <c r="H112" s="165"/>
      <c r="J112" s="144" t="s">
        <v>950</v>
      </c>
      <c r="M112" s="144" t="e">
        <f>VLOOKUP(I112,'[3]LGS Pa.'!$B$3:$C$16,2,FALSE)</f>
        <v>#N/A</v>
      </c>
      <c r="N112" s="144">
        <f>VLOOKUP(J112,'[3]LGS Pa.'!$B$3:$C$16,2,FALSE)</f>
        <v>2</v>
      </c>
      <c r="O112" s="144" t="e">
        <f>VLOOKUP(K112,'[3]LGS Pa.'!$B$3:$C$16,2,FALSE)</f>
        <v>#N/A</v>
      </c>
      <c r="P112" s="144">
        <f>$J$3*Table44[[#This Row],[Soil stability2]]</f>
        <v>20</v>
      </c>
    </row>
    <row r="113" spans="3:16" ht="25.5">
      <c r="C113" s="81">
        <v>6360106</v>
      </c>
      <c r="D113" s="82" t="s">
        <v>264</v>
      </c>
      <c r="E113" s="84">
        <v>2</v>
      </c>
      <c r="H113" s="165"/>
      <c r="J113" s="144" t="s">
        <v>950</v>
      </c>
      <c r="M113" s="144" t="e">
        <f>VLOOKUP(I113,'[3]LGS Pa.'!$B$3:$C$16,2,FALSE)</f>
        <v>#N/A</v>
      </c>
      <c r="N113" s="144">
        <f>VLOOKUP(J113,'[3]LGS Pa.'!$B$3:$C$16,2,FALSE)</f>
        <v>2</v>
      </c>
      <c r="O113" s="144" t="e">
        <f>VLOOKUP(K113,'[3]LGS Pa.'!$B$3:$C$16,2,FALSE)</f>
        <v>#N/A</v>
      </c>
      <c r="P113" s="144">
        <f>$J$3*Table44[[#This Row],[Soil stability2]]</f>
        <v>20</v>
      </c>
    </row>
    <row r="114" spans="3:16" ht="15">
      <c r="C114" s="111">
        <v>6582101</v>
      </c>
      <c r="D114" s="112" t="s">
        <v>265</v>
      </c>
      <c r="E114" s="113">
        <v>2</v>
      </c>
      <c r="H114" s="165"/>
      <c r="J114" s="144" t="s">
        <v>950</v>
      </c>
      <c r="M114" s="144" t="e">
        <f>VLOOKUP(I114,'[3]LGS Pa.'!$B$3:$C$16,2,FALSE)</f>
        <v>#N/A</v>
      </c>
      <c r="N114" s="144">
        <f>VLOOKUP(J114,'[3]LGS Pa.'!$B$3:$C$16,2,FALSE)</f>
        <v>2</v>
      </c>
      <c r="O114" s="144" t="e">
        <f>VLOOKUP(K114,'[3]LGS Pa.'!$B$3:$C$16,2,FALSE)</f>
        <v>#N/A</v>
      </c>
      <c r="P114" s="144">
        <f>$J$3*Table44[[#This Row],[Soil stability2]]</f>
        <v>20</v>
      </c>
    </row>
    <row r="115" spans="3:16" ht="15">
      <c r="C115" s="81" t="s">
        <v>858</v>
      </c>
      <c r="D115" s="82" t="s">
        <v>622</v>
      </c>
      <c r="E115" s="80">
        <v>2</v>
      </c>
      <c r="H115" s="165"/>
      <c r="J115" s="144" t="s">
        <v>950</v>
      </c>
      <c r="M115" s="144" t="e">
        <f>VLOOKUP(I115,'[3]LGS Pa.'!$B$3:$C$16,2,FALSE)</f>
        <v>#N/A</v>
      </c>
      <c r="N115" s="144">
        <f>VLOOKUP(J115,'[3]LGS Pa.'!$B$3:$C$16,2,FALSE)</f>
        <v>2</v>
      </c>
      <c r="O115" s="144" t="e">
        <f>VLOOKUP(K115,'[3]LGS Pa.'!$B$3:$C$16,2,FALSE)</f>
        <v>#N/A</v>
      </c>
      <c r="P115" s="144">
        <f>$J$3*Table44[[#This Row],[Soil stability2]]</f>
        <v>20</v>
      </c>
    </row>
    <row r="116" spans="3:16" ht="15">
      <c r="C116" s="81" t="s">
        <v>859</v>
      </c>
      <c r="D116" s="82" t="s">
        <v>624</v>
      </c>
      <c r="E116" s="80">
        <v>2</v>
      </c>
      <c r="H116" s="165"/>
      <c r="J116" s="144" t="s">
        <v>950</v>
      </c>
      <c r="M116" s="144" t="e">
        <f>VLOOKUP(I116,'[3]LGS Pa.'!$B$3:$C$16,2,FALSE)</f>
        <v>#N/A</v>
      </c>
      <c r="N116" s="144">
        <f>VLOOKUP(J116,'[3]LGS Pa.'!$B$3:$C$16,2,FALSE)</f>
        <v>2</v>
      </c>
      <c r="O116" s="144" t="e">
        <f>VLOOKUP(K116,'[3]LGS Pa.'!$B$3:$C$16,2,FALSE)</f>
        <v>#N/A</v>
      </c>
      <c r="P116" s="144">
        <f>$J$3*Table44[[#This Row],[Soil stability2]]</f>
        <v>20</v>
      </c>
    </row>
    <row r="117" spans="3:16" ht="15">
      <c r="C117" s="81" t="s">
        <v>859</v>
      </c>
      <c r="D117" s="82"/>
      <c r="E117" s="80">
        <v>2</v>
      </c>
      <c r="H117" s="165"/>
      <c r="J117" s="144" t="s">
        <v>950</v>
      </c>
      <c r="M117" s="144" t="e">
        <f>VLOOKUP(I117,'[3]LGS Pa.'!$B$3:$C$16,2,FALSE)</f>
        <v>#N/A</v>
      </c>
      <c r="N117" s="144">
        <f>VLOOKUP(J117,'[3]LGS Pa.'!$B$3:$C$16,2,FALSE)</f>
        <v>2</v>
      </c>
      <c r="O117" s="144" t="e">
        <f>VLOOKUP(K117,'[3]LGS Pa.'!$B$3:$C$16,2,FALSE)</f>
        <v>#N/A</v>
      </c>
      <c r="P117" s="144">
        <f>$J$3*Table44[[#This Row],[Soil stability2]]</f>
        <v>20</v>
      </c>
    </row>
    <row r="118" spans="3:16" ht="15">
      <c r="C118" s="81" t="s">
        <v>860</v>
      </c>
      <c r="D118" s="82" t="s">
        <v>628</v>
      </c>
      <c r="E118" s="80">
        <v>2</v>
      </c>
      <c r="H118" s="165"/>
      <c r="J118" s="144" t="s">
        <v>950</v>
      </c>
      <c r="M118" s="144" t="e">
        <f>VLOOKUP(I118,'[3]LGS Pa.'!$B$3:$C$16,2,FALSE)</f>
        <v>#N/A</v>
      </c>
      <c r="N118" s="144">
        <f>VLOOKUP(J118,'[3]LGS Pa.'!$B$3:$C$16,2,FALSE)</f>
        <v>2</v>
      </c>
      <c r="O118" s="144" t="e">
        <f>VLOOKUP(K118,'[3]LGS Pa.'!$B$3:$C$16,2,FALSE)</f>
        <v>#N/A</v>
      </c>
      <c r="P118" s="144">
        <f>$J$3*Table44[[#This Row],[Soil stability2]]</f>
        <v>20</v>
      </c>
    </row>
    <row r="119" spans="3:16" ht="15">
      <c r="C119" s="81" t="s">
        <v>861</v>
      </c>
      <c r="D119" s="82" t="s">
        <v>630</v>
      </c>
      <c r="E119" s="80">
        <v>2</v>
      </c>
      <c r="H119" s="165"/>
      <c r="J119" s="144" t="s">
        <v>950</v>
      </c>
      <c r="M119" s="144" t="e">
        <f>VLOOKUP(I119,'[3]LGS Pa.'!$B$3:$C$16,2,FALSE)</f>
        <v>#N/A</v>
      </c>
      <c r="N119" s="144">
        <f>VLOOKUP(J119,'[3]LGS Pa.'!$B$3:$C$16,2,FALSE)</f>
        <v>2</v>
      </c>
      <c r="O119" s="144" t="e">
        <f>VLOOKUP(K119,'[3]LGS Pa.'!$B$3:$C$16,2,FALSE)</f>
        <v>#N/A</v>
      </c>
      <c r="P119" s="144">
        <f>$J$3*Table44[[#This Row],[Soil stability2]]</f>
        <v>20</v>
      </c>
    </row>
    <row r="120" spans="3:16" ht="15">
      <c r="C120" s="81" t="s">
        <v>862</v>
      </c>
      <c r="D120" s="82" t="s">
        <v>632</v>
      </c>
      <c r="E120" s="80">
        <v>2</v>
      </c>
      <c r="H120" s="165"/>
      <c r="J120" s="144" t="s">
        <v>950</v>
      </c>
      <c r="M120" s="144" t="e">
        <f>VLOOKUP(I120,'[3]LGS Pa.'!$B$3:$C$16,2,FALSE)</f>
        <v>#N/A</v>
      </c>
      <c r="N120" s="144">
        <f>VLOOKUP(J120,'[3]LGS Pa.'!$B$3:$C$16,2,FALSE)</f>
        <v>2</v>
      </c>
      <c r="O120" s="144" t="e">
        <f>VLOOKUP(K120,'[3]LGS Pa.'!$B$3:$C$16,2,FALSE)</f>
        <v>#N/A</v>
      </c>
      <c r="P120" s="144">
        <f>$J$3*Table44[[#This Row],[Soil stability2]]</f>
        <v>20</v>
      </c>
    </row>
    <row r="121" spans="3:16" ht="15">
      <c r="C121" s="81" t="s">
        <v>863</v>
      </c>
      <c r="D121" s="82" t="s">
        <v>634</v>
      </c>
      <c r="E121" s="80">
        <v>2</v>
      </c>
      <c r="H121" s="165"/>
      <c r="J121" s="144" t="s">
        <v>950</v>
      </c>
      <c r="M121" s="144" t="e">
        <f>VLOOKUP(I121,'[3]LGS Pa.'!$B$3:$C$16,2,FALSE)</f>
        <v>#N/A</v>
      </c>
      <c r="N121" s="144">
        <f>VLOOKUP(J121,'[3]LGS Pa.'!$B$3:$C$16,2,FALSE)</f>
        <v>2</v>
      </c>
      <c r="O121" s="144" t="e">
        <f>VLOOKUP(K121,'[3]LGS Pa.'!$B$3:$C$16,2,FALSE)</f>
        <v>#N/A</v>
      </c>
      <c r="P121" s="144">
        <f>$J$3*Table44[[#This Row],[Soil stability2]]</f>
        <v>20</v>
      </c>
    </row>
    <row r="122" spans="3:16" ht="15">
      <c r="C122" s="81" t="s">
        <v>864</v>
      </c>
      <c r="D122" s="82" t="s">
        <v>636</v>
      </c>
      <c r="E122" s="80">
        <v>2</v>
      </c>
      <c r="H122" s="165"/>
      <c r="J122" s="144" t="s">
        <v>950</v>
      </c>
      <c r="M122" s="144" t="e">
        <f>VLOOKUP(I122,'[3]LGS Pa.'!$B$3:$C$16,2,FALSE)</f>
        <v>#N/A</v>
      </c>
      <c r="N122" s="144">
        <f>VLOOKUP(J122,'[3]LGS Pa.'!$B$3:$C$16,2,FALSE)</f>
        <v>2</v>
      </c>
      <c r="O122" s="144" t="e">
        <f>VLOOKUP(K122,'[3]LGS Pa.'!$B$3:$C$16,2,FALSE)</f>
        <v>#N/A</v>
      </c>
      <c r="P122" s="144">
        <f>$J$3*Table44[[#This Row],[Soil stability2]]</f>
        <v>20</v>
      </c>
    </row>
    <row r="123" spans="3:16" ht="15">
      <c r="C123" s="81" t="s">
        <v>865</v>
      </c>
      <c r="D123" s="82" t="s">
        <v>638</v>
      </c>
      <c r="E123" s="80">
        <v>2</v>
      </c>
      <c r="H123" s="165"/>
      <c r="J123" s="144" t="s">
        <v>950</v>
      </c>
      <c r="M123" s="144" t="e">
        <f>VLOOKUP(I123,'[3]LGS Pa.'!$B$3:$C$16,2,FALSE)</f>
        <v>#N/A</v>
      </c>
      <c r="N123" s="144">
        <f>VLOOKUP(J123,'[3]LGS Pa.'!$B$3:$C$16,2,FALSE)</f>
        <v>2</v>
      </c>
      <c r="O123" s="144" t="e">
        <f>VLOOKUP(K123,'[3]LGS Pa.'!$B$3:$C$16,2,FALSE)</f>
        <v>#N/A</v>
      </c>
      <c r="P123" s="144">
        <f>$J$3*Table44[[#This Row],[Soil stability2]]</f>
        <v>20</v>
      </c>
    </row>
    <row r="124" spans="3:16" ht="15">
      <c r="C124" s="81" t="s">
        <v>866</v>
      </c>
      <c r="D124" s="82"/>
      <c r="E124" s="80">
        <v>2</v>
      </c>
      <c r="H124" s="165"/>
      <c r="J124" s="144" t="s">
        <v>950</v>
      </c>
      <c r="M124" s="144" t="e">
        <f>VLOOKUP(I124,'[3]LGS Pa.'!$B$3:$C$16,2,FALSE)</f>
        <v>#N/A</v>
      </c>
      <c r="N124" s="144">
        <f>VLOOKUP(J124,'[3]LGS Pa.'!$B$3:$C$16,2,FALSE)</f>
        <v>2</v>
      </c>
      <c r="O124" s="144" t="e">
        <f>VLOOKUP(K124,'[3]LGS Pa.'!$B$3:$C$16,2,FALSE)</f>
        <v>#N/A</v>
      </c>
      <c r="P124" s="144">
        <f>$J$3*Table44[[#This Row],[Soil stability2]]</f>
        <v>20</v>
      </c>
    </row>
    <row r="125" spans="3:16" ht="15">
      <c r="C125" s="81" t="s">
        <v>867</v>
      </c>
      <c r="D125" s="82" t="s">
        <v>640</v>
      </c>
      <c r="E125" s="80">
        <v>2</v>
      </c>
      <c r="H125" s="165"/>
      <c r="J125" s="144" t="s">
        <v>950</v>
      </c>
      <c r="M125" s="144" t="e">
        <f>VLOOKUP(I125,'[3]LGS Pa.'!$B$3:$C$16,2,FALSE)</f>
        <v>#N/A</v>
      </c>
      <c r="N125" s="144">
        <f>VLOOKUP(J125,'[3]LGS Pa.'!$B$3:$C$16,2,FALSE)</f>
        <v>2</v>
      </c>
      <c r="O125" s="144" t="e">
        <f>VLOOKUP(K125,'[3]LGS Pa.'!$B$3:$C$16,2,FALSE)</f>
        <v>#N/A</v>
      </c>
      <c r="P125" s="144">
        <f>$J$3*Table44[[#This Row],[Soil stability2]]</f>
        <v>20</v>
      </c>
    </row>
    <row r="126" spans="3:16" ht="15">
      <c r="C126" s="81" t="s">
        <v>868</v>
      </c>
      <c r="D126" s="82" t="s">
        <v>642</v>
      </c>
      <c r="E126" s="80">
        <v>2</v>
      </c>
      <c r="H126" s="165"/>
      <c r="J126" s="144" t="s">
        <v>950</v>
      </c>
      <c r="M126" s="144" t="e">
        <f>VLOOKUP(I126,'[3]LGS Pa.'!$B$3:$C$16,2,FALSE)</f>
        <v>#N/A</v>
      </c>
      <c r="N126" s="144">
        <f>VLOOKUP(J126,'[3]LGS Pa.'!$B$3:$C$16,2,FALSE)</f>
        <v>2</v>
      </c>
      <c r="O126" s="144" t="e">
        <f>VLOOKUP(K126,'[3]LGS Pa.'!$B$3:$C$16,2,FALSE)</f>
        <v>#N/A</v>
      </c>
      <c r="P126" s="144">
        <f>$J$3*Table44[[#This Row],[Soil stability2]]</f>
        <v>20</v>
      </c>
    </row>
    <row r="127" spans="3:16" ht="15">
      <c r="C127" s="81" t="s">
        <v>869</v>
      </c>
      <c r="D127" s="82" t="s">
        <v>644</v>
      </c>
      <c r="E127" s="80">
        <v>2</v>
      </c>
      <c r="H127" s="165"/>
      <c r="J127" s="144" t="s">
        <v>950</v>
      </c>
      <c r="M127" s="144" t="e">
        <f>VLOOKUP(I127,'[3]LGS Pa.'!$B$3:$C$16,2,FALSE)</f>
        <v>#N/A</v>
      </c>
      <c r="N127" s="144">
        <f>VLOOKUP(J127,'[3]LGS Pa.'!$B$3:$C$16,2,FALSE)</f>
        <v>2</v>
      </c>
      <c r="O127" s="144" t="e">
        <f>VLOOKUP(K127,'[3]LGS Pa.'!$B$3:$C$16,2,FALSE)</f>
        <v>#N/A</v>
      </c>
      <c r="P127" s="144">
        <f>$J$3*Table44[[#This Row],[Soil stability2]]</f>
        <v>20</v>
      </c>
    </row>
    <row r="128" spans="3:16" ht="15">
      <c r="C128" s="81" t="s">
        <v>870</v>
      </c>
      <c r="D128" s="82" t="s">
        <v>646</v>
      </c>
      <c r="E128" s="80">
        <v>2</v>
      </c>
      <c r="H128" s="165"/>
      <c r="J128" s="144" t="s">
        <v>950</v>
      </c>
      <c r="M128" s="144" t="e">
        <f>VLOOKUP(I128,'[3]LGS Pa.'!$B$3:$C$16,2,FALSE)</f>
        <v>#N/A</v>
      </c>
      <c r="N128" s="144">
        <f>VLOOKUP(J128,'[3]LGS Pa.'!$B$3:$C$16,2,FALSE)</f>
        <v>2</v>
      </c>
      <c r="O128" s="144" t="e">
        <f>VLOOKUP(K128,'[3]LGS Pa.'!$B$3:$C$16,2,FALSE)</f>
        <v>#N/A</v>
      </c>
      <c r="P128" s="144">
        <f>$J$3*Table44[[#This Row],[Soil stability2]]</f>
        <v>20</v>
      </c>
    </row>
    <row r="129" spans="3:16" ht="15">
      <c r="C129" s="81" t="s">
        <v>871</v>
      </c>
      <c r="D129" s="82" t="s">
        <v>648</v>
      </c>
      <c r="E129" s="80">
        <v>2</v>
      </c>
      <c r="H129" s="165"/>
      <c r="J129" s="144" t="s">
        <v>950</v>
      </c>
      <c r="M129" s="144" t="e">
        <f>VLOOKUP(I129,'[3]LGS Pa.'!$B$3:$C$16,2,FALSE)</f>
        <v>#N/A</v>
      </c>
      <c r="N129" s="144">
        <f>VLOOKUP(J129,'[3]LGS Pa.'!$B$3:$C$16,2,FALSE)</f>
        <v>2</v>
      </c>
      <c r="O129" s="144" t="e">
        <f>VLOOKUP(K129,'[3]LGS Pa.'!$B$3:$C$16,2,FALSE)</f>
        <v>#N/A</v>
      </c>
      <c r="P129" s="144">
        <f>$J$3*Table44[[#This Row],[Soil stability2]]</f>
        <v>20</v>
      </c>
    </row>
    <row r="130" spans="3:16" ht="15">
      <c r="C130" s="81" t="s">
        <v>872</v>
      </c>
      <c r="D130" s="82" t="s">
        <v>650</v>
      </c>
      <c r="E130" s="80">
        <v>2</v>
      </c>
      <c r="H130" s="165"/>
      <c r="J130" s="144" t="s">
        <v>950</v>
      </c>
      <c r="M130" s="144" t="e">
        <f>VLOOKUP(I130,'[3]LGS Pa.'!$B$3:$C$16,2,FALSE)</f>
        <v>#N/A</v>
      </c>
      <c r="N130" s="144">
        <f>VLOOKUP(J130,'[3]LGS Pa.'!$B$3:$C$16,2,FALSE)</f>
        <v>2</v>
      </c>
      <c r="O130" s="144" t="e">
        <f>VLOOKUP(K130,'[3]LGS Pa.'!$B$3:$C$16,2,FALSE)</f>
        <v>#N/A</v>
      </c>
      <c r="P130" s="144">
        <f>$J$3*Table44[[#This Row],[Soil stability2]]</f>
        <v>20</v>
      </c>
    </row>
    <row r="131" spans="3:16" ht="15">
      <c r="C131" s="81" t="s">
        <v>873</v>
      </c>
      <c r="D131" s="82" t="s">
        <v>652</v>
      </c>
      <c r="E131" s="80">
        <v>2</v>
      </c>
      <c r="H131" s="165"/>
      <c r="J131" s="144" t="s">
        <v>950</v>
      </c>
      <c r="M131" s="144" t="e">
        <f>VLOOKUP(I131,'[3]LGS Pa.'!$B$3:$C$16,2,FALSE)</f>
        <v>#N/A</v>
      </c>
      <c r="N131" s="144">
        <f>VLOOKUP(J131,'[3]LGS Pa.'!$B$3:$C$16,2,FALSE)</f>
        <v>2</v>
      </c>
      <c r="O131" s="144" t="e">
        <f>VLOOKUP(K131,'[3]LGS Pa.'!$B$3:$C$16,2,FALSE)</f>
        <v>#N/A</v>
      </c>
      <c r="P131" s="144">
        <f>$J$3*Table44[[#This Row],[Soil stability2]]</f>
        <v>20</v>
      </c>
    </row>
    <row r="132" spans="3:16" ht="15">
      <c r="C132" s="81" t="s">
        <v>874</v>
      </c>
      <c r="D132" s="82" t="s">
        <v>723</v>
      </c>
      <c r="E132" s="80">
        <v>2</v>
      </c>
      <c r="H132" s="165"/>
      <c r="J132" s="144" t="s">
        <v>950</v>
      </c>
      <c r="M132" s="144" t="e">
        <f>VLOOKUP(I132,'[3]LGS Pa.'!$B$3:$C$16,2,FALSE)</f>
        <v>#N/A</v>
      </c>
      <c r="N132" s="144">
        <f>VLOOKUP(J132,'[3]LGS Pa.'!$B$3:$C$16,2,FALSE)</f>
        <v>2</v>
      </c>
      <c r="O132" s="144" t="e">
        <f>VLOOKUP(K132,'[3]LGS Pa.'!$B$3:$C$16,2,FALSE)</f>
        <v>#N/A</v>
      </c>
      <c r="P132" s="144">
        <f>$J$3*Table44[[#This Row],[Soil stability2]]</f>
        <v>20</v>
      </c>
    </row>
    <row r="133" spans="3:16" ht="15">
      <c r="C133" s="81" t="s">
        <v>875</v>
      </c>
      <c r="D133" s="82" t="s">
        <v>654</v>
      </c>
      <c r="E133" s="80">
        <v>2</v>
      </c>
      <c r="H133" s="165"/>
      <c r="J133" s="144" t="s">
        <v>950</v>
      </c>
      <c r="M133" s="144" t="e">
        <f>VLOOKUP(I133,'[3]LGS Pa.'!$B$3:$C$16,2,FALSE)</f>
        <v>#N/A</v>
      </c>
      <c r="N133" s="144">
        <f>VLOOKUP(J133,'[3]LGS Pa.'!$B$3:$C$16,2,FALSE)</f>
        <v>2</v>
      </c>
      <c r="O133" s="144" t="e">
        <f>VLOOKUP(K133,'[3]LGS Pa.'!$B$3:$C$16,2,FALSE)</f>
        <v>#N/A</v>
      </c>
      <c r="P133" s="144">
        <f>$J$3*Table44[[#This Row],[Soil stability2]]</f>
        <v>20</v>
      </c>
    </row>
    <row r="134" spans="3:16" ht="15">
      <c r="C134" s="81" t="s">
        <v>876</v>
      </c>
      <c r="D134" s="82"/>
      <c r="E134" s="80">
        <v>2</v>
      </c>
      <c r="H134" s="165"/>
      <c r="J134" s="144" t="s">
        <v>950</v>
      </c>
      <c r="M134" s="144" t="e">
        <f>VLOOKUP(I134,'[3]LGS Pa.'!$B$3:$C$16,2,FALSE)</f>
        <v>#N/A</v>
      </c>
      <c r="N134" s="144">
        <f>VLOOKUP(J134,'[3]LGS Pa.'!$B$3:$C$16,2,FALSE)</f>
        <v>2</v>
      </c>
      <c r="O134" s="144" t="e">
        <f>VLOOKUP(K134,'[3]LGS Pa.'!$B$3:$C$16,2,FALSE)</f>
        <v>#N/A</v>
      </c>
      <c r="P134" s="144">
        <f>$J$3*Table44[[#This Row],[Soil stability2]]</f>
        <v>20</v>
      </c>
    </row>
    <row r="135" spans="3:16" ht="15">
      <c r="C135" s="81" t="s">
        <v>877</v>
      </c>
      <c r="D135" s="82" t="s">
        <v>656</v>
      </c>
      <c r="E135" s="80">
        <v>2</v>
      </c>
      <c r="H135" s="165"/>
      <c r="J135" s="144" t="s">
        <v>950</v>
      </c>
      <c r="M135" s="144" t="e">
        <f>VLOOKUP(I135,'[3]LGS Pa.'!$B$3:$C$16,2,FALSE)</f>
        <v>#N/A</v>
      </c>
      <c r="N135" s="144">
        <f>VLOOKUP(J135,'[3]LGS Pa.'!$B$3:$C$16,2,FALSE)</f>
        <v>2</v>
      </c>
      <c r="O135" s="144" t="e">
        <f>VLOOKUP(K135,'[3]LGS Pa.'!$B$3:$C$16,2,FALSE)</f>
        <v>#N/A</v>
      </c>
      <c r="P135" s="144">
        <f>$J$3*Table44[[#This Row],[Soil stability2]]</f>
        <v>20</v>
      </c>
    </row>
    <row r="136" spans="3:16" ht="15">
      <c r="C136" s="81" t="s">
        <v>878</v>
      </c>
      <c r="D136" s="89" t="s">
        <v>720</v>
      </c>
      <c r="E136" s="87">
        <v>2</v>
      </c>
      <c r="H136" s="165"/>
      <c r="J136" s="144" t="s">
        <v>950</v>
      </c>
      <c r="M136" s="144" t="e">
        <f>VLOOKUP(I136,'[3]LGS Pa.'!$B$3:$C$16,2,FALSE)</f>
        <v>#N/A</v>
      </c>
      <c r="N136" s="144">
        <f>VLOOKUP(J136,'[3]LGS Pa.'!$B$3:$C$16,2,FALSE)</f>
        <v>2</v>
      </c>
      <c r="O136" s="144" t="e">
        <f>VLOOKUP(K136,'[3]LGS Pa.'!$B$3:$C$16,2,FALSE)</f>
        <v>#N/A</v>
      </c>
      <c r="P136" s="144">
        <f>$J$3*Table44[[#This Row],[Soil stability2]]</f>
        <v>20</v>
      </c>
    </row>
    <row r="137" spans="3:16" ht="15">
      <c r="C137" s="81" t="s">
        <v>879</v>
      </c>
      <c r="D137" s="82" t="s">
        <v>658</v>
      </c>
      <c r="E137" s="80">
        <v>2</v>
      </c>
      <c r="H137" s="165"/>
      <c r="J137" s="144" t="s">
        <v>950</v>
      </c>
      <c r="M137" s="144" t="e">
        <f>VLOOKUP(I137,'[3]LGS Pa.'!$B$3:$C$16,2,FALSE)</f>
        <v>#N/A</v>
      </c>
      <c r="N137" s="144">
        <f>VLOOKUP(J137,'[3]LGS Pa.'!$B$3:$C$16,2,FALSE)</f>
        <v>2</v>
      </c>
      <c r="O137" s="144" t="e">
        <f>VLOOKUP(K137,'[3]LGS Pa.'!$B$3:$C$16,2,FALSE)</f>
        <v>#N/A</v>
      </c>
      <c r="P137" s="144">
        <f>$J$3*Table44[[#This Row],[Soil stability2]]</f>
        <v>20</v>
      </c>
    </row>
    <row r="138" spans="3:16" ht="15">
      <c r="C138" s="81" t="s">
        <v>880</v>
      </c>
      <c r="D138" s="82" t="s">
        <v>724</v>
      </c>
      <c r="E138" s="80">
        <v>2</v>
      </c>
      <c r="H138" s="165"/>
      <c r="J138" s="144" t="s">
        <v>950</v>
      </c>
      <c r="M138" s="144" t="e">
        <f>VLOOKUP(I138,'[3]LGS Pa.'!$B$3:$C$16,2,FALSE)</f>
        <v>#N/A</v>
      </c>
      <c r="N138" s="144">
        <f>VLOOKUP(J138,'[3]LGS Pa.'!$B$3:$C$16,2,FALSE)</f>
        <v>2</v>
      </c>
      <c r="O138" s="144" t="e">
        <f>VLOOKUP(K138,'[3]LGS Pa.'!$B$3:$C$16,2,FALSE)</f>
        <v>#N/A</v>
      </c>
      <c r="P138" s="144">
        <f>$J$3*Table44[[#This Row],[Soil stability2]]</f>
        <v>20</v>
      </c>
    </row>
    <row r="139" spans="3:16" ht="15">
      <c r="C139" s="81" t="s">
        <v>881</v>
      </c>
      <c r="D139" s="82" t="s">
        <v>266</v>
      </c>
      <c r="E139" s="84">
        <v>2</v>
      </c>
      <c r="H139" s="165"/>
      <c r="J139" s="144" t="s">
        <v>950</v>
      </c>
      <c r="M139" s="144" t="e">
        <f>VLOOKUP(I139,'[3]LGS Pa.'!$B$3:$C$16,2,FALSE)</f>
        <v>#N/A</v>
      </c>
      <c r="N139" s="144">
        <f>VLOOKUP(J139,'[3]LGS Pa.'!$B$3:$C$16,2,FALSE)</f>
        <v>2</v>
      </c>
      <c r="O139" s="144" t="e">
        <f>VLOOKUP(K139,'[3]LGS Pa.'!$B$3:$C$16,2,FALSE)</f>
        <v>#N/A</v>
      </c>
      <c r="P139" s="144">
        <f>$J$3*Table44[[#This Row],[Soil stability2]]</f>
        <v>20</v>
      </c>
    </row>
    <row r="140" spans="3:16" ht="15">
      <c r="C140" s="81" t="s">
        <v>882</v>
      </c>
      <c r="D140" s="82" t="s">
        <v>660</v>
      </c>
      <c r="E140" s="80">
        <v>2</v>
      </c>
      <c r="H140" s="165"/>
      <c r="J140" s="144" t="s">
        <v>950</v>
      </c>
      <c r="M140" s="144" t="e">
        <f>VLOOKUP(I140,'[3]LGS Pa.'!$B$3:$C$16,2,FALSE)</f>
        <v>#N/A</v>
      </c>
      <c r="N140" s="144">
        <f>VLOOKUP(J140,'[3]LGS Pa.'!$B$3:$C$16,2,FALSE)</f>
        <v>2</v>
      </c>
      <c r="O140" s="144" t="e">
        <f>VLOOKUP(K140,'[3]LGS Pa.'!$B$3:$C$16,2,FALSE)</f>
        <v>#N/A</v>
      </c>
      <c r="P140" s="144">
        <f>$J$3*Table44[[#This Row],[Soil stability2]]</f>
        <v>20</v>
      </c>
    </row>
    <row r="141" spans="3:16" ht="15">
      <c r="C141" s="81" t="s">
        <v>883</v>
      </c>
      <c r="D141" s="82" t="s">
        <v>662</v>
      </c>
      <c r="E141" s="80">
        <v>2</v>
      </c>
      <c r="H141" s="165"/>
      <c r="J141" s="144" t="s">
        <v>950</v>
      </c>
      <c r="M141" s="144" t="e">
        <f>VLOOKUP(I141,'[3]LGS Pa.'!$B$3:$C$16,2,FALSE)</f>
        <v>#N/A</v>
      </c>
      <c r="N141" s="144">
        <f>VLOOKUP(J141,'[3]LGS Pa.'!$B$3:$C$16,2,FALSE)</f>
        <v>2</v>
      </c>
      <c r="O141" s="144" t="e">
        <f>VLOOKUP(K141,'[3]LGS Pa.'!$B$3:$C$16,2,FALSE)</f>
        <v>#N/A</v>
      </c>
      <c r="P141" s="144">
        <f>$J$3*Table44[[#This Row],[Soil stability2]]</f>
        <v>20</v>
      </c>
    </row>
    <row r="142" spans="3:16" ht="15">
      <c r="C142" s="81" t="s">
        <v>884</v>
      </c>
      <c r="D142" s="89" t="s">
        <v>722</v>
      </c>
      <c r="E142" s="87">
        <v>2</v>
      </c>
      <c r="H142" s="165"/>
      <c r="J142" s="144" t="s">
        <v>950</v>
      </c>
      <c r="M142" s="144" t="e">
        <f>VLOOKUP(I142,'[3]LGS Pa.'!$B$3:$C$16,2,FALSE)</f>
        <v>#N/A</v>
      </c>
      <c r="N142" s="144">
        <f>VLOOKUP(J142,'[3]LGS Pa.'!$B$3:$C$16,2,FALSE)</f>
        <v>2</v>
      </c>
      <c r="O142" s="144" t="e">
        <f>VLOOKUP(K142,'[3]LGS Pa.'!$B$3:$C$16,2,FALSE)</f>
        <v>#N/A</v>
      </c>
      <c r="P142" s="144">
        <f>$J$3*Table44[[#This Row],[Soil stability2]]</f>
        <v>20</v>
      </c>
    </row>
    <row r="143" spans="3:16" ht="15">
      <c r="C143" s="81" t="s">
        <v>885</v>
      </c>
      <c r="D143" s="82" t="s">
        <v>664</v>
      </c>
      <c r="E143" s="80">
        <v>2</v>
      </c>
      <c r="H143" s="165"/>
      <c r="J143" s="144" t="s">
        <v>950</v>
      </c>
      <c r="M143" s="144" t="e">
        <f>VLOOKUP(I143,'[3]LGS Pa.'!$B$3:$C$16,2,FALSE)</f>
        <v>#N/A</v>
      </c>
      <c r="N143" s="144">
        <f>VLOOKUP(J143,'[3]LGS Pa.'!$B$3:$C$16,2,FALSE)</f>
        <v>2</v>
      </c>
      <c r="O143" s="144" t="e">
        <f>VLOOKUP(K143,'[3]LGS Pa.'!$B$3:$C$16,2,FALSE)</f>
        <v>#N/A</v>
      </c>
      <c r="P143" s="144">
        <f>$J$3*Table44[[#This Row],[Soil stability2]]</f>
        <v>20</v>
      </c>
    </row>
    <row r="144" spans="3:16" ht="15">
      <c r="C144" s="81" t="s">
        <v>885</v>
      </c>
      <c r="D144" s="82" t="s">
        <v>665</v>
      </c>
      <c r="E144" s="80">
        <v>2</v>
      </c>
      <c r="H144" s="165"/>
      <c r="J144" s="144" t="s">
        <v>950</v>
      </c>
      <c r="M144" s="144" t="e">
        <f>VLOOKUP(I144,'[3]LGS Pa.'!$B$3:$C$16,2,FALSE)</f>
        <v>#N/A</v>
      </c>
      <c r="N144" s="144">
        <f>VLOOKUP(J144,'[3]LGS Pa.'!$B$3:$C$16,2,FALSE)</f>
        <v>2</v>
      </c>
      <c r="O144" s="144" t="e">
        <f>VLOOKUP(K144,'[3]LGS Pa.'!$B$3:$C$16,2,FALSE)</f>
        <v>#N/A</v>
      </c>
      <c r="P144" s="144">
        <f>$J$3*Table44[[#This Row],[Soil stability2]]</f>
        <v>20</v>
      </c>
    </row>
    <row r="145" spans="3:16" ht="15">
      <c r="C145" s="81" t="s">
        <v>886</v>
      </c>
      <c r="D145" s="89" t="s">
        <v>250</v>
      </c>
      <c r="E145" s="87">
        <v>2</v>
      </c>
      <c r="H145" s="165"/>
      <c r="J145" s="144" t="s">
        <v>950</v>
      </c>
      <c r="M145" s="144" t="e">
        <f>VLOOKUP(I145,'[3]LGS Pa.'!$B$3:$C$16,2,FALSE)</f>
        <v>#N/A</v>
      </c>
      <c r="N145" s="144">
        <f>VLOOKUP(J145,'[3]LGS Pa.'!$B$3:$C$16,2,FALSE)</f>
        <v>2</v>
      </c>
      <c r="O145" s="144" t="e">
        <f>VLOOKUP(K145,'[3]LGS Pa.'!$B$3:$C$16,2,FALSE)</f>
        <v>#N/A</v>
      </c>
      <c r="P145" s="144">
        <f>$J$3*Table44[[#This Row],[Soil stability2]]</f>
        <v>20</v>
      </c>
    </row>
    <row r="146" spans="3:16" ht="15">
      <c r="C146" s="81" t="s">
        <v>887</v>
      </c>
      <c r="D146" s="89" t="s">
        <v>716</v>
      </c>
      <c r="E146" s="87">
        <v>2</v>
      </c>
      <c r="H146" s="165"/>
      <c r="J146" s="144" t="s">
        <v>950</v>
      </c>
      <c r="M146" s="144" t="e">
        <f>VLOOKUP(I146,'[3]LGS Pa.'!$B$3:$C$16,2,FALSE)</f>
        <v>#N/A</v>
      </c>
      <c r="N146" s="144">
        <f>VLOOKUP(J146,'[3]LGS Pa.'!$B$3:$C$16,2,FALSE)</f>
        <v>2</v>
      </c>
      <c r="O146" s="144" t="e">
        <f>VLOOKUP(K146,'[3]LGS Pa.'!$B$3:$C$16,2,FALSE)</f>
        <v>#N/A</v>
      </c>
      <c r="P146" s="144">
        <f>$J$3*Table44[[#This Row],[Soil stability2]]</f>
        <v>20</v>
      </c>
    </row>
    <row r="147" spans="3:16" ht="15">
      <c r="C147" s="81">
        <v>6731101</v>
      </c>
      <c r="D147" s="82" t="s">
        <v>268</v>
      </c>
      <c r="E147" s="84">
        <v>2</v>
      </c>
      <c r="H147" s="165"/>
      <c r="J147" s="144" t="s">
        <v>950</v>
      </c>
      <c r="M147" s="144" t="e">
        <f>VLOOKUP(I147,'[3]LGS Pa.'!$B$3:$C$16,2,FALSE)</f>
        <v>#N/A</v>
      </c>
      <c r="N147" s="144">
        <f>VLOOKUP(J147,'[3]LGS Pa.'!$B$3:$C$16,2,FALSE)</f>
        <v>2</v>
      </c>
      <c r="O147" s="144" t="e">
        <f>VLOOKUP(K147,'[3]LGS Pa.'!$B$3:$C$16,2,FALSE)</f>
        <v>#N/A</v>
      </c>
      <c r="P147" s="144">
        <f>$J$3*Table44[[#This Row],[Soil stability2]]</f>
        <v>20</v>
      </c>
    </row>
    <row r="148" spans="3:16" ht="15">
      <c r="C148" s="81">
        <v>6921101</v>
      </c>
      <c r="D148" s="82" t="s">
        <v>269</v>
      </c>
      <c r="E148" s="84">
        <v>2</v>
      </c>
      <c r="H148" s="165"/>
      <c r="J148" s="144" t="s">
        <v>950</v>
      </c>
      <c r="M148" s="144" t="e">
        <f>VLOOKUP(I148,'[3]LGS Pa.'!$B$3:$C$16,2,FALSE)</f>
        <v>#N/A</v>
      </c>
      <c r="N148" s="144">
        <f>VLOOKUP(J148,'[3]LGS Pa.'!$B$3:$C$16,2,FALSE)</f>
        <v>2</v>
      </c>
      <c r="O148" s="144" t="e">
        <f>VLOOKUP(K148,'[3]LGS Pa.'!$B$3:$C$16,2,FALSE)</f>
        <v>#N/A</v>
      </c>
      <c r="P148" s="144">
        <f>$J$3*Table44[[#This Row],[Soil stability2]]</f>
        <v>20</v>
      </c>
    </row>
    <row r="149" spans="3:16" ht="15">
      <c r="C149" s="81">
        <v>67210001</v>
      </c>
      <c r="D149" s="82" t="s">
        <v>270</v>
      </c>
      <c r="E149" s="84">
        <v>2</v>
      </c>
      <c r="H149" s="165"/>
      <c r="J149" s="144" t="s">
        <v>950</v>
      </c>
      <c r="M149" s="144" t="e">
        <f>VLOOKUP(I149,'[3]LGS Pa.'!$B$3:$C$16,2,FALSE)</f>
        <v>#N/A</v>
      </c>
      <c r="N149" s="144">
        <f>VLOOKUP(J149,'[3]LGS Pa.'!$B$3:$C$16,2,FALSE)</f>
        <v>2</v>
      </c>
      <c r="O149" s="144" t="e">
        <f>VLOOKUP(K149,'[3]LGS Pa.'!$B$3:$C$16,2,FALSE)</f>
        <v>#N/A</v>
      </c>
      <c r="P149" s="144">
        <f>$J$3*Table44[[#This Row],[Soil stability2]]</f>
        <v>20</v>
      </c>
    </row>
    <row r="150" spans="3:16" ht="15">
      <c r="C150" s="81">
        <v>67210002</v>
      </c>
      <c r="D150" s="82" t="s">
        <v>271</v>
      </c>
      <c r="E150" s="84">
        <v>2</v>
      </c>
      <c r="H150" s="165"/>
      <c r="J150" s="144" t="s">
        <v>950</v>
      </c>
      <c r="M150" s="144" t="e">
        <f>VLOOKUP(I150,'[3]LGS Pa.'!$B$3:$C$16,2,FALSE)</f>
        <v>#N/A</v>
      </c>
      <c r="N150" s="144">
        <f>VLOOKUP(J150,'[3]LGS Pa.'!$B$3:$C$16,2,FALSE)</f>
        <v>2</v>
      </c>
      <c r="O150" s="144" t="e">
        <f>VLOOKUP(K150,'[3]LGS Pa.'!$B$3:$C$16,2,FALSE)</f>
        <v>#N/A</v>
      </c>
      <c r="P150" s="144">
        <f>$J$3*Table44[[#This Row],[Soil stability2]]</f>
        <v>20</v>
      </c>
    </row>
    <row r="151" spans="3:16" ht="15">
      <c r="C151" s="81">
        <v>658110001</v>
      </c>
      <c r="D151" s="82" t="s">
        <v>272</v>
      </c>
      <c r="E151" s="84">
        <v>2</v>
      </c>
      <c r="H151" s="165"/>
      <c r="J151" s="144" t="s">
        <v>950</v>
      </c>
      <c r="M151" s="144" t="e">
        <f>VLOOKUP(I151,'[3]LGS Pa.'!$B$3:$C$16,2,FALSE)</f>
        <v>#N/A</v>
      </c>
      <c r="N151" s="144">
        <f>VLOOKUP(J151,'[3]LGS Pa.'!$B$3:$C$16,2,FALSE)</f>
        <v>2</v>
      </c>
      <c r="O151" s="144" t="e">
        <f>VLOOKUP(K151,'[3]LGS Pa.'!$B$3:$C$16,2,FALSE)</f>
        <v>#N/A</v>
      </c>
      <c r="P151" s="144">
        <f>$J$3*Table44[[#This Row],[Soil stability2]]</f>
        <v>20</v>
      </c>
    </row>
    <row r="152" spans="3:16" ht="15">
      <c r="C152" s="81">
        <v>658110002</v>
      </c>
      <c r="D152" s="82" t="s">
        <v>273</v>
      </c>
      <c r="E152" s="84">
        <v>2</v>
      </c>
      <c r="H152" s="165"/>
      <c r="J152" s="144" t="s">
        <v>950</v>
      </c>
      <c r="M152" s="144" t="e">
        <f>VLOOKUP(I152,'[3]LGS Pa.'!$B$3:$C$16,2,FALSE)</f>
        <v>#N/A</v>
      </c>
      <c r="N152" s="144">
        <f>VLOOKUP(J152,'[3]LGS Pa.'!$B$3:$C$16,2,FALSE)</f>
        <v>2</v>
      </c>
      <c r="O152" s="144" t="e">
        <f>VLOOKUP(K152,'[3]LGS Pa.'!$B$3:$C$16,2,FALSE)</f>
        <v>#N/A</v>
      </c>
      <c r="P152" s="144">
        <f>$J$3*Table44[[#This Row],[Soil stability2]]</f>
        <v>20</v>
      </c>
    </row>
    <row r="153" spans="3:16" ht="15">
      <c r="C153" s="81">
        <v>661110201</v>
      </c>
      <c r="D153" s="82" t="s">
        <v>274</v>
      </c>
      <c r="E153" s="84">
        <v>2</v>
      </c>
      <c r="H153" s="165"/>
      <c r="J153" s="144" t="s">
        <v>950</v>
      </c>
      <c r="M153" s="144" t="e">
        <f>VLOOKUP(I153,'[3]LGS Pa.'!$B$3:$C$16,2,FALSE)</f>
        <v>#N/A</v>
      </c>
      <c r="N153" s="144">
        <f>VLOOKUP(J153,'[3]LGS Pa.'!$B$3:$C$16,2,FALSE)</f>
        <v>2</v>
      </c>
      <c r="O153" s="144" t="e">
        <f>VLOOKUP(K153,'[3]LGS Pa.'!$B$3:$C$16,2,FALSE)</f>
        <v>#N/A</v>
      </c>
      <c r="P153" s="144">
        <f>$J$3*Table44[[#This Row],[Soil stability2]]</f>
        <v>20</v>
      </c>
    </row>
    <row r="154" spans="3:16" ht="15">
      <c r="C154" s="81">
        <v>671200001</v>
      </c>
      <c r="D154" s="82" t="s">
        <v>275</v>
      </c>
      <c r="E154" s="84">
        <v>2</v>
      </c>
      <c r="H154" s="165"/>
      <c r="J154" s="144" t="s">
        <v>950</v>
      </c>
      <c r="M154" s="144" t="e">
        <f>VLOOKUP(I154,'[3]LGS Pa.'!$B$3:$C$16,2,FALSE)</f>
        <v>#N/A</v>
      </c>
      <c r="N154" s="144">
        <f>VLOOKUP(J154,'[3]LGS Pa.'!$B$3:$C$16,2,FALSE)</f>
        <v>2</v>
      </c>
      <c r="O154" s="144" t="e">
        <f>VLOOKUP(K154,'[3]LGS Pa.'!$B$3:$C$16,2,FALSE)</f>
        <v>#N/A</v>
      </c>
      <c r="P154" s="144">
        <f>$J$3*Table44[[#This Row],[Soil stability2]]</f>
        <v>20</v>
      </c>
    </row>
    <row r="155" spans="3:16" ht="15">
      <c r="C155" s="81">
        <v>671210001</v>
      </c>
      <c r="D155" s="82" t="s">
        <v>688</v>
      </c>
      <c r="E155" s="80">
        <v>2</v>
      </c>
      <c r="H155" s="165"/>
      <c r="J155" s="144" t="s">
        <v>950</v>
      </c>
      <c r="M155" s="144" t="e">
        <f>VLOOKUP(I155,'[3]LGS Pa.'!$B$3:$C$16,2,FALSE)</f>
        <v>#N/A</v>
      </c>
      <c r="N155" s="144">
        <f>VLOOKUP(J155,'[3]LGS Pa.'!$B$3:$C$16,2,FALSE)</f>
        <v>2</v>
      </c>
      <c r="O155" s="144" t="e">
        <f>VLOOKUP(K155,'[3]LGS Pa.'!$B$3:$C$16,2,FALSE)</f>
        <v>#N/A</v>
      </c>
      <c r="P155" s="144">
        <f>$J$3*Table44[[#This Row],[Soil stability2]]</f>
        <v>20</v>
      </c>
    </row>
    <row r="156" spans="3:16" ht="15">
      <c r="C156" s="81">
        <v>671210002</v>
      </c>
      <c r="D156" s="82" t="s">
        <v>690</v>
      </c>
      <c r="E156" s="80">
        <v>2</v>
      </c>
      <c r="H156" s="165"/>
      <c r="J156" s="144" t="s">
        <v>950</v>
      </c>
      <c r="M156" s="144" t="e">
        <f>VLOOKUP(I156,'[3]LGS Pa.'!$B$3:$C$16,2,FALSE)</f>
        <v>#N/A</v>
      </c>
      <c r="N156" s="144">
        <f>VLOOKUP(J156,'[3]LGS Pa.'!$B$3:$C$16,2,FALSE)</f>
        <v>2</v>
      </c>
      <c r="O156" s="144" t="e">
        <f>VLOOKUP(K156,'[3]LGS Pa.'!$B$3:$C$16,2,FALSE)</f>
        <v>#N/A</v>
      </c>
      <c r="P156" s="144">
        <f>$J$3*Table44[[#This Row],[Soil stability2]]</f>
        <v>20</v>
      </c>
    </row>
    <row r="157" spans="3:16" ht="15">
      <c r="C157" s="81">
        <v>671210101</v>
      </c>
      <c r="D157" s="82" t="s">
        <v>276</v>
      </c>
      <c r="E157" s="84">
        <v>2</v>
      </c>
      <c r="H157" s="165"/>
      <c r="J157" s="144" t="s">
        <v>950</v>
      </c>
      <c r="M157" s="144" t="e">
        <f>VLOOKUP(I157,'[3]LGS Pa.'!$B$3:$C$16,2,FALSE)</f>
        <v>#N/A</v>
      </c>
      <c r="N157" s="144">
        <f>VLOOKUP(J157,'[3]LGS Pa.'!$B$3:$C$16,2,FALSE)</f>
        <v>2</v>
      </c>
      <c r="O157" s="144" t="e">
        <f>VLOOKUP(K157,'[3]LGS Pa.'!$B$3:$C$16,2,FALSE)</f>
        <v>#N/A</v>
      </c>
      <c r="P157" s="144">
        <f>$J$3*Table44[[#This Row],[Soil stability2]]</f>
        <v>20</v>
      </c>
    </row>
    <row r="158" spans="3:16" ht="15">
      <c r="C158" s="81">
        <v>671210102</v>
      </c>
      <c r="D158" s="82" t="s">
        <v>692</v>
      </c>
      <c r="E158" s="80">
        <v>2</v>
      </c>
      <c r="H158" s="165"/>
      <c r="J158" s="144" t="s">
        <v>950</v>
      </c>
      <c r="M158" s="144" t="e">
        <f>VLOOKUP(I158,'[3]LGS Pa.'!$B$3:$C$16,2,FALSE)</f>
        <v>#N/A</v>
      </c>
      <c r="N158" s="144">
        <f>VLOOKUP(J158,'[3]LGS Pa.'!$B$3:$C$16,2,FALSE)</f>
        <v>2</v>
      </c>
      <c r="O158" s="144" t="e">
        <f>VLOOKUP(K158,'[3]LGS Pa.'!$B$3:$C$16,2,FALSE)</f>
        <v>#N/A</v>
      </c>
      <c r="P158" s="144">
        <f>$J$3*Table44[[#This Row],[Soil stability2]]</f>
        <v>20</v>
      </c>
    </row>
    <row r="159" spans="3:16" ht="15">
      <c r="C159" s="81">
        <v>671500001</v>
      </c>
      <c r="D159" s="82" t="s">
        <v>725</v>
      </c>
      <c r="E159" s="84">
        <v>2</v>
      </c>
      <c r="H159" s="165"/>
      <c r="J159" s="144" t="s">
        <v>950</v>
      </c>
      <c r="M159" s="144" t="e">
        <f>VLOOKUP(I159,'[3]LGS Pa.'!$B$3:$C$16,2,FALSE)</f>
        <v>#N/A</v>
      </c>
      <c r="N159" s="144">
        <f>VLOOKUP(J159,'[3]LGS Pa.'!$B$3:$C$16,2,FALSE)</f>
        <v>2</v>
      </c>
      <c r="O159" s="144" t="e">
        <f>VLOOKUP(K159,'[3]LGS Pa.'!$B$3:$C$16,2,FALSE)</f>
        <v>#N/A</v>
      </c>
      <c r="P159" s="144">
        <f>$J$3*Table44[[#This Row],[Soil stability2]]</f>
        <v>20</v>
      </c>
    </row>
    <row r="160" spans="3:16" ht="15">
      <c r="C160" s="81">
        <v>673110001</v>
      </c>
      <c r="D160" s="82" t="s">
        <v>277</v>
      </c>
      <c r="E160" s="84">
        <v>2</v>
      </c>
      <c r="H160" s="165"/>
      <c r="J160" s="144" t="s">
        <v>950</v>
      </c>
      <c r="M160" s="144" t="e">
        <f>VLOOKUP(I160,'[3]LGS Pa.'!$B$3:$C$16,2,FALSE)</f>
        <v>#N/A</v>
      </c>
      <c r="N160" s="144">
        <f>VLOOKUP(J160,'[3]LGS Pa.'!$B$3:$C$16,2,FALSE)</f>
        <v>2</v>
      </c>
      <c r="O160" s="144" t="e">
        <f>VLOOKUP(K160,'[3]LGS Pa.'!$B$3:$C$16,2,FALSE)</f>
        <v>#N/A</v>
      </c>
      <c r="P160" s="144">
        <f>$J$3*Table44[[#This Row],[Soil stability2]]</f>
        <v>20</v>
      </c>
    </row>
    <row r="161" spans="3:16" ht="15">
      <c r="C161" s="81">
        <v>673110002</v>
      </c>
      <c r="D161" s="82" t="s">
        <v>278</v>
      </c>
      <c r="E161" s="84">
        <v>2</v>
      </c>
      <c r="H161" s="165"/>
      <c r="J161" s="144" t="s">
        <v>950</v>
      </c>
      <c r="M161" s="144" t="e">
        <f>VLOOKUP(I161,'[3]LGS Pa.'!$B$3:$C$16,2,FALSE)</f>
        <v>#N/A</v>
      </c>
      <c r="N161" s="144">
        <f>VLOOKUP(J161,'[3]LGS Pa.'!$B$3:$C$16,2,FALSE)</f>
        <v>2</v>
      </c>
      <c r="O161" s="144" t="e">
        <f>VLOOKUP(K161,'[3]LGS Pa.'!$B$3:$C$16,2,FALSE)</f>
        <v>#N/A</v>
      </c>
      <c r="P161" s="144">
        <f>$J$3*Table44[[#This Row],[Soil stability2]]</f>
        <v>20</v>
      </c>
    </row>
    <row r="162" spans="3:16" ht="15">
      <c r="C162" s="81">
        <v>673110003</v>
      </c>
      <c r="D162" s="82" t="s">
        <v>279</v>
      </c>
      <c r="E162" s="84">
        <v>2</v>
      </c>
      <c r="H162" s="165"/>
      <c r="J162" s="144" t="s">
        <v>950</v>
      </c>
      <c r="M162" s="144" t="e">
        <f>VLOOKUP(I162,'[3]LGS Pa.'!$B$3:$C$16,2,FALSE)</f>
        <v>#N/A</v>
      </c>
      <c r="N162" s="144">
        <f>VLOOKUP(J162,'[3]LGS Pa.'!$B$3:$C$16,2,FALSE)</f>
        <v>2</v>
      </c>
      <c r="O162" s="144" t="e">
        <f>VLOOKUP(K162,'[3]LGS Pa.'!$B$3:$C$16,2,FALSE)</f>
        <v>#N/A</v>
      </c>
      <c r="P162" s="144">
        <f>$J$3*Table44[[#This Row],[Soil stability2]]</f>
        <v>20</v>
      </c>
    </row>
    <row r="163" spans="3:16" ht="15">
      <c r="C163" s="81">
        <v>673110004</v>
      </c>
      <c r="D163" s="82" t="s">
        <v>280</v>
      </c>
      <c r="E163" s="84">
        <v>2</v>
      </c>
      <c r="H163" s="165"/>
      <c r="J163" s="144" t="s">
        <v>950</v>
      </c>
      <c r="M163" s="144" t="e">
        <f>VLOOKUP(I163,'[3]LGS Pa.'!$B$3:$C$16,2,FALSE)</f>
        <v>#N/A</v>
      </c>
      <c r="N163" s="144">
        <f>VLOOKUP(J163,'[3]LGS Pa.'!$B$3:$C$16,2,FALSE)</f>
        <v>2</v>
      </c>
      <c r="O163" s="144" t="e">
        <f>VLOOKUP(K163,'[3]LGS Pa.'!$B$3:$C$16,2,FALSE)</f>
        <v>#N/A</v>
      </c>
      <c r="P163" s="144">
        <f>$J$3*Table44[[#This Row],[Soil stability2]]</f>
        <v>20</v>
      </c>
    </row>
    <row r="164" spans="3:16" ht="15">
      <c r="C164" s="81">
        <v>673110005</v>
      </c>
      <c r="D164" s="82" t="s">
        <v>281</v>
      </c>
      <c r="E164" s="84">
        <v>2</v>
      </c>
      <c r="H164" s="165"/>
      <c r="J164" s="144" t="s">
        <v>950</v>
      </c>
      <c r="M164" s="144" t="e">
        <f>VLOOKUP(I164,'[3]LGS Pa.'!$B$3:$C$16,2,FALSE)</f>
        <v>#N/A</v>
      </c>
      <c r="N164" s="144">
        <f>VLOOKUP(J164,'[3]LGS Pa.'!$B$3:$C$16,2,FALSE)</f>
        <v>2</v>
      </c>
      <c r="O164" s="144" t="e">
        <f>VLOOKUP(K164,'[3]LGS Pa.'!$B$3:$C$16,2,FALSE)</f>
        <v>#N/A</v>
      </c>
      <c r="P164" s="144">
        <f>$J$3*Table44[[#This Row],[Soil stability2]]</f>
        <v>20</v>
      </c>
    </row>
    <row r="165" spans="3:16" ht="15">
      <c r="C165" s="81">
        <v>673110103</v>
      </c>
      <c r="D165" s="82" t="s">
        <v>282</v>
      </c>
      <c r="E165" s="84">
        <v>2</v>
      </c>
      <c r="H165" s="165"/>
      <c r="J165" s="144" t="s">
        <v>950</v>
      </c>
      <c r="M165" s="144" t="e">
        <f>VLOOKUP(I165,'[3]LGS Pa.'!$B$3:$C$16,2,FALSE)</f>
        <v>#N/A</v>
      </c>
      <c r="N165" s="144">
        <f>VLOOKUP(J165,'[3]LGS Pa.'!$B$3:$C$16,2,FALSE)</f>
        <v>2</v>
      </c>
      <c r="O165" s="144" t="e">
        <f>VLOOKUP(K165,'[3]LGS Pa.'!$B$3:$C$16,2,FALSE)</f>
        <v>#N/A</v>
      </c>
      <c r="P165" s="144">
        <f>$J$3*Table44[[#This Row],[Soil stability2]]</f>
        <v>20</v>
      </c>
    </row>
    <row r="166" spans="3:16" ht="15">
      <c r="C166" s="81">
        <v>673200001</v>
      </c>
      <c r="D166" s="82" t="s">
        <v>283</v>
      </c>
      <c r="E166" s="84">
        <v>2</v>
      </c>
      <c r="H166" s="165"/>
      <c r="J166" s="144" t="s">
        <v>950</v>
      </c>
      <c r="M166" s="144" t="e">
        <f>VLOOKUP(I166,'[3]LGS Pa.'!$B$3:$C$16,2,FALSE)</f>
        <v>#N/A</v>
      </c>
      <c r="N166" s="144">
        <f>VLOOKUP(J166,'[3]LGS Pa.'!$B$3:$C$16,2,FALSE)</f>
        <v>2</v>
      </c>
      <c r="O166" s="144" t="e">
        <f>VLOOKUP(K166,'[3]LGS Pa.'!$B$3:$C$16,2,FALSE)</f>
        <v>#N/A</v>
      </c>
      <c r="P166" s="144">
        <f>$J$3*Table44[[#This Row],[Soil stability2]]</f>
        <v>20</v>
      </c>
    </row>
    <row r="167" spans="3:16" ht="15">
      <c r="C167" s="81">
        <v>673200002</v>
      </c>
      <c r="D167" s="82" t="s">
        <v>284</v>
      </c>
      <c r="E167" s="84">
        <v>2</v>
      </c>
      <c r="H167" s="165"/>
      <c r="J167" s="144" t="s">
        <v>950</v>
      </c>
      <c r="M167" s="144" t="e">
        <f>VLOOKUP(I167,'[3]LGS Pa.'!$B$3:$C$16,2,FALSE)</f>
        <v>#N/A</v>
      </c>
      <c r="N167" s="144">
        <f>VLOOKUP(J167,'[3]LGS Pa.'!$B$3:$C$16,2,FALSE)</f>
        <v>2</v>
      </c>
      <c r="O167" s="144" t="e">
        <f>VLOOKUP(K167,'[3]LGS Pa.'!$B$3:$C$16,2,FALSE)</f>
        <v>#N/A</v>
      </c>
      <c r="P167" s="144">
        <f>$J$3*Table44[[#This Row],[Soil stability2]]</f>
        <v>20</v>
      </c>
    </row>
    <row r="168" spans="3:16" ht="15">
      <c r="C168" s="81">
        <v>673500001</v>
      </c>
      <c r="D168" s="82" t="s">
        <v>285</v>
      </c>
      <c r="E168" s="84">
        <v>2</v>
      </c>
      <c r="H168" s="165"/>
      <c r="J168" s="144" t="s">
        <v>950</v>
      </c>
      <c r="M168" s="144" t="e">
        <f>VLOOKUP(I168,'[3]LGS Pa.'!$B$3:$C$16,2,FALSE)</f>
        <v>#N/A</v>
      </c>
      <c r="N168" s="144">
        <f>VLOOKUP(J168,'[3]LGS Pa.'!$B$3:$C$16,2,FALSE)</f>
        <v>2</v>
      </c>
      <c r="O168" s="144" t="e">
        <f>VLOOKUP(K168,'[3]LGS Pa.'!$B$3:$C$16,2,FALSE)</f>
        <v>#N/A</v>
      </c>
      <c r="P168" s="144">
        <f>$J$3*Table44[[#This Row],[Soil stability2]]</f>
        <v>20</v>
      </c>
    </row>
    <row r="169" spans="3:16" ht="15">
      <c r="C169" s="81">
        <v>673600001</v>
      </c>
      <c r="D169" s="82" t="s">
        <v>286</v>
      </c>
      <c r="E169" s="84">
        <v>2</v>
      </c>
      <c r="H169" s="165"/>
      <c r="J169" s="144" t="s">
        <v>950</v>
      </c>
      <c r="M169" s="144" t="e">
        <f>VLOOKUP(I169,'[3]LGS Pa.'!$B$3:$C$16,2,FALSE)</f>
        <v>#N/A</v>
      </c>
      <c r="N169" s="144">
        <f>VLOOKUP(J169,'[3]LGS Pa.'!$B$3:$C$16,2,FALSE)</f>
        <v>2</v>
      </c>
      <c r="O169" s="144" t="e">
        <f>VLOOKUP(K169,'[3]LGS Pa.'!$B$3:$C$16,2,FALSE)</f>
        <v>#N/A</v>
      </c>
      <c r="P169" s="144">
        <f>$J$3*Table44[[#This Row],[Soil stability2]]</f>
        <v>20</v>
      </c>
    </row>
    <row r="170" spans="3:16" ht="15">
      <c r="C170" s="81">
        <v>673700001</v>
      </c>
      <c r="D170" s="82" t="s">
        <v>287</v>
      </c>
      <c r="E170" s="84">
        <v>2</v>
      </c>
      <c r="H170" s="165"/>
      <c r="J170" s="144" t="s">
        <v>950</v>
      </c>
      <c r="M170" s="144" t="e">
        <f>VLOOKUP(I170,'[3]LGS Pa.'!$B$3:$C$16,2,FALSE)</f>
        <v>#N/A</v>
      </c>
      <c r="N170" s="144">
        <f>VLOOKUP(J170,'[3]LGS Pa.'!$B$3:$C$16,2,FALSE)</f>
        <v>2</v>
      </c>
      <c r="O170" s="144" t="e">
        <f>VLOOKUP(K170,'[3]LGS Pa.'!$B$3:$C$16,2,FALSE)</f>
        <v>#N/A</v>
      </c>
      <c r="P170" s="144">
        <f>$J$3*Table44[[#This Row],[Soil stability2]]</f>
        <v>20</v>
      </c>
    </row>
    <row r="171" spans="3:16" ht="15">
      <c r="C171" s="81">
        <v>674100001</v>
      </c>
      <c r="D171" s="82" t="s">
        <v>288</v>
      </c>
      <c r="E171" s="84">
        <v>2</v>
      </c>
      <c r="H171" s="165"/>
      <c r="J171" s="144" t="s">
        <v>950</v>
      </c>
      <c r="M171" s="144" t="e">
        <f>VLOOKUP(I171,'[3]LGS Pa.'!$B$3:$C$16,2,FALSE)</f>
        <v>#N/A</v>
      </c>
      <c r="N171" s="144">
        <f>VLOOKUP(J171,'[3]LGS Pa.'!$B$3:$C$16,2,FALSE)</f>
        <v>2</v>
      </c>
      <c r="O171" s="144" t="e">
        <f>VLOOKUP(K171,'[3]LGS Pa.'!$B$3:$C$16,2,FALSE)</f>
        <v>#N/A</v>
      </c>
      <c r="P171" s="144">
        <f>$J$3*Table44[[#This Row],[Soil stability2]]</f>
        <v>20</v>
      </c>
    </row>
    <row r="172" spans="3:16" ht="15">
      <c r="C172" s="81">
        <v>692110101</v>
      </c>
      <c r="D172" s="82" t="s">
        <v>712</v>
      </c>
      <c r="E172" s="84">
        <v>2</v>
      </c>
      <c r="H172" s="165"/>
      <c r="J172" s="144" t="s">
        <v>950</v>
      </c>
      <c r="M172" s="144" t="e">
        <f>VLOOKUP(I172,'[3]LGS Pa.'!$B$3:$C$16,2,FALSE)</f>
        <v>#N/A</v>
      </c>
      <c r="N172" s="144">
        <f>VLOOKUP(J172,'[3]LGS Pa.'!$B$3:$C$16,2,FALSE)</f>
        <v>2</v>
      </c>
      <c r="O172" s="144" t="e">
        <f>VLOOKUP(K172,'[3]LGS Pa.'!$B$3:$C$16,2,FALSE)</f>
        <v>#N/A</v>
      </c>
      <c r="P172" s="144">
        <f>$J$3*Table44[[#This Row],[Soil stability2]]</f>
        <v>20</v>
      </c>
    </row>
    <row r="173" spans="3:16" ht="15">
      <c r="C173" s="81">
        <v>692110103</v>
      </c>
      <c r="D173" s="82" t="s">
        <v>289</v>
      </c>
      <c r="E173" s="84">
        <v>2</v>
      </c>
      <c r="H173" s="165"/>
      <c r="J173" s="144" t="s">
        <v>950</v>
      </c>
      <c r="M173" s="144" t="e">
        <f>VLOOKUP(I173,'[3]LGS Pa.'!$B$3:$C$16,2,FALSE)</f>
        <v>#N/A</v>
      </c>
      <c r="N173" s="144">
        <f>VLOOKUP(J173,'[3]LGS Pa.'!$B$3:$C$16,2,FALSE)</f>
        <v>2</v>
      </c>
      <c r="O173" s="144" t="e">
        <f>VLOOKUP(K173,'[3]LGS Pa.'!$B$3:$C$16,2,FALSE)</f>
        <v>#N/A</v>
      </c>
      <c r="P173" s="144">
        <f>$J$3*Table44[[#This Row],[Soil stability2]]</f>
        <v>20</v>
      </c>
    </row>
    <row r="174" spans="3:16" ht="15">
      <c r="C174" s="118">
        <v>330</v>
      </c>
      <c r="D174" s="119" t="s">
        <v>290</v>
      </c>
      <c r="E174" s="117">
        <v>3</v>
      </c>
      <c r="H174" s="165"/>
      <c r="J174" s="144" t="s">
        <v>950</v>
      </c>
      <c r="M174" s="144" t="e">
        <f>VLOOKUP(I174,'[3]LGS Pa.'!$B$3:$C$16,2,FALSE)</f>
        <v>#N/A</v>
      </c>
      <c r="N174" s="144">
        <f>VLOOKUP(J174,'[3]LGS Pa.'!$B$3:$C$16,2,FALSE)</f>
        <v>2</v>
      </c>
      <c r="O174" s="144" t="e">
        <f>VLOOKUP(K174,'[3]LGS Pa.'!$B$3:$C$16,2,FALSE)</f>
        <v>#N/A</v>
      </c>
      <c r="P174" s="144">
        <f>$J$3*Table44[[#This Row],[Soil stability2]]</f>
        <v>20</v>
      </c>
    </row>
    <row r="175" spans="3:16" ht="15">
      <c r="C175" s="111">
        <v>330100002</v>
      </c>
      <c r="D175" s="112" t="s">
        <v>742</v>
      </c>
      <c r="E175" s="110">
        <v>3</v>
      </c>
      <c r="H175" s="165"/>
      <c r="J175" s="144" t="s">
        <v>950</v>
      </c>
      <c r="M175" s="144" t="e">
        <f>VLOOKUP(I175,'[3]LGS Pa.'!$B$3:$C$16,2,FALSE)</f>
        <v>#N/A</v>
      </c>
      <c r="N175" s="144">
        <f>VLOOKUP(J175,'[3]LGS Pa.'!$B$3:$C$16,2,FALSE)</f>
        <v>2</v>
      </c>
      <c r="O175" s="144" t="e">
        <f>VLOOKUP(K175,'[3]LGS Pa.'!$B$3:$C$16,2,FALSE)</f>
        <v>#N/A</v>
      </c>
      <c r="P175" s="144">
        <f>$J$3*Table44[[#This Row],[Soil stability2]]</f>
        <v>20</v>
      </c>
    </row>
    <row r="176" spans="3:16" ht="15">
      <c r="C176" s="81">
        <v>330100003</v>
      </c>
      <c r="D176" s="82" t="s">
        <v>750</v>
      </c>
      <c r="E176" s="80">
        <v>3</v>
      </c>
      <c r="H176" s="165"/>
      <c r="J176" s="144" t="s">
        <v>950</v>
      </c>
      <c r="M176" s="144" t="e">
        <f>VLOOKUP(I176,'[3]LGS Pa.'!$B$3:$C$16,2,FALSE)</f>
        <v>#N/A</v>
      </c>
      <c r="N176" s="144">
        <f>VLOOKUP(J176,'[3]LGS Pa.'!$B$3:$C$16,2,FALSE)</f>
        <v>2</v>
      </c>
      <c r="O176" s="144" t="e">
        <f>VLOOKUP(K176,'[3]LGS Pa.'!$B$3:$C$16,2,FALSE)</f>
        <v>#N/A</v>
      </c>
      <c r="P176" s="144">
        <f>$J$3*Table44[[#This Row],[Soil stability2]]</f>
        <v>20</v>
      </c>
    </row>
    <row r="177" spans="3:16" ht="15">
      <c r="C177" s="81">
        <v>33010009</v>
      </c>
      <c r="D177" s="82" t="s">
        <v>769</v>
      </c>
      <c r="E177" s="80">
        <v>3</v>
      </c>
      <c r="H177" s="165"/>
      <c r="J177" s="144" t="s">
        <v>950</v>
      </c>
      <c r="M177" s="144" t="e">
        <f>VLOOKUP(I177,'[3]LGS Pa.'!$B$3:$C$16,2,FALSE)</f>
        <v>#N/A</v>
      </c>
      <c r="N177" s="144">
        <f>VLOOKUP(J177,'[3]LGS Pa.'!$B$3:$C$16,2,FALSE)</f>
        <v>2</v>
      </c>
      <c r="O177" s="144" t="e">
        <f>VLOOKUP(K177,'[3]LGS Pa.'!$B$3:$C$16,2,FALSE)</f>
        <v>#N/A</v>
      </c>
      <c r="P177" s="144">
        <f>$J$3*Table44[[#This Row],[Soil stability2]]</f>
        <v>20</v>
      </c>
    </row>
    <row r="178" spans="3:16" ht="15">
      <c r="C178" s="88">
        <v>330200002</v>
      </c>
      <c r="D178" s="82" t="s">
        <v>727</v>
      </c>
      <c r="E178" s="87">
        <v>3</v>
      </c>
      <c r="H178" s="165"/>
      <c r="J178" s="144" t="s">
        <v>950</v>
      </c>
      <c r="M178" s="144" t="e">
        <f>VLOOKUP(I178,'[3]LGS Pa.'!$B$3:$C$16,2,FALSE)</f>
        <v>#N/A</v>
      </c>
      <c r="N178" s="144">
        <f>VLOOKUP(J178,'[3]LGS Pa.'!$B$3:$C$16,2,FALSE)</f>
        <v>2</v>
      </c>
      <c r="O178" s="144" t="e">
        <f>VLOOKUP(K178,'[3]LGS Pa.'!$B$3:$C$16,2,FALSE)</f>
        <v>#N/A</v>
      </c>
      <c r="P178" s="144">
        <f>$J$3*Table44[[#This Row],[Soil stability2]]</f>
        <v>20</v>
      </c>
    </row>
    <row r="179" spans="3:16" ht="15">
      <c r="C179" s="81">
        <v>330300001</v>
      </c>
      <c r="D179" s="82" t="s">
        <v>733</v>
      </c>
      <c r="E179" s="80">
        <v>3</v>
      </c>
      <c r="H179" s="165"/>
      <c r="J179" s="144" t="s">
        <v>950</v>
      </c>
      <c r="M179" s="144" t="e">
        <f>VLOOKUP(I179,'[3]LGS Pa.'!$B$3:$C$16,2,FALSE)</f>
        <v>#N/A</v>
      </c>
      <c r="N179" s="144">
        <f>VLOOKUP(J179,'[3]LGS Pa.'!$B$3:$C$16,2,FALSE)</f>
        <v>2</v>
      </c>
      <c r="O179" s="144" t="e">
        <f>VLOOKUP(K179,'[3]LGS Pa.'!$B$3:$C$16,2,FALSE)</f>
        <v>#N/A</v>
      </c>
      <c r="P179" s="144">
        <f>$J$3*Table44[[#This Row],[Soil stability2]]</f>
        <v>20</v>
      </c>
    </row>
    <row r="180" spans="3:16" ht="15">
      <c r="C180" s="81">
        <v>330300001</v>
      </c>
      <c r="D180" s="82" t="s">
        <v>734</v>
      </c>
      <c r="E180" s="80">
        <v>3</v>
      </c>
      <c r="H180" s="165"/>
      <c r="J180" s="144" t="s">
        <v>950</v>
      </c>
      <c r="M180" s="144" t="e">
        <f>VLOOKUP(I180,'[3]LGS Pa.'!$B$3:$C$16,2,FALSE)</f>
        <v>#N/A</v>
      </c>
      <c r="N180" s="144">
        <f>VLOOKUP(J180,'[3]LGS Pa.'!$B$3:$C$16,2,FALSE)</f>
        <v>2</v>
      </c>
      <c r="O180" s="144" t="e">
        <f>VLOOKUP(K180,'[3]LGS Pa.'!$B$3:$C$16,2,FALSE)</f>
        <v>#N/A</v>
      </c>
      <c r="P180" s="144">
        <f>$J$3*Table44[[#This Row],[Soil stability2]]</f>
        <v>20</v>
      </c>
    </row>
    <row r="181" spans="3:16" ht="15">
      <c r="C181" s="111">
        <v>330400008</v>
      </c>
      <c r="D181" s="112" t="s">
        <v>729</v>
      </c>
      <c r="E181" s="110">
        <v>3</v>
      </c>
      <c r="H181" s="165"/>
      <c r="J181" s="144" t="s">
        <v>950</v>
      </c>
      <c r="M181" s="144" t="e">
        <f>VLOOKUP(I181,'[3]LGS Pa.'!$B$3:$C$16,2,FALSE)</f>
        <v>#N/A</v>
      </c>
      <c r="N181" s="144">
        <f>VLOOKUP(J181,'[3]LGS Pa.'!$B$3:$C$16,2,FALSE)</f>
        <v>2</v>
      </c>
      <c r="O181" s="144" t="e">
        <f>VLOOKUP(K181,'[3]LGS Pa.'!$B$3:$C$16,2,FALSE)</f>
        <v>#N/A</v>
      </c>
      <c r="P181" s="144">
        <f>$J$3*Table44[[#This Row],[Soil stability2]]</f>
        <v>20</v>
      </c>
    </row>
    <row r="182" spans="3:16" ht="15">
      <c r="C182" s="111">
        <v>330500001</v>
      </c>
      <c r="D182" s="112" t="s">
        <v>738</v>
      </c>
      <c r="E182" s="110">
        <v>3</v>
      </c>
      <c r="H182" s="165"/>
      <c r="J182" s="144" t="s">
        <v>950</v>
      </c>
      <c r="M182" s="144" t="e">
        <f>VLOOKUP(I182,'[3]LGS Pa.'!$B$3:$C$16,2,FALSE)</f>
        <v>#N/A</v>
      </c>
      <c r="N182" s="144">
        <f>VLOOKUP(J182,'[3]LGS Pa.'!$B$3:$C$16,2,FALSE)</f>
        <v>2</v>
      </c>
      <c r="O182" s="144" t="e">
        <f>VLOOKUP(K182,'[3]LGS Pa.'!$B$3:$C$16,2,FALSE)</f>
        <v>#N/A</v>
      </c>
      <c r="P182" s="144">
        <f>$J$3*Table44[[#This Row],[Soil stability2]]</f>
        <v>20</v>
      </c>
    </row>
    <row r="183" spans="3:16" ht="15">
      <c r="C183" s="81">
        <v>33050002</v>
      </c>
      <c r="D183" s="82" t="s">
        <v>765</v>
      </c>
      <c r="E183" s="80">
        <v>3</v>
      </c>
      <c r="H183" s="165"/>
      <c r="J183" s="144" t="s">
        <v>950</v>
      </c>
      <c r="M183" s="144" t="e">
        <f>VLOOKUP(I183,'[3]LGS Pa.'!$B$3:$C$16,2,FALSE)</f>
        <v>#N/A</v>
      </c>
      <c r="N183" s="144">
        <f>VLOOKUP(J183,'[3]LGS Pa.'!$B$3:$C$16,2,FALSE)</f>
        <v>2</v>
      </c>
      <c r="O183" s="144" t="e">
        <f>VLOOKUP(K183,'[3]LGS Pa.'!$B$3:$C$16,2,FALSE)</f>
        <v>#N/A</v>
      </c>
      <c r="P183" s="144">
        <f>$J$3*Table44[[#This Row],[Soil stability2]]</f>
        <v>20</v>
      </c>
    </row>
    <row r="184" spans="3:16" ht="15">
      <c r="C184" s="111">
        <v>330500001</v>
      </c>
      <c r="D184" s="112" t="s">
        <v>760</v>
      </c>
      <c r="E184" s="110">
        <v>3</v>
      </c>
      <c r="H184" s="165"/>
      <c r="J184" s="144" t="s">
        <v>950</v>
      </c>
      <c r="M184" s="144" t="e">
        <f>VLOOKUP(I184,'[3]LGS Pa.'!$B$3:$C$16,2,FALSE)</f>
        <v>#N/A</v>
      </c>
      <c r="N184" s="144">
        <f>VLOOKUP(J184,'[3]LGS Pa.'!$B$3:$C$16,2,FALSE)</f>
        <v>2</v>
      </c>
      <c r="O184" s="144" t="e">
        <f>VLOOKUP(K184,'[3]LGS Pa.'!$B$3:$C$16,2,FALSE)</f>
        <v>#N/A</v>
      </c>
      <c r="P184" s="144">
        <f>$J$3*Table44[[#This Row],[Soil stability2]]</f>
        <v>20</v>
      </c>
    </row>
    <row r="185" spans="3:16" ht="15">
      <c r="C185" s="111">
        <v>330500004</v>
      </c>
      <c r="D185" s="112" t="s">
        <v>736</v>
      </c>
      <c r="E185" s="110">
        <v>3</v>
      </c>
      <c r="H185" s="165"/>
      <c r="J185" s="144" t="s">
        <v>950</v>
      </c>
      <c r="M185" s="144" t="e">
        <f>VLOOKUP(I185,'[3]LGS Pa.'!$B$3:$C$16,2,FALSE)</f>
        <v>#N/A</v>
      </c>
      <c r="N185" s="144">
        <f>VLOOKUP(J185,'[3]LGS Pa.'!$B$3:$C$16,2,FALSE)</f>
        <v>2</v>
      </c>
      <c r="O185" s="144" t="e">
        <f>VLOOKUP(K185,'[3]LGS Pa.'!$B$3:$C$16,2,FALSE)</f>
        <v>#N/A</v>
      </c>
      <c r="P185" s="144">
        <f>$J$3*Table44[[#This Row],[Soil stability2]]</f>
        <v>20</v>
      </c>
    </row>
    <row r="186" spans="3:16" ht="15">
      <c r="C186" s="111">
        <v>330500003</v>
      </c>
      <c r="D186" s="112" t="s">
        <v>740</v>
      </c>
      <c r="E186" s="110">
        <v>3</v>
      </c>
      <c r="H186" s="165"/>
      <c r="J186" s="144" t="s">
        <v>950</v>
      </c>
      <c r="M186" s="144" t="e">
        <f>VLOOKUP(I186,'[3]LGS Pa.'!$B$3:$C$16,2,FALSE)</f>
        <v>#N/A</v>
      </c>
      <c r="N186" s="144">
        <f>VLOOKUP(J186,'[3]LGS Pa.'!$B$3:$C$16,2,FALSE)</f>
        <v>2</v>
      </c>
      <c r="O186" s="144" t="e">
        <f>VLOOKUP(K186,'[3]LGS Pa.'!$B$3:$C$16,2,FALSE)</f>
        <v>#N/A</v>
      </c>
      <c r="P186" s="144">
        <f>$J$3*Table44[[#This Row],[Soil stability2]]</f>
        <v>20</v>
      </c>
    </row>
    <row r="187" spans="3:16" ht="15">
      <c r="C187" s="81">
        <v>330500007</v>
      </c>
      <c r="D187" s="82" t="s">
        <v>731</v>
      </c>
      <c r="E187" s="80">
        <v>3</v>
      </c>
      <c r="H187" s="165"/>
      <c r="J187" s="144" t="s">
        <v>950</v>
      </c>
      <c r="M187" s="144" t="e">
        <f>VLOOKUP(I187,'[3]LGS Pa.'!$B$3:$C$16,2,FALSE)</f>
        <v>#N/A</v>
      </c>
      <c r="N187" s="144">
        <f>VLOOKUP(J187,'[3]LGS Pa.'!$B$3:$C$16,2,FALSE)</f>
        <v>2</v>
      </c>
      <c r="O187" s="144" t="e">
        <f>VLOOKUP(K187,'[3]LGS Pa.'!$B$3:$C$16,2,FALSE)</f>
        <v>#N/A</v>
      </c>
      <c r="P187" s="144">
        <f>$J$3*Table44[[#This Row],[Soil stability2]]</f>
        <v>20</v>
      </c>
    </row>
    <row r="188" spans="3:16" ht="15">
      <c r="C188" s="81">
        <v>330500008</v>
      </c>
      <c r="D188" s="82" t="s">
        <v>744</v>
      </c>
      <c r="E188" s="80">
        <v>3</v>
      </c>
      <c r="H188" s="165"/>
      <c r="J188" s="144" t="s">
        <v>950</v>
      </c>
      <c r="M188" s="144" t="e">
        <f>VLOOKUP(I188,'[3]LGS Pa.'!$B$3:$C$16,2,FALSE)</f>
        <v>#N/A</v>
      </c>
      <c r="N188" s="144">
        <f>VLOOKUP(J188,'[3]LGS Pa.'!$B$3:$C$16,2,FALSE)</f>
        <v>2</v>
      </c>
      <c r="O188" s="144" t="e">
        <f>VLOOKUP(K188,'[3]LGS Pa.'!$B$3:$C$16,2,FALSE)</f>
        <v>#N/A</v>
      </c>
      <c r="P188" s="144">
        <f>$J$3*Table44[[#This Row],[Soil stability2]]</f>
        <v>20</v>
      </c>
    </row>
    <row r="189" spans="3:16" ht="15">
      <c r="C189" s="81">
        <v>330500012</v>
      </c>
      <c r="D189" s="82" t="s">
        <v>748</v>
      </c>
      <c r="E189" s="80">
        <v>3</v>
      </c>
      <c r="H189" s="165"/>
      <c r="J189" s="144" t="s">
        <v>950</v>
      </c>
      <c r="M189" s="144" t="e">
        <f>VLOOKUP(I189,'[3]LGS Pa.'!$B$3:$C$16,2,FALSE)</f>
        <v>#N/A</v>
      </c>
      <c r="N189" s="144">
        <f>VLOOKUP(J189,'[3]LGS Pa.'!$B$3:$C$16,2,FALSE)</f>
        <v>2</v>
      </c>
      <c r="O189" s="144" t="e">
        <f>VLOOKUP(K189,'[3]LGS Pa.'!$B$3:$C$16,2,FALSE)</f>
        <v>#N/A</v>
      </c>
      <c r="P189" s="144">
        <f>$J$3*Table44[[#This Row],[Soil stability2]]</f>
        <v>20</v>
      </c>
    </row>
    <row r="190" spans="3:16" ht="15">
      <c r="C190" s="81">
        <v>330600002</v>
      </c>
      <c r="D190" s="82" t="s">
        <v>755</v>
      </c>
      <c r="E190" s="80">
        <v>3</v>
      </c>
      <c r="H190" s="165"/>
      <c r="J190" s="144" t="s">
        <v>950</v>
      </c>
      <c r="M190" s="144" t="e">
        <f>VLOOKUP(I190,'[3]LGS Pa.'!$B$3:$C$16,2,FALSE)</f>
        <v>#N/A</v>
      </c>
      <c r="N190" s="144">
        <f>VLOOKUP(J190,'[3]LGS Pa.'!$B$3:$C$16,2,FALSE)</f>
        <v>2</v>
      </c>
      <c r="O190" s="144" t="e">
        <f>VLOOKUP(K190,'[3]LGS Pa.'!$B$3:$C$16,2,FALSE)</f>
        <v>#N/A</v>
      </c>
      <c r="P190" s="144">
        <f>$J$3*Table44[[#This Row],[Soil stability2]]</f>
        <v>20</v>
      </c>
    </row>
    <row r="191" spans="3:16" ht="15">
      <c r="C191" s="81">
        <v>330600003</v>
      </c>
      <c r="D191" s="82" t="s">
        <v>752</v>
      </c>
      <c r="E191" s="80">
        <v>3</v>
      </c>
      <c r="H191" s="165"/>
      <c r="J191" s="144" t="s">
        <v>950</v>
      </c>
      <c r="M191" s="144" t="e">
        <f>VLOOKUP(I191,'[3]LGS Pa.'!$B$3:$C$16,2,FALSE)</f>
        <v>#N/A</v>
      </c>
      <c r="N191" s="144">
        <f>VLOOKUP(J191,'[3]LGS Pa.'!$B$3:$C$16,2,FALSE)</f>
        <v>2</v>
      </c>
      <c r="O191" s="144" t="e">
        <f>VLOOKUP(K191,'[3]LGS Pa.'!$B$3:$C$16,2,FALSE)</f>
        <v>#N/A</v>
      </c>
      <c r="P191" s="144">
        <f>$J$3*Table44[[#This Row],[Soil stability2]]</f>
        <v>20</v>
      </c>
    </row>
    <row r="192" spans="3:16" ht="15">
      <c r="C192" s="81">
        <v>430</v>
      </c>
      <c r="D192" s="82" t="s">
        <v>291</v>
      </c>
      <c r="E192" s="84">
        <v>3</v>
      </c>
      <c r="H192" s="165"/>
      <c r="J192" s="144" t="s">
        <v>950</v>
      </c>
      <c r="M192" s="144" t="e">
        <f>VLOOKUP(I192,'[3]LGS Pa.'!$B$3:$C$16,2,FALSE)</f>
        <v>#N/A</v>
      </c>
      <c r="N192" s="144">
        <f>VLOOKUP(J192,'[3]LGS Pa.'!$B$3:$C$16,2,FALSE)</f>
        <v>2</v>
      </c>
      <c r="O192" s="144" t="e">
        <f>VLOOKUP(K192,'[3]LGS Pa.'!$B$3:$C$16,2,FALSE)</f>
        <v>#N/A</v>
      </c>
      <c r="P192" s="144">
        <f>$J$3*Table44[[#This Row],[Soil stability2]]</f>
        <v>20</v>
      </c>
    </row>
    <row r="193" spans="3:16" ht="15">
      <c r="C193" s="81">
        <v>3402</v>
      </c>
      <c r="D193" s="82" t="s">
        <v>292</v>
      </c>
      <c r="E193" s="84">
        <v>3</v>
      </c>
      <c r="H193" s="165"/>
      <c r="J193" s="144" t="s">
        <v>950</v>
      </c>
      <c r="M193" s="144" t="e">
        <f>VLOOKUP(I193,'[3]LGS Pa.'!$B$3:$C$16,2,FALSE)</f>
        <v>#N/A</v>
      </c>
      <c r="N193" s="144">
        <f>VLOOKUP(J193,'[3]LGS Pa.'!$B$3:$C$16,2,FALSE)</f>
        <v>2</v>
      </c>
      <c r="O193" s="144" t="e">
        <f>VLOOKUP(K193,'[3]LGS Pa.'!$B$3:$C$16,2,FALSE)</f>
        <v>#N/A</v>
      </c>
      <c r="P193" s="144">
        <f>$J$3*Table44[[#This Row],[Soil stability2]]</f>
        <v>20</v>
      </c>
    </row>
    <row r="194" spans="3:16" ht="15">
      <c r="C194" s="81">
        <v>340300002</v>
      </c>
      <c r="D194" s="82" t="s">
        <v>746</v>
      </c>
      <c r="E194" s="80">
        <v>3</v>
      </c>
      <c r="H194" s="165"/>
      <c r="J194" s="144" t="s">
        <v>950</v>
      </c>
      <c r="M194" s="144" t="e">
        <f>VLOOKUP(I194,'[3]LGS Pa.'!$B$3:$C$16,2,FALSE)</f>
        <v>#N/A</v>
      </c>
      <c r="N194" s="144">
        <f>VLOOKUP(J194,'[3]LGS Pa.'!$B$3:$C$16,2,FALSE)</f>
        <v>2</v>
      </c>
      <c r="O194" s="144" t="e">
        <f>VLOOKUP(K194,'[3]LGS Pa.'!$B$3:$C$16,2,FALSE)</f>
        <v>#N/A</v>
      </c>
      <c r="P194" s="144">
        <f>$J$3*Table44[[#This Row],[Soil stability2]]</f>
        <v>20</v>
      </c>
    </row>
    <row r="195" spans="3:16" ht="15">
      <c r="C195" s="81">
        <v>4014</v>
      </c>
      <c r="D195" s="82" t="s">
        <v>293</v>
      </c>
      <c r="E195" s="84">
        <v>3</v>
      </c>
      <c r="H195" s="165"/>
      <c r="J195" s="144" t="s">
        <v>950</v>
      </c>
      <c r="M195" s="144" t="e">
        <f>VLOOKUP(I195,'[3]LGS Pa.'!$B$3:$C$16,2,FALSE)</f>
        <v>#N/A</v>
      </c>
      <c r="N195" s="144">
        <f>VLOOKUP(J195,'[3]LGS Pa.'!$B$3:$C$16,2,FALSE)</f>
        <v>2</v>
      </c>
      <c r="O195" s="144" t="e">
        <f>VLOOKUP(K195,'[3]LGS Pa.'!$B$3:$C$16,2,FALSE)</f>
        <v>#N/A</v>
      </c>
      <c r="P195" s="144">
        <f>$J$3*Table44[[#This Row],[Soil stability2]]</f>
        <v>20</v>
      </c>
    </row>
    <row r="196" spans="3:16" ht="15">
      <c r="C196" s="81">
        <v>40112</v>
      </c>
      <c r="D196" s="82" t="s">
        <v>294</v>
      </c>
      <c r="E196" s="84">
        <v>3</v>
      </c>
      <c r="H196" s="165"/>
      <c r="J196" s="144" t="s">
        <v>950</v>
      </c>
      <c r="M196" s="144" t="e">
        <f>VLOOKUP(I196,'[3]LGS Pa.'!$B$3:$C$16,2,FALSE)</f>
        <v>#N/A</v>
      </c>
      <c r="N196" s="144">
        <f>VLOOKUP(J196,'[3]LGS Pa.'!$B$3:$C$16,2,FALSE)</f>
        <v>2</v>
      </c>
      <c r="O196" s="144" t="e">
        <f>VLOOKUP(K196,'[3]LGS Pa.'!$B$3:$C$16,2,FALSE)</f>
        <v>#N/A</v>
      </c>
      <c r="P196" s="144">
        <f>$J$3*Table44[[#This Row],[Soil stability2]]</f>
        <v>20</v>
      </c>
    </row>
    <row r="197" spans="3:16" ht="15">
      <c r="C197" s="81">
        <v>40321</v>
      </c>
      <c r="D197" s="82" t="s">
        <v>295</v>
      </c>
      <c r="E197" s="84">
        <v>3</v>
      </c>
      <c r="H197" s="165"/>
      <c r="J197" s="144" t="s">
        <v>950</v>
      </c>
      <c r="M197" s="144" t="e">
        <f>VLOOKUP(I197,'[3]LGS Pa.'!$B$3:$C$16,2,FALSE)</f>
        <v>#N/A</v>
      </c>
      <c r="N197" s="144">
        <f>VLOOKUP(J197,'[3]LGS Pa.'!$B$3:$C$16,2,FALSE)</f>
        <v>2</v>
      </c>
      <c r="O197" s="144" t="e">
        <f>VLOOKUP(K197,'[3]LGS Pa.'!$B$3:$C$16,2,FALSE)</f>
        <v>#N/A</v>
      </c>
      <c r="P197" s="144">
        <f>$J$3*Table44[[#This Row],[Soil stability2]]</f>
        <v>20</v>
      </c>
    </row>
    <row r="198" spans="3:16" ht="25.5">
      <c r="C198" s="118">
        <v>560201</v>
      </c>
      <c r="D198" s="119" t="s">
        <v>296</v>
      </c>
      <c r="E198" s="117">
        <v>3</v>
      </c>
      <c r="H198" s="165"/>
      <c r="J198" s="144" t="s">
        <v>950</v>
      </c>
      <c r="M198" s="144" t="e">
        <f>VLOOKUP(I198,'[3]LGS Pa.'!$B$3:$C$16,2,FALSE)</f>
        <v>#N/A</v>
      </c>
      <c r="N198" s="144">
        <f>VLOOKUP(J198,'[3]LGS Pa.'!$B$3:$C$16,2,FALSE)</f>
        <v>2</v>
      </c>
      <c r="O198" s="144" t="e">
        <f>VLOOKUP(K198,'[3]LGS Pa.'!$B$3:$C$16,2,FALSE)</f>
        <v>#N/A</v>
      </c>
      <c r="P198" s="144">
        <f>$J$3*Table44[[#This Row],[Soil stability2]]</f>
        <v>20</v>
      </c>
    </row>
    <row r="199" spans="3:16" ht="25.5">
      <c r="C199" s="81">
        <v>561201</v>
      </c>
      <c r="D199" s="82" t="s">
        <v>297</v>
      </c>
      <c r="E199" s="84">
        <v>3</v>
      </c>
      <c r="H199" s="165"/>
      <c r="J199" s="144" t="s">
        <v>950</v>
      </c>
      <c r="M199" s="144" t="e">
        <f>VLOOKUP(I199,'[3]LGS Pa.'!$B$3:$C$16,2,FALSE)</f>
        <v>#N/A</v>
      </c>
      <c r="N199" s="144">
        <f>VLOOKUP(J199,'[3]LGS Pa.'!$B$3:$C$16,2,FALSE)</f>
        <v>2</v>
      </c>
      <c r="O199" s="144" t="e">
        <f>VLOOKUP(K199,'[3]LGS Pa.'!$B$3:$C$16,2,FALSE)</f>
        <v>#N/A</v>
      </c>
      <c r="P199" s="144">
        <f>$J$3*Table44[[#This Row],[Soil stability2]]</f>
        <v>20</v>
      </c>
    </row>
    <row r="200" spans="3:16" ht="15">
      <c r="C200" s="81">
        <v>6402106</v>
      </c>
      <c r="D200" s="82" t="s">
        <v>763</v>
      </c>
      <c r="E200" s="80">
        <v>3</v>
      </c>
      <c r="H200" s="165"/>
      <c r="J200" s="144" t="s">
        <v>950</v>
      </c>
      <c r="M200" s="144" t="e">
        <f>VLOOKUP(I200,'[3]LGS Pa.'!$B$3:$C$16,2,FALSE)</f>
        <v>#N/A</v>
      </c>
      <c r="N200" s="144">
        <f>VLOOKUP(J200,'[3]LGS Pa.'!$B$3:$C$16,2,FALSE)</f>
        <v>2</v>
      </c>
      <c r="O200" s="144" t="e">
        <f>VLOOKUP(K200,'[3]LGS Pa.'!$B$3:$C$16,2,FALSE)</f>
        <v>#N/A</v>
      </c>
      <c r="P200" s="144">
        <f>$J$3*Table44[[#This Row],[Soil stability2]]</f>
        <v>20</v>
      </c>
    </row>
    <row r="201" spans="3:16" ht="15">
      <c r="C201" s="118">
        <v>3402101</v>
      </c>
      <c r="D201" s="119" t="s">
        <v>298</v>
      </c>
      <c r="E201" s="117">
        <v>3</v>
      </c>
      <c r="H201" s="165"/>
      <c r="J201" s="144" t="s">
        <v>950</v>
      </c>
      <c r="M201" s="144" t="e">
        <f>VLOOKUP(I201,'[3]LGS Pa.'!$B$3:$C$16,2,FALSE)</f>
        <v>#N/A</v>
      </c>
      <c r="N201" s="144">
        <f>VLOOKUP(J201,'[3]LGS Pa.'!$B$3:$C$16,2,FALSE)</f>
        <v>2</v>
      </c>
      <c r="O201" s="144" t="e">
        <f>VLOOKUP(K201,'[3]LGS Pa.'!$B$3:$C$16,2,FALSE)</f>
        <v>#N/A</v>
      </c>
      <c r="P201" s="144">
        <f>$J$3*Table44[[#This Row],[Soil stability2]]</f>
        <v>20</v>
      </c>
    </row>
    <row r="202" spans="3:16" ht="15">
      <c r="C202" s="81">
        <v>3402102</v>
      </c>
      <c r="D202" s="82" t="s">
        <v>299</v>
      </c>
      <c r="E202" s="84">
        <v>3</v>
      </c>
      <c r="H202" s="165"/>
      <c r="J202" s="144" t="s">
        <v>950</v>
      </c>
      <c r="M202" s="144" t="e">
        <f>VLOOKUP(I202,'[3]LGS Pa.'!$B$3:$C$16,2,FALSE)</f>
        <v>#N/A</v>
      </c>
      <c r="N202" s="144">
        <f>VLOOKUP(J202,'[3]LGS Pa.'!$B$3:$C$16,2,FALSE)</f>
        <v>2</v>
      </c>
      <c r="O202" s="144" t="e">
        <f>VLOOKUP(K202,'[3]LGS Pa.'!$B$3:$C$16,2,FALSE)</f>
        <v>#N/A</v>
      </c>
      <c r="P202" s="144">
        <f>$J$3*Table44[[#This Row],[Soil stability2]]</f>
        <v>20</v>
      </c>
    </row>
    <row r="203" spans="3:16" ht="15">
      <c r="C203" s="118">
        <v>3402103</v>
      </c>
      <c r="D203" s="119" t="s">
        <v>300</v>
      </c>
      <c r="E203" s="117">
        <v>3</v>
      </c>
      <c r="H203" s="165"/>
      <c r="J203" s="144" t="s">
        <v>950</v>
      </c>
      <c r="M203" s="144" t="e">
        <f>VLOOKUP(I203,'[3]LGS Pa.'!$B$3:$C$16,2,FALSE)</f>
        <v>#N/A</v>
      </c>
      <c r="N203" s="144">
        <f>VLOOKUP(J203,'[3]LGS Pa.'!$B$3:$C$16,2,FALSE)</f>
        <v>2</v>
      </c>
      <c r="O203" s="144" t="e">
        <f>VLOOKUP(K203,'[3]LGS Pa.'!$B$3:$C$16,2,FALSE)</f>
        <v>#N/A</v>
      </c>
      <c r="P203" s="144">
        <f>$J$3*Table44[[#This Row],[Soil stability2]]</f>
        <v>20</v>
      </c>
    </row>
    <row r="204" spans="3:16" ht="15">
      <c r="C204" s="81">
        <v>3402104</v>
      </c>
      <c r="D204" s="82" t="s">
        <v>301</v>
      </c>
      <c r="E204" s="84">
        <v>3</v>
      </c>
      <c r="H204" s="165"/>
      <c r="J204" s="144" t="s">
        <v>950</v>
      </c>
      <c r="M204" s="144" t="e">
        <f>VLOOKUP(I204,'[3]LGS Pa.'!$B$3:$C$16,2,FALSE)</f>
        <v>#N/A</v>
      </c>
      <c r="N204" s="144">
        <f>VLOOKUP(J204,'[3]LGS Pa.'!$B$3:$C$16,2,FALSE)</f>
        <v>2</v>
      </c>
      <c r="O204" s="144" t="e">
        <f>VLOOKUP(K204,'[3]LGS Pa.'!$B$3:$C$16,2,FALSE)</f>
        <v>#N/A</v>
      </c>
      <c r="P204" s="144">
        <f>$J$3*Table44[[#This Row],[Soil stability2]]</f>
        <v>20</v>
      </c>
    </row>
    <row r="205" spans="3:16" ht="15">
      <c r="C205" s="81">
        <v>3402105</v>
      </c>
      <c r="D205" s="82" t="s">
        <v>761</v>
      </c>
      <c r="E205" s="84">
        <v>3</v>
      </c>
      <c r="H205" s="165"/>
      <c r="J205" s="144" t="s">
        <v>950</v>
      </c>
      <c r="M205" s="144" t="e">
        <f>VLOOKUP(I205,'[3]LGS Pa.'!$B$3:$C$16,2,FALSE)</f>
        <v>#N/A</v>
      </c>
      <c r="N205" s="144">
        <f>VLOOKUP(J205,'[3]LGS Pa.'!$B$3:$C$16,2,FALSE)</f>
        <v>2</v>
      </c>
      <c r="O205" s="144" t="e">
        <f>VLOOKUP(K205,'[3]LGS Pa.'!$B$3:$C$16,2,FALSE)</f>
        <v>#N/A</v>
      </c>
      <c r="P205" s="144">
        <f>$J$3*Table44[[#This Row],[Soil stability2]]</f>
        <v>20</v>
      </c>
    </row>
    <row r="206" spans="3:16" ht="15">
      <c r="C206" s="118">
        <v>3402106</v>
      </c>
      <c r="D206" s="119" t="s">
        <v>302</v>
      </c>
      <c r="E206" s="117">
        <v>3</v>
      </c>
      <c r="H206" s="165"/>
      <c r="J206" s="144" t="s">
        <v>950</v>
      </c>
      <c r="M206" s="144" t="e">
        <f>VLOOKUP(I206,'[3]LGS Pa.'!$B$3:$C$16,2,FALSE)</f>
        <v>#N/A</v>
      </c>
      <c r="N206" s="144">
        <f>VLOOKUP(J206,'[3]LGS Pa.'!$B$3:$C$16,2,FALSE)</f>
        <v>2</v>
      </c>
      <c r="O206" s="144" t="e">
        <f>VLOOKUP(K206,'[3]LGS Pa.'!$B$3:$C$16,2,FALSE)</f>
        <v>#N/A</v>
      </c>
      <c r="P206" s="144">
        <f>$J$3*Table44[[#This Row],[Soil stability2]]</f>
        <v>20</v>
      </c>
    </row>
    <row r="207" spans="3:16" ht="15">
      <c r="C207" s="81">
        <v>4032201</v>
      </c>
      <c r="D207" s="82" t="s">
        <v>303</v>
      </c>
      <c r="E207" s="84">
        <v>3</v>
      </c>
      <c r="H207" s="165"/>
      <c r="J207" s="144" t="s">
        <v>950</v>
      </c>
      <c r="M207" s="144" t="e">
        <f>VLOOKUP(I207,'[3]LGS Pa.'!$B$3:$C$16,2,FALSE)</f>
        <v>#N/A</v>
      </c>
      <c r="N207" s="144">
        <f>VLOOKUP(J207,'[3]LGS Pa.'!$B$3:$C$16,2,FALSE)</f>
        <v>2</v>
      </c>
      <c r="O207" s="144" t="e">
        <f>VLOOKUP(K207,'[3]LGS Pa.'!$B$3:$C$16,2,FALSE)</f>
        <v>#N/A</v>
      </c>
      <c r="P207" s="144">
        <f>$J$3*Table44[[#This Row],[Soil stability2]]</f>
        <v>20</v>
      </c>
    </row>
    <row r="208" spans="3:16" ht="15">
      <c r="C208" s="81">
        <v>330800104</v>
      </c>
      <c r="D208" s="82" t="s">
        <v>304</v>
      </c>
      <c r="E208" s="80">
        <v>3</v>
      </c>
      <c r="H208" s="165"/>
      <c r="J208" s="144" t="s">
        <v>950</v>
      </c>
      <c r="M208" s="144" t="e">
        <f>VLOOKUP(I208,'[3]LGS Pa.'!$B$3:$C$16,2,FALSE)</f>
        <v>#N/A</v>
      </c>
      <c r="N208" s="144">
        <f>VLOOKUP(J208,'[3]LGS Pa.'!$B$3:$C$16,2,FALSE)</f>
        <v>2</v>
      </c>
      <c r="O208" s="144" t="e">
        <f>VLOOKUP(K208,'[3]LGS Pa.'!$B$3:$C$16,2,FALSE)</f>
        <v>#N/A</v>
      </c>
      <c r="P208" s="144">
        <f>$J$3*Table44[[#This Row],[Soil stability2]]</f>
        <v>20</v>
      </c>
    </row>
    <row r="209" spans="3:16" ht="15">
      <c r="C209" s="88">
        <v>33081004</v>
      </c>
      <c r="D209" s="89" t="s">
        <v>304</v>
      </c>
      <c r="E209" s="87">
        <v>3</v>
      </c>
      <c r="H209" s="165"/>
      <c r="J209" s="144" t="s">
        <v>950</v>
      </c>
      <c r="M209" s="144" t="e">
        <f>VLOOKUP(I209,'[3]LGS Pa.'!$B$3:$C$16,2,FALSE)</f>
        <v>#N/A</v>
      </c>
      <c r="N209" s="144">
        <f>VLOOKUP(J209,'[3]LGS Pa.'!$B$3:$C$16,2,FALSE)</f>
        <v>2</v>
      </c>
      <c r="O209" s="144" t="e">
        <f>VLOOKUP(K209,'[3]LGS Pa.'!$B$3:$C$16,2,FALSE)</f>
        <v>#N/A</v>
      </c>
      <c r="P209" s="144">
        <f>$J$3*Table44[[#This Row],[Soil stability2]]</f>
        <v>20</v>
      </c>
    </row>
    <row r="210" spans="3:16" ht="15">
      <c r="C210" s="81">
        <v>33083010</v>
      </c>
      <c r="D210" s="82" t="s">
        <v>305</v>
      </c>
      <c r="E210" s="84">
        <v>3</v>
      </c>
      <c r="H210" s="165"/>
      <c r="J210" s="144" t="s">
        <v>950</v>
      </c>
      <c r="M210" s="144" t="e">
        <f>VLOOKUP(I210,'[3]LGS Pa.'!$B$3:$C$16,2,FALSE)</f>
        <v>#N/A</v>
      </c>
      <c r="N210" s="144">
        <f>VLOOKUP(J210,'[3]LGS Pa.'!$B$3:$C$16,2,FALSE)</f>
        <v>2</v>
      </c>
      <c r="O210" s="144" t="e">
        <f>VLOOKUP(K210,'[3]LGS Pa.'!$B$3:$C$16,2,FALSE)</f>
        <v>#N/A</v>
      </c>
      <c r="P210" s="144">
        <f>$J$3*Table44[[#This Row],[Soil stability2]]</f>
        <v>20</v>
      </c>
    </row>
    <row r="211" spans="3:16" ht="15">
      <c r="C211" s="81">
        <v>56010101</v>
      </c>
      <c r="D211" s="82" t="s">
        <v>306</v>
      </c>
      <c r="E211" s="84">
        <v>3</v>
      </c>
      <c r="H211" s="165"/>
      <c r="J211" s="144" t="s">
        <v>950</v>
      </c>
      <c r="M211" s="144" t="e">
        <f>VLOOKUP(I211,'[3]LGS Pa.'!$B$3:$C$16,2,FALSE)</f>
        <v>#N/A</v>
      </c>
      <c r="N211" s="144">
        <f>VLOOKUP(J211,'[3]LGS Pa.'!$B$3:$C$16,2,FALSE)</f>
        <v>2</v>
      </c>
      <c r="O211" s="144" t="e">
        <f>VLOOKUP(K211,'[3]LGS Pa.'!$B$3:$C$16,2,FALSE)</f>
        <v>#N/A</v>
      </c>
      <c r="P211" s="144">
        <f>$J$3*Table44[[#This Row],[Soil stability2]]</f>
        <v>20</v>
      </c>
    </row>
    <row r="212" spans="3:16" ht="15">
      <c r="C212" s="81">
        <v>56010102</v>
      </c>
      <c r="D212" s="82" t="s">
        <v>307</v>
      </c>
      <c r="E212" s="84">
        <v>3</v>
      </c>
      <c r="H212" s="165"/>
      <c r="J212" s="144" t="s">
        <v>950</v>
      </c>
      <c r="M212" s="144" t="e">
        <f>VLOOKUP(I212,'[3]LGS Pa.'!$B$3:$C$16,2,FALSE)</f>
        <v>#N/A</v>
      </c>
      <c r="N212" s="144">
        <f>VLOOKUP(J212,'[3]LGS Pa.'!$B$3:$C$16,2,FALSE)</f>
        <v>2</v>
      </c>
      <c r="O212" s="144" t="e">
        <f>VLOOKUP(K212,'[3]LGS Pa.'!$B$3:$C$16,2,FALSE)</f>
        <v>#N/A</v>
      </c>
      <c r="P212" s="144">
        <f>$J$3*Table44[[#This Row],[Soil stability2]]</f>
        <v>20</v>
      </c>
    </row>
    <row r="213" spans="3:16" ht="15">
      <c r="C213" s="81">
        <v>56010103</v>
      </c>
      <c r="D213" s="82" t="s">
        <v>308</v>
      </c>
      <c r="E213" s="84">
        <v>3</v>
      </c>
      <c r="H213" s="165"/>
      <c r="J213" s="144" t="s">
        <v>950</v>
      </c>
      <c r="M213" s="144" t="e">
        <f>VLOOKUP(I213,'[3]LGS Pa.'!$B$3:$C$16,2,FALSE)</f>
        <v>#N/A</v>
      </c>
      <c r="N213" s="144">
        <f>VLOOKUP(J213,'[3]LGS Pa.'!$B$3:$C$16,2,FALSE)</f>
        <v>2</v>
      </c>
      <c r="O213" s="144" t="e">
        <f>VLOOKUP(K213,'[3]LGS Pa.'!$B$3:$C$16,2,FALSE)</f>
        <v>#N/A</v>
      </c>
      <c r="P213" s="144">
        <f>$J$3*Table44[[#This Row],[Soil stability2]]</f>
        <v>20</v>
      </c>
    </row>
    <row r="214" spans="3:16" ht="15">
      <c r="C214" s="81">
        <v>330820005</v>
      </c>
      <c r="D214" s="82" t="s">
        <v>309</v>
      </c>
      <c r="E214" s="84">
        <v>3</v>
      </c>
      <c r="H214" s="165"/>
      <c r="J214" s="144" t="s">
        <v>950</v>
      </c>
      <c r="M214" s="144" t="e">
        <f>VLOOKUP(I214,'[3]LGS Pa.'!$B$3:$C$16,2,FALSE)</f>
        <v>#N/A</v>
      </c>
      <c r="N214" s="144">
        <f>VLOOKUP(J214,'[3]LGS Pa.'!$B$3:$C$16,2,FALSE)</f>
        <v>2</v>
      </c>
      <c r="O214" s="144" t="e">
        <f>VLOOKUP(K214,'[3]LGS Pa.'!$B$3:$C$16,2,FALSE)</f>
        <v>#N/A</v>
      </c>
      <c r="P214" s="144">
        <f>$J$3*Table44[[#This Row],[Soil stability2]]</f>
        <v>20</v>
      </c>
    </row>
    <row r="215" spans="3:16" ht="15">
      <c r="C215" s="81">
        <v>330900001</v>
      </c>
      <c r="D215" s="82" t="s">
        <v>767</v>
      </c>
      <c r="E215" s="80">
        <v>3</v>
      </c>
      <c r="H215" s="165"/>
      <c r="J215" s="144" t="s">
        <v>950</v>
      </c>
      <c r="M215" s="144" t="e">
        <f>VLOOKUP(I215,'[3]LGS Pa.'!$B$3:$C$16,2,FALSE)</f>
        <v>#N/A</v>
      </c>
      <c r="N215" s="144">
        <f>VLOOKUP(J215,'[3]LGS Pa.'!$B$3:$C$16,2,FALSE)</f>
        <v>2</v>
      </c>
      <c r="O215" s="144" t="e">
        <f>VLOOKUP(K215,'[3]LGS Pa.'!$B$3:$C$16,2,FALSE)</f>
        <v>#N/A</v>
      </c>
      <c r="P215" s="144">
        <f>$J$3*Table44[[#This Row],[Soil stability2]]</f>
        <v>20</v>
      </c>
    </row>
    <row r="216" spans="3:16" ht="15">
      <c r="C216" s="81">
        <v>330901001</v>
      </c>
      <c r="D216" s="82" t="s">
        <v>310</v>
      </c>
      <c r="E216" s="84">
        <v>3</v>
      </c>
      <c r="H216" s="165"/>
      <c r="J216" s="144" t="s">
        <v>950</v>
      </c>
      <c r="M216" s="144" t="e">
        <f>VLOOKUP(I216,'[3]LGS Pa.'!$B$3:$C$16,2,FALSE)</f>
        <v>#N/A</v>
      </c>
      <c r="N216" s="144">
        <f>VLOOKUP(J216,'[3]LGS Pa.'!$B$3:$C$16,2,FALSE)</f>
        <v>2</v>
      </c>
      <c r="O216" s="144" t="e">
        <f>VLOOKUP(K216,'[3]LGS Pa.'!$B$3:$C$16,2,FALSE)</f>
        <v>#N/A</v>
      </c>
      <c r="P216" s="144">
        <f>$J$3*Table44[[#This Row],[Soil stability2]]</f>
        <v>20</v>
      </c>
    </row>
    <row r="217" spans="3:16" ht="15">
      <c r="C217" s="81">
        <v>330901002</v>
      </c>
      <c r="D217" s="82" t="s">
        <v>757</v>
      </c>
      <c r="E217" s="80">
        <v>3</v>
      </c>
      <c r="H217" s="165"/>
      <c r="J217" s="144" t="s">
        <v>950</v>
      </c>
      <c r="M217" s="144" t="e">
        <f>VLOOKUP(I217,'[3]LGS Pa.'!$B$3:$C$16,2,FALSE)</f>
        <v>#N/A</v>
      </c>
      <c r="N217" s="144">
        <f>VLOOKUP(J217,'[3]LGS Pa.'!$B$3:$C$16,2,FALSE)</f>
        <v>2</v>
      </c>
      <c r="O217" s="144" t="e">
        <f>VLOOKUP(K217,'[3]LGS Pa.'!$B$3:$C$16,2,FALSE)</f>
        <v>#N/A</v>
      </c>
      <c r="P217" s="144">
        <f>$J$3*Table44[[#This Row],[Soil stability2]]</f>
        <v>20</v>
      </c>
    </row>
    <row r="218" spans="3:16" ht="15">
      <c r="C218" s="81">
        <v>330901003</v>
      </c>
      <c r="D218" s="82" t="s">
        <v>759</v>
      </c>
      <c r="E218" s="80">
        <v>3</v>
      </c>
      <c r="H218" s="165"/>
      <c r="J218" s="144" t="s">
        <v>950</v>
      </c>
      <c r="M218" s="144" t="e">
        <f>VLOOKUP(I218,'[3]LGS Pa.'!$B$3:$C$16,2,FALSE)</f>
        <v>#N/A</v>
      </c>
      <c r="N218" s="144">
        <f>VLOOKUP(J218,'[3]LGS Pa.'!$B$3:$C$16,2,FALSE)</f>
        <v>2</v>
      </c>
      <c r="O218" s="144" t="e">
        <f>VLOOKUP(K218,'[3]LGS Pa.'!$B$3:$C$16,2,FALSE)</f>
        <v>#N/A</v>
      </c>
      <c r="P218" s="144">
        <f>$J$3*Table44[[#This Row],[Soil stability2]]</f>
        <v>20</v>
      </c>
    </row>
    <row r="219" spans="3:16" ht="15">
      <c r="C219" s="118">
        <v>340210602</v>
      </c>
      <c r="D219" s="119" t="s">
        <v>311</v>
      </c>
      <c r="E219" s="117">
        <v>3</v>
      </c>
      <c r="H219" s="165"/>
      <c r="J219" s="144" t="s">
        <v>950</v>
      </c>
      <c r="M219" s="144" t="e">
        <f>VLOOKUP(I219,'[3]LGS Pa.'!$B$3:$C$16,2,FALSE)</f>
        <v>#N/A</v>
      </c>
      <c r="N219" s="144">
        <f>VLOOKUP(J219,'[3]LGS Pa.'!$B$3:$C$16,2,FALSE)</f>
        <v>2</v>
      </c>
      <c r="O219" s="144" t="e">
        <f>VLOOKUP(K219,'[3]LGS Pa.'!$B$3:$C$16,2,FALSE)</f>
        <v>#N/A</v>
      </c>
      <c r="P219" s="144">
        <f>$J$3*Table44[[#This Row],[Soil stability2]]</f>
        <v>20</v>
      </c>
    </row>
    <row r="220" spans="3:16" ht="15">
      <c r="C220" s="111">
        <v>340300001</v>
      </c>
      <c r="D220" s="112" t="s">
        <v>312</v>
      </c>
      <c r="E220" s="113">
        <v>3</v>
      </c>
      <c r="H220" s="165"/>
      <c r="J220" s="144" t="s">
        <v>950</v>
      </c>
      <c r="M220" s="144" t="e">
        <f>VLOOKUP(I220,'[3]LGS Pa.'!$B$3:$C$16,2,FALSE)</f>
        <v>#N/A</v>
      </c>
      <c r="N220" s="144">
        <f>VLOOKUP(J220,'[3]LGS Pa.'!$B$3:$C$16,2,FALSE)</f>
        <v>2</v>
      </c>
      <c r="O220" s="144" t="e">
        <f>VLOOKUP(K220,'[3]LGS Pa.'!$B$3:$C$16,2,FALSE)</f>
        <v>#N/A</v>
      </c>
      <c r="P220" s="144">
        <f>$J$3*Table44[[#This Row],[Soil stability2]]</f>
        <v>20</v>
      </c>
    </row>
    <row r="221" spans="3:16" ht="15">
      <c r="C221" s="81">
        <v>401100001</v>
      </c>
      <c r="D221" s="82" t="s">
        <v>313</v>
      </c>
      <c r="E221" s="84">
        <v>3</v>
      </c>
      <c r="H221" s="165"/>
      <c r="J221" s="144" t="s">
        <v>950</v>
      </c>
      <c r="M221" s="144" t="e">
        <f>VLOOKUP(I221,'[3]LGS Pa.'!$B$3:$C$16,2,FALSE)</f>
        <v>#N/A</v>
      </c>
      <c r="N221" s="144">
        <f>VLOOKUP(J221,'[3]LGS Pa.'!$B$3:$C$16,2,FALSE)</f>
        <v>2</v>
      </c>
      <c r="O221" s="144" t="e">
        <f>VLOOKUP(K221,'[3]LGS Pa.'!$B$3:$C$16,2,FALSE)</f>
        <v>#N/A</v>
      </c>
      <c r="P221" s="144">
        <f>$J$3*Table44[[#This Row],[Soil stability2]]</f>
        <v>20</v>
      </c>
    </row>
    <row r="222" spans="3:16" ht="15">
      <c r="C222" s="81">
        <v>401110001</v>
      </c>
      <c r="D222" s="82" t="s">
        <v>314</v>
      </c>
      <c r="E222" s="84">
        <v>3</v>
      </c>
      <c r="H222" s="165"/>
      <c r="J222" s="144" t="s">
        <v>950</v>
      </c>
      <c r="M222" s="144" t="e">
        <f>VLOOKUP(I222,'[3]LGS Pa.'!$B$3:$C$16,2,FALSE)</f>
        <v>#N/A</v>
      </c>
      <c r="N222" s="144">
        <f>VLOOKUP(J222,'[3]LGS Pa.'!$B$3:$C$16,2,FALSE)</f>
        <v>2</v>
      </c>
      <c r="O222" s="144" t="e">
        <f>VLOOKUP(K222,'[3]LGS Pa.'!$B$3:$C$16,2,FALSE)</f>
        <v>#N/A</v>
      </c>
      <c r="P222" s="144">
        <f>$J$3*Table44[[#This Row],[Soil stability2]]</f>
        <v>20</v>
      </c>
    </row>
    <row r="223" spans="3:16" ht="15">
      <c r="C223" s="81">
        <v>41041</v>
      </c>
      <c r="D223" s="82" t="s">
        <v>771</v>
      </c>
      <c r="E223" s="80">
        <v>5</v>
      </c>
      <c r="H223" s="165"/>
      <c r="J223" s="144" t="s">
        <v>950</v>
      </c>
      <c r="M223" s="144" t="e">
        <f>VLOOKUP(I223,'[3]LGS Pa.'!$B$3:$C$16,2,FALSE)</f>
        <v>#N/A</v>
      </c>
      <c r="N223" s="144">
        <f>VLOOKUP(J223,'[3]LGS Pa.'!$B$3:$C$16,2,FALSE)</f>
        <v>2</v>
      </c>
      <c r="O223" s="144" t="e">
        <f>VLOOKUP(K223,'[3]LGS Pa.'!$B$3:$C$16,2,FALSE)</f>
        <v>#N/A</v>
      </c>
      <c r="P223" s="144">
        <f>$J$3*Table44[[#This Row],[Soil stability2]]</f>
        <v>20</v>
      </c>
    </row>
    <row r="224" spans="3:16" ht="15">
      <c r="C224" s="81">
        <v>410101</v>
      </c>
      <c r="D224" s="82" t="s">
        <v>315</v>
      </c>
      <c r="E224" s="84">
        <v>5</v>
      </c>
      <c r="H224" s="165"/>
      <c r="J224" s="144" t="s">
        <v>950</v>
      </c>
      <c r="M224" s="144" t="e">
        <f>VLOOKUP(I224,'[3]LGS Pa.'!$B$3:$C$16,2,FALSE)</f>
        <v>#N/A</v>
      </c>
      <c r="N224" s="144">
        <f>VLOOKUP(J224,'[3]LGS Pa.'!$B$3:$C$16,2,FALSE)</f>
        <v>2</v>
      </c>
      <c r="O224" s="144" t="e">
        <f>VLOOKUP(K224,'[3]LGS Pa.'!$B$3:$C$16,2,FALSE)</f>
        <v>#N/A</v>
      </c>
      <c r="P224" s="144">
        <f>$J$3*Table44[[#This Row],[Soil stability2]]</f>
        <v>20</v>
      </c>
    </row>
    <row r="225" spans="3:16" ht="15">
      <c r="C225" s="81">
        <v>41010101</v>
      </c>
      <c r="D225" s="82" t="s">
        <v>773</v>
      </c>
      <c r="E225" s="80">
        <v>5</v>
      </c>
      <c r="H225" s="165"/>
      <c r="J225" s="144" t="s">
        <v>950</v>
      </c>
      <c r="M225" s="144" t="e">
        <f>VLOOKUP(I225,'[3]LGS Pa.'!$B$3:$C$16,2,FALSE)</f>
        <v>#N/A</v>
      </c>
      <c r="N225" s="144">
        <f>VLOOKUP(J225,'[3]LGS Pa.'!$B$3:$C$16,2,FALSE)</f>
        <v>2</v>
      </c>
      <c r="O225" s="144" t="e">
        <f>VLOOKUP(K225,'[3]LGS Pa.'!$B$3:$C$16,2,FALSE)</f>
        <v>#N/A</v>
      </c>
      <c r="P225" s="144">
        <f>$J$3*Table44[[#This Row],[Soil stability2]]</f>
        <v>20</v>
      </c>
    </row>
    <row r="226" spans="3:16" ht="25.5">
      <c r="C226" s="118">
        <v>410102</v>
      </c>
      <c r="D226" s="119" t="s">
        <v>316</v>
      </c>
      <c r="E226" s="117">
        <v>5</v>
      </c>
      <c r="H226" s="165"/>
      <c r="J226" s="144" t="s">
        <v>950</v>
      </c>
      <c r="M226" s="144" t="e">
        <f>VLOOKUP(I226,'[3]LGS Pa.'!$B$3:$C$16,2,FALSE)</f>
        <v>#N/A</v>
      </c>
      <c r="N226" s="144">
        <f>VLOOKUP(J226,'[3]LGS Pa.'!$B$3:$C$16,2,FALSE)</f>
        <v>2</v>
      </c>
      <c r="O226" s="144" t="e">
        <f>VLOOKUP(K226,'[3]LGS Pa.'!$B$3:$C$16,2,FALSE)</f>
        <v>#N/A</v>
      </c>
      <c r="P226" s="144">
        <f>$J$3*Table44[[#This Row],[Soil stability2]]</f>
        <v>20</v>
      </c>
    </row>
    <row r="227" spans="3:16" ht="15">
      <c r="C227" s="81">
        <v>41010201</v>
      </c>
      <c r="D227" s="82" t="s">
        <v>317</v>
      </c>
      <c r="E227" s="84">
        <v>5</v>
      </c>
      <c r="H227" s="165"/>
      <c r="J227" s="144" t="s">
        <v>950</v>
      </c>
      <c r="M227" s="144" t="e">
        <f>VLOOKUP(I227,'[3]LGS Pa.'!$B$3:$C$16,2,FALSE)</f>
        <v>#N/A</v>
      </c>
      <c r="N227" s="144">
        <f>VLOOKUP(J227,'[3]LGS Pa.'!$B$3:$C$16,2,FALSE)</f>
        <v>2</v>
      </c>
      <c r="O227" s="144" t="e">
        <f>VLOOKUP(K227,'[3]LGS Pa.'!$B$3:$C$16,2,FALSE)</f>
        <v>#N/A</v>
      </c>
      <c r="P227" s="144">
        <f>$J$3*Table44[[#This Row],[Soil stability2]]</f>
        <v>20</v>
      </c>
    </row>
    <row r="228" spans="3:16" ht="15">
      <c r="C228" s="81">
        <v>41010202</v>
      </c>
      <c r="D228" s="82" t="s">
        <v>318</v>
      </c>
      <c r="E228" s="84">
        <v>5</v>
      </c>
      <c r="H228" s="165"/>
      <c r="J228" s="144" t="s">
        <v>950</v>
      </c>
      <c r="M228" s="144" t="e">
        <f>VLOOKUP(I228,'[3]LGS Pa.'!$B$3:$C$16,2,FALSE)</f>
        <v>#N/A</v>
      </c>
      <c r="N228" s="144">
        <f>VLOOKUP(J228,'[3]LGS Pa.'!$B$3:$C$16,2,FALSE)</f>
        <v>2</v>
      </c>
      <c r="O228" s="144" t="e">
        <f>VLOOKUP(K228,'[3]LGS Pa.'!$B$3:$C$16,2,FALSE)</f>
        <v>#N/A</v>
      </c>
      <c r="P228" s="144">
        <f>$J$3*Table44[[#This Row],[Soil stability2]]</f>
        <v>20</v>
      </c>
    </row>
    <row r="229" spans="3:16" ht="15">
      <c r="C229" s="81">
        <v>41010203</v>
      </c>
      <c r="D229" s="82" t="s">
        <v>319</v>
      </c>
      <c r="E229" s="84">
        <v>5</v>
      </c>
      <c r="H229" s="165"/>
      <c r="J229" s="144" t="s">
        <v>950</v>
      </c>
      <c r="M229" s="144" t="e">
        <f>VLOOKUP(I229,'[3]LGS Pa.'!$B$3:$C$16,2,FALSE)</f>
        <v>#N/A</v>
      </c>
      <c r="N229" s="144">
        <f>VLOOKUP(J229,'[3]LGS Pa.'!$B$3:$C$16,2,FALSE)</f>
        <v>2</v>
      </c>
      <c r="O229" s="144" t="e">
        <f>VLOOKUP(K229,'[3]LGS Pa.'!$B$3:$C$16,2,FALSE)</f>
        <v>#N/A</v>
      </c>
      <c r="P229" s="144">
        <f>$J$3*Table44[[#This Row],[Soil stability2]]</f>
        <v>20</v>
      </c>
    </row>
    <row r="230" spans="3:16" ht="15">
      <c r="C230" s="81">
        <v>41010204</v>
      </c>
      <c r="D230" s="82" t="s">
        <v>320</v>
      </c>
      <c r="E230" s="84">
        <v>5</v>
      </c>
      <c r="H230" s="165"/>
      <c r="J230" s="144" t="s">
        <v>950</v>
      </c>
      <c r="M230" s="144" t="e">
        <f>VLOOKUP(I230,'[3]LGS Pa.'!$B$3:$C$16,2,FALSE)</f>
        <v>#N/A</v>
      </c>
      <c r="N230" s="144">
        <f>VLOOKUP(J230,'[3]LGS Pa.'!$B$3:$C$16,2,FALSE)</f>
        <v>2</v>
      </c>
      <c r="O230" s="144" t="e">
        <f>VLOOKUP(K230,'[3]LGS Pa.'!$B$3:$C$16,2,FALSE)</f>
        <v>#N/A</v>
      </c>
      <c r="P230" s="144">
        <f>$J$3*Table44[[#This Row],[Soil stability2]]</f>
        <v>20</v>
      </c>
    </row>
    <row r="231" spans="3:16" ht="15">
      <c r="C231" s="81">
        <v>410300001</v>
      </c>
      <c r="D231" s="82" t="s">
        <v>775</v>
      </c>
      <c r="E231" s="80">
        <v>5</v>
      </c>
      <c r="H231" s="165"/>
      <c r="J231" s="144" t="s">
        <v>950</v>
      </c>
      <c r="M231" s="144" t="e">
        <f>VLOOKUP(I231,'[3]LGS Pa.'!$B$3:$C$16,2,FALSE)</f>
        <v>#N/A</v>
      </c>
      <c r="N231" s="144">
        <f>VLOOKUP(J231,'[3]LGS Pa.'!$B$3:$C$16,2,FALSE)</f>
        <v>2</v>
      </c>
      <c r="O231" s="144" t="e">
        <f>VLOOKUP(K231,'[3]LGS Pa.'!$B$3:$C$16,2,FALSE)</f>
        <v>#N/A</v>
      </c>
      <c r="P231" s="144">
        <f>$J$3*Table44[[#This Row],[Soil stability2]]</f>
        <v>20</v>
      </c>
    </row>
    <row r="232" spans="3:16" ht="15">
      <c r="C232" s="118">
        <v>401201002</v>
      </c>
      <c r="D232" s="119" t="s">
        <v>321</v>
      </c>
      <c r="E232" s="117">
        <v>5</v>
      </c>
      <c r="H232" s="165"/>
      <c r="J232" s="144" t="s">
        <v>950</v>
      </c>
      <c r="M232" s="144" t="e">
        <f>VLOOKUP(I232,'[3]LGS Pa.'!$B$3:$C$16,2,FALSE)</f>
        <v>#N/A</v>
      </c>
      <c r="N232" s="144">
        <f>VLOOKUP(J232,'[3]LGS Pa.'!$B$3:$C$16,2,FALSE)</f>
        <v>2</v>
      </c>
      <c r="O232" s="144" t="e">
        <f>VLOOKUP(K232,'[3]LGS Pa.'!$B$3:$C$16,2,FALSE)</f>
        <v>#N/A</v>
      </c>
      <c r="P232" s="144">
        <f>$J$3*Table44[[#This Row],[Soil stability2]]</f>
        <v>20</v>
      </c>
    </row>
    <row r="233" spans="3:16" ht="15">
      <c r="C233" s="81">
        <v>41010102</v>
      </c>
      <c r="D233" s="82" t="s">
        <v>322</v>
      </c>
      <c r="E233" s="80">
        <v>5</v>
      </c>
      <c r="H233" s="165"/>
      <c r="J233" s="144" t="s">
        <v>950</v>
      </c>
      <c r="M233" s="144" t="e">
        <f>VLOOKUP(I233,'[3]LGS Pa.'!$B$3:$C$16,2,FALSE)</f>
        <v>#N/A</v>
      </c>
      <c r="N233" s="144">
        <f>VLOOKUP(J233,'[3]LGS Pa.'!$B$3:$C$16,2,FALSE)</f>
        <v>2</v>
      </c>
      <c r="O233" s="144" t="e">
        <f>VLOOKUP(K233,'[3]LGS Pa.'!$B$3:$C$16,2,FALSE)</f>
        <v>#N/A</v>
      </c>
      <c r="P233" s="144">
        <f>$J$3*Table44[[#This Row],[Soil stability2]]</f>
        <v>20</v>
      </c>
    </row>
    <row r="234" spans="3:16" ht="15">
      <c r="C234" s="88">
        <v>41010103</v>
      </c>
      <c r="D234" s="89" t="s">
        <v>787</v>
      </c>
      <c r="E234" s="87">
        <v>5</v>
      </c>
      <c r="H234" s="165"/>
      <c r="J234" s="144" t="s">
        <v>950</v>
      </c>
      <c r="M234" s="144" t="e">
        <f>VLOOKUP(I234,'[3]LGS Pa.'!$B$3:$C$16,2,FALSE)</f>
        <v>#N/A</v>
      </c>
      <c r="N234" s="144">
        <f>VLOOKUP(J234,'[3]LGS Pa.'!$B$3:$C$16,2,FALSE)</f>
        <v>2</v>
      </c>
      <c r="O234" s="144" t="e">
        <f>VLOOKUP(K234,'[3]LGS Pa.'!$B$3:$C$16,2,FALSE)</f>
        <v>#N/A</v>
      </c>
      <c r="P234" s="144">
        <f>$J$3*Table44[[#This Row],[Soil stability2]]</f>
        <v>20</v>
      </c>
    </row>
    <row r="235" spans="3:16" ht="25.5">
      <c r="C235" s="81">
        <v>4457</v>
      </c>
      <c r="D235" s="82" t="s">
        <v>323</v>
      </c>
      <c r="E235" s="84">
        <v>6</v>
      </c>
      <c r="H235" s="165"/>
      <c r="J235" s="144" t="s">
        <v>950</v>
      </c>
      <c r="M235" s="144" t="e">
        <f>VLOOKUP(I235,'[3]LGS Pa.'!$B$3:$C$16,2,FALSE)</f>
        <v>#N/A</v>
      </c>
      <c r="N235" s="144">
        <f>VLOOKUP(J235,'[3]LGS Pa.'!$B$3:$C$16,2,FALSE)</f>
        <v>2</v>
      </c>
      <c r="O235" s="144" t="e">
        <f>VLOOKUP(K235,'[3]LGS Pa.'!$B$3:$C$16,2,FALSE)</f>
        <v>#N/A</v>
      </c>
      <c r="P235" s="144">
        <f>$J$3*Table44[[#This Row],[Soil stability2]]</f>
        <v>20</v>
      </c>
    </row>
    <row r="236" spans="3:16" ht="15">
      <c r="C236" s="81">
        <v>5062</v>
      </c>
      <c r="D236" s="82" t="s">
        <v>324</v>
      </c>
      <c r="E236" s="84">
        <v>6</v>
      </c>
      <c r="H236" s="165"/>
      <c r="J236" s="144" t="s">
        <v>950</v>
      </c>
      <c r="M236" s="144" t="e">
        <f>VLOOKUP(I236,'[3]LGS Pa.'!$B$3:$C$16,2,FALSE)</f>
        <v>#N/A</v>
      </c>
      <c r="N236" s="144">
        <f>VLOOKUP(J236,'[3]LGS Pa.'!$B$3:$C$16,2,FALSE)</f>
        <v>2</v>
      </c>
      <c r="O236" s="144" t="e">
        <f>VLOOKUP(K236,'[3]LGS Pa.'!$B$3:$C$16,2,FALSE)</f>
        <v>#N/A</v>
      </c>
      <c r="P236" s="144">
        <f>$J$3*Table44[[#This Row],[Soil stability2]]</f>
        <v>20</v>
      </c>
    </row>
    <row r="237" spans="3:16" ht="15">
      <c r="C237" s="111">
        <v>6100</v>
      </c>
      <c r="D237" s="112" t="s">
        <v>325</v>
      </c>
      <c r="E237" s="113">
        <v>6</v>
      </c>
      <c r="H237" s="165"/>
      <c r="J237" s="144" t="s">
        <v>950</v>
      </c>
      <c r="M237" s="144" t="e">
        <f>VLOOKUP(I237,'[3]LGS Pa.'!$B$3:$C$16,2,FALSE)</f>
        <v>#N/A</v>
      </c>
      <c r="N237" s="144">
        <f>VLOOKUP(J237,'[3]LGS Pa.'!$B$3:$C$16,2,FALSE)</f>
        <v>2</v>
      </c>
      <c r="O237" s="144" t="e">
        <f>VLOOKUP(K237,'[3]LGS Pa.'!$B$3:$C$16,2,FALSE)</f>
        <v>#N/A</v>
      </c>
      <c r="P237" s="144">
        <f>$J$3*Table44[[#This Row],[Soil stability2]]</f>
        <v>20</v>
      </c>
    </row>
    <row r="238" spans="3:16" ht="25.5">
      <c r="C238" s="81">
        <v>50611</v>
      </c>
      <c r="D238" s="82" t="s">
        <v>326</v>
      </c>
      <c r="E238" s="84">
        <v>6</v>
      </c>
      <c r="H238" s="165"/>
      <c r="J238" s="144" t="s">
        <v>950</v>
      </c>
      <c r="M238" s="144" t="e">
        <f>VLOOKUP(I238,'[3]LGS Pa.'!$B$3:$C$16,2,FALSE)</f>
        <v>#N/A</v>
      </c>
      <c r="N238" s="144">
        <f>VLOOKUP(J238,'[3]LGS Pa.'!$B$3:$C$16,2,FALSE)</f>
        <v>2</v>
      </c>
      <c r="O238" s="144" t="e">
        <f>VLOOKUP(K238,'[3]LGS Pa.'!$B$3:$C$16,2,FALSE)</f>
        <v>#N/A</v>
      </c>
      <c r="P238" s="144">
        <f>$J$3*Table44[[#This Row],[Soil stability2]]</f>
        <v>20</v>
      </c>
    </row>
    <row r="239" spans="3:16" ht="15">
      <c r="C239" s="111">
        <v>445402</v>
      </c>
      <c r="D239" s="112" t="s">
        <v>327</v>
      </c>
      <c r="E239" s="113">
        <v>6</v>
      </c>
      <c r="H239" s="165"/>
      <c r="J239" s="144" t="s">
        <v>950</v>
      </c>
      <c r="M239" s="144" t="e">
        <f>VLOOKUP(I239,'[3]LGS Pa.'!$B$3:$C$16,2,FALSE)</f>
        <v>#N/A</v>
      </c>
      <c r="N239" s="144">
        <f>VLOOKUP(J239,'[3]LGS Pa.'!$B$3:$C$16,2,FALSE)</f>
        <v>2</v>
      </c>
      <c r="O239" s="144" t="e">
        <f>VLOOKUP(K239,'[3]LGS Pa.'!$B$3:$C$16,2,FALSE)</f>
        <v>#N/A</v>
      </c>
      <c r="P239" s="144">
        <f>$J$3*Table44[[#This Row],[Soil stability2]]</f>
        <v>20</v>
      </c>
    </row>
    <row r="240" spans="3:16" ht="25.5">
      <c r="C240" s="81">
        <v>445403</v>
      </c>
      <c r="D240" s="82" t="s">
        <v>328</v>
      </c>
      <c r="E240" s="84">
        <v>6</v>
      </c>
      <c r="H240" s="165"/>
      <c r="J240" s="144" t="s">
        <v>950</v>
      </c>
      <c r="M240" s="144" t="e">
        <f>VLOOKUP(I240,'[3]LGS Pa.'!$B$3:$C$16,2,FALSE)</f>
        <v>#N/A</v>
      </c>
      <c r="N240" s="144">
        <f>VLOOKUP(J240,'[3]LGS Pa.'!$B$3:$C$16,2,FALSE)</f>
        <v>2</v>
      </c>
      <c r="O240" s="144" t="e">
        <f>VLOOKUP(K240,'[3]LGS Pa.'!$B$3:$C$16,2,FALSE)</f>
        <v>#N/A</v>
      </c>
      <c r="P240" s="144">
        <f>$J$3*Table44[[#This Row],[Soil stability2]]</f>
        <v>20</v>
      </c>
    </row>
    <row r="241" spans="3:16" ht="25.5">
      <c r="C241" s="81">
        <v>615201</v>
      </c>
      <c r="D241" s="82" t="s">
        <v>329</v>
      </c>
      <c r="E241" s="84">
        <v>6</v>
      </c>
      <c r="H241" s="165"/>
      <c r="J241" s="144" t="s">
        <v>950</v>
      </c>
      <c r="M241" s="144" t="e">
        <f>VLOOKUP(I241,'[3]LGS Pa.'!$B$3:$C$16,2,FALSE)</f>
        <v>#N/A</v>
      </c>
      <c r="N241" s="144">
        <f>VLOOKUP(J241,'[3]LGS Pa.'!$B$3:$C$16,2,FALSE)</f>
        <v>2</v>
      </c>
      <c r="O241" s="144" t="e">
        <f>VLOOKUP(K241,'[3]LGS Pa.'!$B$3:$C$16,2,FALSE)</f>
        <v>#N/A</v>
      </c>
      <c r="P241" s="144">
        <f>$J$3*Table44[[#This Row],[Soil stability2]]</f>
        <v>20</v>
      </c>
    </row>
    <row r="242" spans="3:16" ht="15">
      <c r="C242" s="81">
        <v>616101</v>
      </c>
      <c r="D242" s="82" t="s">
        <v>330</v>
      </c>
      <c r="E242" s="84">
        <v>6</v>
      </c>
      <c r="H242" s="165"/>
      <c r="J242" s="144" t="s">
        <v>950</v>
      </c>
      <c r="M242" s="144" t="e">
        <f>VLOOKUP(I242,'[3]LGS Pa.'!$B$3:$C$16,2,FALSE)</f>
        <v>#N/A</v>
      </c>
      <c r="N242" s="144">
        <f>VLOOKUP(J242,'[3]LGS Pa.'!$B$3:$C$16,2,FALSE)</f>
        <v>2</v>
      </c>
      <c r="O242" s="144" t="e">
        <f>VLOOKUP(K242,'[3]LGS Pa.'!$B$3:$C$16,2,FALSE)</f>
        <v>#N/A</v>
      </c>
      <c r="P242" s="144">
        <f>$J$3*Table44[[#This Row],[Soil stability2]]</f>
        <v>20</v>
      </c>
    </row>
    <row r="243" spans="3:16" ht="15">
      <c r="C243" s="81">
        <v>617801</v>
      </c>
      <c r="D243" s="82" t="s">
        <v>331</v>
      </c>
      <c r="E243" s="84">
        <v>6</v>
      </c>
      <c r="H243" s="165"/>
      <c r="J243" s="144" t="s">
        <v>950</v>
      </c>
      <c r="M243" s="144" t="e">
        <f>VLOOKUP(I243,'[3]LGS Pa.'!$B$3:$C$16,2,FALSE)</f>
        <v>#N/A</v>
      </c>
      <c r="N243" s="144">
        <f>VLOOKUP(J243,'[3]LGS Pa.'!$B$3:$C$16,2,FALSE)</f>
        <v>2</v>
      </c>
      <c r="O243" s="144" t="e">
        <f>VLOOKUP(K243,'[3]LGS Pa.'!$B$3:$C$16,2,FALSE)</f>
        <v>#N/A</v>
      </c>
      <c r="P243" s="144">
        <f>$J$3*Table44[[#This Row],[Soil stability2]]</f>
        <v>20</v>
      </c>
    </row>
    <row r="244" spans="3:16" ht="15">
      <c r="C244" s="81">
        <v>61520101</v>
      </c>
      <c r="D244" s="82" t="s">
        <v>332</v>
      </c>
      <c r="E244" s="84">
        <v>6</v>
      </c>
      <c r="H244" s="165"/>
      <c r="J244" s="144" t="s">
        <v>950</v>
      </c>
      <c r="M244" s="144" t="e">
        <f>VLOOKUP(I244,'[3]LGS Pa.'!$B$3:$C$16,2,FALSE)</f>
        <v>#N/A</v>
      </c>
      <c r="N244" s="144">
        <f>VLOOKUP(J244,'[3]LGS Pa.'!$B$3:$C$16,2,FALSE)</f>
        <v>2</v>
      </c>
      <c r="O244" s="144" t="e">
        <f>VLOOKUP(K244,'[3]LGS Pa.'!$B$3:$C$16,2,FALSE)</f>
        <v>#N/A</v>
      </c>
      <c r="P244" s="144">
        <f>$J$3*Table44[[#This Row],[Soil stability2]]</f>
        <v>20</v>
      </c>
    </row>
    <row r="245" spans="3:16" ht="25.5">
      <c r="C245" s="81">
        <v>61610101</v>
      </c>
      <c r="D245" s="82" t="s">
        <v>333</v>
      </c>
      <c r="E245" s="84">
        <v>6</v>
      </c>
      <c r="H245" s="165"/>
      <c r="J245" s="144" t="s">
        <v>950</v>
      </c>
      <c r="M245" s="144" t="e">
        <f>VLOOKUP(I245,'[3]LGS Pa.'!$B$3:$C$16,2,FALSE)</f>
        <v>#N/A</v>
      </c>
      <c r="N245" s="144">
        <f>VLOOKUP(J245,'[3]LGS Pa.'!$B$3:$C$16,2,FALSE)</f>
        <v>2</v>
      </c>
      <c r="O245" s="144" t="e">
        <f>VLOOKUP(K245,'[3]LGS Pa.'!$B$3:$C$16,2,FALSE)</f>
        <v>#N/A</v>
      </c>
      <c r="P245" s="144">
        <f>$J$3*Table44[[#This Row],[Soil stability2]]</f>
        <v>20</v>
      </c>
    </row>
    <row r="246" spans="3:16" ht="25.5">
      <c r="C246" s="81">
        <v>4457010102</v>
      </c>
      <c r="D246" s="82" t="s">
        <v>334</v>
      </c>
      <c r="E246" s="84">
        <v>6</v>
      </c>
      <c r="H246" s="165"/>
      <c r="J246" s="144" t="s">
        <v>950</v>
      </c>
      <c r="M246" s="144" t="e">
        <f>VLOOKUP(I246,'[3]LGS Pa.'!$B$3:$C$16,2,FALSE)</f>
        <v>#N/A</v>
      </c>
      <c r="N246" s="144">
        <f>VLOOKUP(J246,'[3]LGS Pa.'!$B$3:$C$16,2,FALSE)</f>
        <v>2</v>
      </c>
      <c r="O246" s="144" t="e">
        <f>VLOOKUP(K246,'[3]LGS Pa.'!$B$3:$C$16,2,FALSE)</f>
        <v>#N/A</v>
      </c>
      <c r="P246" s="144">
        <f>$J$3*Table44[[#This Row],[Soil stability2]]</f>
        <v>20</v>
      </c>
    </row>
    <row r="247" spans="3:16" ht="15">
      <c r="C247" s="88">
        <v>4457010103</v>
      </c>
      <c r="D247" s="89" t="s">
        <v>791</v>
      </c>
      <c r="E247" s="87">
        <v>6</v>
      </c>
      <c r="H247" s="165"/>
      <c r="J247" s="144" t="s">
        <v>950</v>
      </c>
      <c r="M247" s="144" t="e">
        <f>VLOOKUP(I247,'[3]LGS Pa.'!$B$3:$C$16,2,FALSE)</f>
        <v>#N/A</v>
      </c>
      <c r="N247" s="144">
        <f>VLOOKUP(J247,'[3]LGS Pa.'!$B$3:$C$16,2,FALSE)</f>
        <v>2</v>
      </c>
      <c r="O247" s="144" t="e">
        <f>VLOOKUP(K247,'[3]LGS Pa.'!$B$3:$C$16,2,FALSE)</f>
        <v>#N/A</v>
      </c>
      <c r="P247" s="144">
        <f>$J$3*Table44[[#This Row],[Soil stability2]]</f>
        <v>20</v>
      </c>
    </row>
    <row r="248" spans="3:16" ht="25.5">
      <c r="C248" s="81">
        <v>4457010104</v>
      </c>
      <c r="D248" s="82" t="s">
        <v>335</v>
      </c>
      <c r="E248" s="84">
        <v>6</v>
      </c>
      <c r="H248" s="165"/>
      <c r="J248" s="144" t="s">
        <v>950</v>
      </c>
      <c r="M248" s="144" t="e">
        <f>VLOOKUP(I248,'[3]LGS Pa.'!$B$3:$C$16,2,FALSE)</f>
        <v>#N/A</v>
      </c>
      <c r="N248" s="144">
        <f>VLOOKUP(J248,'[3]LGS Pa.'!$B$3:$C$16,2,FALSE)</f>
        <v>2</v>
      </c>
      <c r="O248" s="144" t="e">
        <f>VLOOKUP(K248,'[3]LGS Pa.'!$B$3:$C$16,2,FALSE)</f>
        <v>#N/A</v>
      </c>
      <c r="P248" s="144">
        <f>$J$3*Table44[[#This Row],[Soil stability2]]</f>
        <v>20</v>
      </c>
    </row>
    <row r="249" spans="3:16" ht="25.5">
      <c r="C249" s="81">
        <v>4457010105</v>
      </c>
      <c r="D249" s="82" t="s">
        <v>336</v>
      </c>
      <c r="E249" s="84">
        <v>6</v>
      </c>
      <c r="H249" s="165"/>
      <c r="J249" s="144" t="s">
        <v>950</v>
      </c>
      <c r="M249" s="144" t="e">
        <f>VLOOKUP(I249,'[3]LGS Pa.'!$B$3:$C$16,2,FALSE)</f>
        <v>#N/A</v>
      </c>
      <c r="N249" s="144">
        <f>VLOOKUP(J249,'[3]LGS Pa.'!$B$3:$C$16,2,FALSE)</f>
        <v>2</v>
      </c>
      <c r="O249" s="144" t="e">
        <f>VLOOKUP(K249,'[3]LGS Pa.'!$B$3:$C$16,2,FALSE)</f>
        <v>#N/A</v>
      </c>
      <c r="P249" s="144">
        <f>$J$3*Table44[[#This Row],[Soil stability2]]</f>
        <v>20</v>
      </c>
    </row>
    <row r="250" spans="3:16" ht="25.5">
      <c r="C250" s="81">
        <v>4457010106</v>
      </c>
      <c r="D250" s="82" t="s">
        <v>337</v>
      </c>
      <c r="E250" s="84">
        <v>6</v>
      </c>
      <c r="H250" s="165"/>
      <c r="J250" s="144" t="s">
        <v>950</v>
      </c>
      <c r="M250" s="144" t="e">
        <f>VLOOKUP(I250,'[3]LGS Pa.'!$B$3:$C$16,2,FALSE)</f>
        <v>#N/A</v>
      </c>
      <c r="N250" s="144">
        <f>VLOOKUP(J250,'[3]LGS Pa.'!$B$3:$C$16,2,FALSE)</f>
        <v>2</v>
      </c>
      <c r="O250" s="144" t="e">
        <f>VLOOKUP(K250,'[3]LGS Pa.'!$B$3:$C$16,2,FALSE)</f>
        <v>#N/A</v>
      </c>
      <c r="P250" s="144">
        <f>$J$3*Table44[[#This Row],[Soil stability2]]</f>
        <v>20</v>
      </c>
    </row>
    <row r="251" spans="3:16" ht="25.5">
      <c r="C251" s="81">
        <v>4457010108</v>
      </c>
      <c r="D251" s="82" t="s">
        <v>338</v>
      </c>
      <c r="E251" s="84">
        <v>6</v>
      </c>
      <c r="H251" s="165"/>
      <c r="J251" s="144" t="s">
        <v>950</v>
      </c>
      <c r="M251" s="144" t="e">
        <f>VLOOKUP(I251,'[3]LGS Pa.'!$B$3:$C$16,2,FALSE)</f>
        <v>#N/A</v>
      </c>
      <c r="N251" s="144">
        <f>VLOOKUP(J251,'[3]LGS Pa.'!$B$3:$C$16,2,FALSE)</f>
        <v>2</v>
      </c>
      <c r="O251" s="144" t="e">
        <f>VLOOKUP(K251,'[3]LGS Pa.'!$B$3:$C$16,2,FALSE)</f>
        <v>#N/A</v>
      </c>
      <c r="P251" s="144">
        <f>$J$3*Table44[[#This Row],[Soil stability2]]</f>
        <v>20</v>
      </c>
    </row>
    <row r="252" spans="3:16" ht="15">
      <c r="C252" s="81" t="s">
        <v>974</v>
      </c>
      <c r="D252" s="82" t="s">
        <v>777</v>
      </c>
      <c r="E252" s="80">
        <v>6</v>
      </c>
      <c r="H252" s="165"/>
      <c r="J252" s="144" t="s">
        <v>950</v>
      </c>
      <c r="M252" s="144" t="e">
        <f>VLOOKUP(I252,'[3]LGS Pa.'!$B$3:$C$16,2,FALSE)</f>
        <v>#N/A</v>
      </c>
      <c r="N252" s="144">
        <f>VLOOKUP(J252,'[3]LGS Pa.'!$B$3:$C$16,2,FALSE)</f>
        <v>2</v>
      </c>
      <c r="O252" s="144" t="e">
        <f>VLOOKUP(K252,'[3]LGS Pa.'!$B$3:$C$16,2,FALSE)</f>
        <v>#N/A</v>
      </c>
      <c r="P252" s="144">
        <f>$J$3*Table44[[#This Row],[Soil stability2]]</f>
        <v>20</v>
      </c>
    </row>
    <row r="253" spans="3:16" ht="15">
      <c r="C253" s="88">
        <v>4457010201</v>
      </c>
      <c r="D253" s="89" t="s">
        <v>789</v>
      </c>
      <c r="E253" s="87">
        <v>6</v>
      </c>
      <c r="H253" s="165"/>
      <c r="J253" s="144" t="s">
        <v>950</v>
      </c>
      <c r="M253" s="144" t="e">
        <f>VLOOKUP(I253,'[3]LGS Pa.'!$B$3:$C$16,2,FALSE)</f>
        <v>#N/A</v>
      </c>
      <c r="N253" s="144">
        <f>VLOOKUP(J253,'[3]LGS Pa.'!$B$3:$C$16,2,FALSE)</f>
        <v>2</v>
      </c>
      <c r="O253" s="144" t="e">
        <f>VLOOKUP(K253,'[3]LGS Pa.'!$B$3:$C$16,2,FALSE)</f>
        <v>#N/A</v>
      </c>
      <c r="P253" s="144">
        <f>$J$3*Table44[[#This Row],[Soil stability2]]</f>
        <v>20</v>
      </c>
    </row>
    <row r="254" spans="3:16" ht="25.5">
      <c r="C254" s="81">
        <v>4457010204</v>
      </c>
      <c r="D254" s="82" t="s">
        <v>339</v>
      </c>
      <c r="E254" s="84">
        <v>6</v>
      </c>
      <c r="H254" s="165"/>
      <c r="J254" s="144" t="s">
        <v>950</v>
      </c>
      <c r="M254" s="144" t="e">
        <f>VLOOKUP(I254,'[3]LGS Pa.'!$B$3:$C$16,2,FALSE)</f>
        <v>#N/A</v>
      </c>
      <c r="N254" s="144">
        <f>VLOOKUP(J254,'[3]LGS Pa.'!$B$3:$C$16,2,FALSE)</f>
        <v>2</v>
      </c>
      <c r="O254" s="144" t="e">
        <f>VLOOKUP(K254,'[3]LGS Pa.'!$B$3:$C$16,2,FALSE)</f>
        <v>#N/A</v>
      </c>
      <c r="P254" s="144">
        <f>$J$3*Table44[[#This Row],[Soil stability2]]</f>
        <v>20</v>
      </c>
    </row>
    <row r="255" spans="3:16" ht="15">
      <c r="C255" s="111">
        <v>620</v>
      </c>
      <c r="D255" s="112" t="s">
        <v>340</v>
      </c>
      <c r="E255" s="113">
        <v>9</v>
      </c>
      <c r="H255" s="165"/>
      <c r="J255" s="144" t="s">
        <v>950</v>
      </c>
      <c r="M255" s="144" t="e">
        <f>VLOOKUP(I255,'[3]LGS Pa.'!$B$3:$C$16,2,FALSE)</f>
        <v>#N/A</v>
      </c>
      <c r="N255" s="144">
        <f>VLOOKUP(J255,'[3]LGS Pa.'!$B$3:$C$16,2,FALSE)</f>
        <v>2</v>
      </c>
      <c r="O255" s="144" t="e">
        <f>VLOOKUP(K255,'[3]LGS Pa.'!$B$3:$C$16,2,FALSE)</f>
        <v>#N/A</v>
      </c>
      <c r="P255" s="144">
        <f>$J$3*Table44[[#This Row],[Soil stability2]]</f>
        <v>20</v>
      </c>
    </row>
    <row r="256" spans="3:16" ht="15">
      <c r="C256" s="81">
        <v>6521</v>
      </c>
      <c r="D256" s="82" t="s">
        <v>779</v>
      </c>
      <c r="E256" s="80">
        <v>9</v>
      </c>
      <c r="H256" s="165"/>
      <c r="J256" s="144" t="s">
        <v>950</v>
      </c>
      <c r="M256" s="144" t="e">
        <f>VLOOKUP(I256,'[3]LGS Pa.'!$B$3:$C$16,2,FALSE)</f>
        <v>#N/A</v>
      </c>
      <c r="N256" s="144">
        <f>VLOOKUP(J256,'[3]LGS Pa.'!$B$3:$C$16,2,FALSE)</f>
        <v>2</v>
      </c>
      <c r="O256" s="144" t="e">
        <f>VLOOKUP(K256,'[3]LGS Pa.'!$B$3:$C$16,2,FALSE)</f>
        <v>#N/A</v>
      </c>
      <c r="P256" s="144">
        <f>$J$3*Table44[[#This Row],[Soil stability2]]</f>
        <v>20</v>
      </c>
    </row>
    <row r="257" spans="3:16" ht="15">
      <c r="C257" s="81">
        <v>652200002</v>
      </c>
      <c r="D257" s="82" t="s">
        <v>784</v>
      </c>
      <c r="E257" s="80">
        <v>9</v>
      </c>
      <c r="H257" s="165"/>
      <c r="J257" s="144" t="s">
        <v>950</v>
      </c>
      <c r="M257" s="144" t="e">
        <f>VLOOKUP(I257,'[3]LGS Pa.'!$B$3:$C$16,2,FALSE)</f>
        <v>#N/A</v>
      </c>
      <c r="N257" s="144">
        <f>VLOOKUP(J257,'[3]LGS Pa.'!$B$3:$C$16,2,FALSE)</f>
        <v>2</v>
      </c>
      <c r="O257" s="144" t="e">
        <f>VLOOKUP(K257,'[3]LGS Pa.'!$B$3:$C$16,2,FALSE)</f>
        <v>#N/A</v>
      </c>
      <c r="P257" s="144">
        <f>$J$3*Table44[[#This Row],[Soil stability2]]</f>
        <v>20</v>
      </c>
    </row>
    <row r="258" spans="3:16" ht="15">
      <c r="C258" s="81">
        <v>6523</v>
      </c>
      <c r="D258" s="82" t="s">
        <v>781</v>
      </c>
      <c r="E258" s="80">
        <v>9</v>
      </c>
      <c r="H258" s="165"/>
      <c r="J258" s="144" t="s">
        <v>951</v>
      </c>
      <c r="M258" s="144" t="e">
        <f>VLOOKUP(I258,'[3]LGS Pa.'!$B$3:$C$16,2,FALSE)</f>
        <v>#N/A</v>
      </c>
      <c r="N258" s="144">
        <f>VLOOKUP(J258,'[3]LGS Pa.'!$B$3:$C$16,2,FALSE)</f>
        <v>5</v>
      </c>
      <c r="O258" s="144" t="e">
        <f>VLOOKUP(K258,'[3]LGS Pa.'!$B$3:$C$16,2,FALSE)</f>
        <v>#N/A</v>
      </c>
      <c r="P258" s="144">
        <f>$J$3*Table44[[#This Row],[Soil stability2]]</f>
        <v>50</v>
      </c>
    </row>
    <row r="259" spans="3:16" ht="15">
      <c r="C259" s="81">
        <v>6525</v>
      </c>
      <c r="D259" s="82" t="s">
        <v>799</v>
      </c>
      <c r="E259" s="80">
        <v>9</v>
      </c>
      <c r="H259" s="165"/>
      <c r="J259" s="144" t="s">
        <v>950</v>
      </c>
      <c r="M259" s="144" t="e">
        <f>VLOOKUP(I259,'[3]LGS Pa.'!$B$3:$C$16,2,FALSE)</f>
        <v>#N/A</v>
      </c>
      <c r="N259" s="144">
        <f>VLOOKUP(J259,'[3]LGS Pa.'!$B$3:$C$16,2,FALSE)</f>
        <v>2</v>
      </c>
      <c r="O259" s="144" t="e">
        <f>VLOOKUP(K259,'[3]LGS Pa.'!$B$3:$C$16,2,FALSE)</f>
        <v>#N/A</v>
      </c>
      <c r="P259" s="144">
        <f>$J$3*Table44[[#This Row],[Soil stability2]]</f>
        <v>20</v>
      </c>
    </row>
    <row r="260" spans="3:16" ht="15">
      <c r="C260" s="81">
        <v>652501</v>
      </c>
      <c r="D260" s="82"/>
      <c r="E260" s="80">
        <v>9</v>
      </c>
      <c r="H260" s="165"/>
      <c r="J260" s="144" t="s">
        <v>950</v>
      </c>
      <c r="M260" s="144" t="e">
        <f>VLOOKUP(I260,'[3]LGS Pa.'!$B$3:$C$16,2,FALSE)</f>
        <v>#N/A</v>
      </c>
      <c r="N260" s="144">
        <f>VLOOKUP(J260,'[3]LGS Pa.'!$B$3:$C$16,2,FALSE)</f>
        <v>2</v>
      </c>
      <c r="O260" s="144" t="e">
        <f>VLOOKUP(K260,'[3]LGS Pa.'!$B$3:$C$16,2,FALSE)</f>
        <v>#N/A</v>
      </c>
      <c r="P260" s="144">
        <f>$J$3*Table44[[#This Row],[Soil stability2]]</f>
        <v>20</v>
      </c>
    </row>
    <row r="261" spans="3:16" ht="15">
      <c r="C261" s="111">
        <v>4470</v>
      </c>
      <c r="D261" s="112" t="s">
        <v>341</v>
      </c>
      <c r="E261" s="113">
        <v>9</v>
      </c>
      <c r="H261" s="165"/>
      <c r="J261" s="144" t="s">
        <v>950</v>
      </c>
      <c r="M261" s="144" t="e">
        <f>VLOOKUP(I261,'[3]LGS Pa.'!$B$3:$C$16,2,FALSE)</f>
        <v>#N/A</v>
      </c>
      <c r="N261" s="144">
        <f>VLOOKUP(J261,'[3]LGS Pa.'!$B$3:$C$16,2,FALSE)</f>
        <v>2</v>
      </c>
      <c r="O261" s="144" t="e">
        <f>VLOOKUP(K261,'[3]LGS Pa.'!$B$3:$C$16,2,FALSE)</f>
        <v>#N/A</v>
      </c>
      <c r="P261" s="144">
        <f>$J$3*Table44[[#This Row],[Soil stability2]]</f>
        <v>20</v>
      </c>
    </row>
    <row r="262" spans="3:16" ht="15">
      <c r="C262" s="81">
        <v>6203</v>
      </c>
      <c r="D262" s="82" t="s">
        <v>342</v>
      </c>
      <c r="E262" s="84">
        <v>9</v>
      </c>
      <c r="H262" s="165"/>
      <c r="J262" s="144" t="s">
        <v>950</v>
      </c>
      <c r="M262" s="144" t="e">
        <f>VLOOKUP(I262,'[3]LGS Pa.'!$B$3:$C$16,2,FALSE)</f>
        <v>#N/A</v>
      </c>
      <c r="N262" s="144">
        <f>VLOOKUP(J262,'[3]LGS Pa.'!$B$3:$C$16,2,FALSE)</f>
        <v>2</v>
      </c>
      <c r="O262" s="144" t="e">
        <f>VLOOKUP(K262,'[3]LGS Pa.'!$B$3:$C$16,2,FALSE)</f>
        <v>#N/A</v>
      </c>
      <c r="P262" s="144">
        <f>$J$3*Table44[[#This Row],[Soil stability2]]</f>
        <v>20</v>
      </c>
    </row>
    <row r="263" spans="3:16" ht="15">
      <c r="C263" s="81">
        <v>6208</v>
      </c>
      <c r="D263" s="82" t="s">
        <v>343</v>
      </c>
      <c r="E263" s="84">
        <v>9</v>
      </c>
      <c r="H263" s="165"/>
      <c r="J263" s="144" t="s">
        <v>950</v>
      </c>
      <c r="M263" s="144" t="e">
        <f>VLOOKUP(I263,'[3]LGS Pa.'!$B$3:$C$16,2,FALSE)</f>
        <v>#N/A</v>
      </c>
      <c r="N263" s="144">
        <f>VLOOKUP(J263,'[3]LGS Pa.'!$B$3:$C$16,2,FALSE)</f>
        <v>2</v>
      </c>
      <c r="O263" s="144" t="e">
        <f>VLOOKUP(K263,'[3]LGS Pa.'!$B$3:$C$16,2,FALSE)</f>
        <v>#N/A</v>
      </c>
      <c r="P263" s="144">
        <f>$J$3*Table44[[#This Row],[Soil stability2]]</f>
        <v>20</v>
      </c>
    </row>
    <row r="264" spans="3:16" ht="15">
      <c r="C264" s="111">
        <v>6531</v>
      </c>
      <c r="D264" s="112" t="s">
        <v>344</v>
      </c>
      <c r="E264" s="113">
        <v>9</v>
      </c>
      <c r="H264" s="165"/>
      <c r="J264" s="144" t="s">
        <v>950</v>
      </c>
      <c r="M264" s="144" t="e">
        <f>VLOOKUP(I264,'[3]LGS Pa.'!$B$3:$C$16,2,FALSE)</f>
        <v>#N/A</v>
      </c>
      <c r="N264" s="144">
        <f>VLOOKUP(J264,'[3]LGS Pa.'!$B$3:$C$16,2,FALSE)</f>
        <v>2</v>
      </c>
      <c r="O264" s="144" t="e">
        <f>VLOOKUP(K264,'[3]LGS Pa.'!$B$3:$C$16,2,FALSE)</f>
        <v>#N/A</v>
      </c>
      <c r="P264" s="144">
        <f>$J$3*Table44[[#This Row],[Soil stability2]]</f>
        <v>20</v>
      </c>
    </row>
    <row r="265" spans="3:16" ht="15">
      <c r="C265" s="81">
        <v>653100001</v>
      </c>
      <c r="D265" s="82"/>
      <c r="E265" s="80">
        <v>9</v>
      </c>
      <c r="H265" s="165"/>
      <c r="J265" s="144" t="s">
        <v>950</v>
      </c>
      <c r="M265" s="144" t="e">
        <f>VLOOKUP(I265,'[3]LGS Pa.'!$B$3:$C$16,2,FALSE)</f>
        <v>#N/A</v>
      </c>
      <c r="N265" s="144">
        <f>VLOOKUP(J265,'[3]LGS Pa.'!$B$3:$C$16,2,FALSE)</f>
        <v>2</v>
      </c>
      <c r="O265" s="144" t="e">
        <f>VLOOKUP(K265,'[3]LGS Pa.'!$B$3:$C$16,2,FALSE)</f>
        <v>#N/A</v>
      </c>
      <c r="P265" s="144">
        <f>$J$3*Table44[[#This Row],[Soil stability2]]</f>
        <v>20</v>
      </c>
    </row>
    <row r="266" spans="3:16" ht="15">
      <c r="C266" s="111">
        <v>65311</v>
      </c>
      <c r="D266" s="112" t="s">
        <v>817</v>
      </c>
      <c r="E266" s="110">
        <v>9</v>
      </c>
      <c r="H266" s="165"/>
      <c r="J266" s="144" t="s">
        <v>950</v>
      </c>
      <c r="M266" s="144" t="e">
        <f>VLOOKUP(I266,'[3]LGS Pa.'!$B$3:$C$16,2,FALSE)</f>
        <v>#N/A</v>
      </c>
      <c r="N266" s="144">
        <f>VLOOKUP(J266,'[3]LGS Pa.'!$B$3:$C$16,2,FALSE)</f>
        <v>2</v>
      </c>
      <c r="O266" s="144" t="e">
        <f>VLOOKUP(K266,'[3]LGS Pa.'!$B$3:$C$16,2,FALSE)</f>
        <v>#N/A</v>
      </c>
      <c r="P266" s="144">
        <f>$J$3*Table44[[#This Row],[Soil stability2]]</f>
        <v>20</v>
      </c>
    </row>
    <row r="267" spans="3:16" ht="15">
      <c r="C267" s="111">
        <v>653110101</v>
      </c>
      <c r="D267" s="112" t="s">
        <v>823</v>
      </c>
      <c r="E267" s="110">
        <v>9</v>
      </c>
      <c r="H267" s="165"/>
      <c r="J267" s="144" t="s">
        <v>951</v>
      </c>
      <c r="M267" s="144" t="e">
        <f>VLOOKUP(I267,'[3]LGS Pa.'!$B$3:$C$16,2,FALSE)</f>
        <v>#N/A</v>
      </c>
      <c r="N267" s="144">
        <f>VLOOKUP(J267,'[3]LGS Pa.'!$B$3:$C$16,2,FALSE)</f>
        <v>5</v>
      </c>
      <c r="O267" s="144" t="e">
        <f>VLOOKUP(K267,'[3]LGS Pa.'!$B$3:$C$16,2,FALSE)</f>
        <v>#N/A</v>
      </c>
      <c r="P267" s="144">
        <f>$J$3*Table44[[#This Row],[Soil stability2]]</f>
        <v>50</v>
      </c>
    </row>
    <row r="268" spans="3:16" ht="15">
      <c r="C268" s="81">
        <v>653110103</v>
      </c>
      <c r="D268" s="82" t="s">
        <v>826</v>
      </c>
      <c r="E268" s="80">
        <v>9</v>
      </c>
      <c r="H268" s="165"/>
      <c r="J268" s="144" t="s">
        <v>950</v>
      </c>
      <c r="M268" s="144" t="e">
        <f>VLOOKUP(I268,'[3]LGS Pa.'!$B$3:$C$16,2,FALSE)</f>
        <v>#N/A</v>
      </c>
      <c r="N268" s="144">
        <f>VLOOKUP(J268,'[3]LGS Pa.'!$B$3:$C$16,2,FALSE)</f>
        <v>2</v>
      </c>
      <c r="O268" s="144" t="e">
        <f>VLOOKUP(K268,'[3]LGS Pa.'!$B$3:$C$16,2,FALSE)</f>
        <v>#N/A</v>
      </c>
      <c r="P268" s="144">
        <f>$J$3*Table44[[#This Row],[Soil stability2]]</f>
        <v>20</v>
      </c>
    </row>
    <row r="269" spans="3:16" ht="15">
      <c r="C269" s="81">
        <v>653110104</v>
      </c>
      <c r="D269" s="82" t="s">
        <v>828</v>
      </c>
      <c r="E269" s="80">
        <v>9</v>
      </c>
      <c r="H269" s="165"/>
      <c r="J269" s="144" t="s">
        <v>950</v>
      </c>
      <c r="M269" s="144" t="e">
        <f>VLOOKUP(I269,'[3]LGS Pa.'!$B$3:$C$16,2,FALSE)</f>
        <v>#N/A</v>
      </c>
      <c r="N269" s="144">
        <f>VLOOKUP(J269,'[3]LGS Pa.'!$B$3:$C$16,2,FALSE)</f>
        <v>2</v>
      </c>
      <c r="O269" s="144" t="e">
        <f>VLOOKUP(K269,'[3]LGS Pa.'!$B$3:$C$16,2,FALSE)</f>
        <v>#N/A</v>
      </c>
      <c r="P269" s="144">
        <f>$J$3*Table44[[#This Row],[Soil stability2]]</f>
        <v>20</v>
      </c>
    </row>
    <row r="270" spans="3:16" ht="15">
      <c r="C270" s="81">
        <v>653110105</v>
      </c>
      <c r="D270" s="82" t="s">
        <v>830</v>
      </c>
      <c r="E270" s="80">
        <v>9</v>
      </c>
      <c r="H270" s="165"/>
      <c r="J270" s="144" t="s">
        <v>951</v>
      </c>
      <c r="M270" s="144" t="e">
        <f>VLOOKUP(I270,'[3]LGS Pa.'!$B$3:$C$16,2,FALSE)</f>
        <v>#N/A</v>
      </c>
      <c r="N270" s="144">
        <f>VLOOKUP(J270,'[3]LGS Pa.'!$B$3:$C$16,2,FALSE)</f>
        <v>5</v>
      </c>
      <c r="O270" s="144" t="e">
        <f>VLOOKUP(K270,'[3]LGS Pa.'!$B$3:$C$16,2,FALSE)</f>
        <v>#N/A</v>
      </c>
      <c r="P270" s="144">
        <f>$J$3*Table44[[#This Row],[Soil stability2]]</f>
        <v>50</v>
      </c>
    </row>
    <row r="271" spans="3:16" ht="15">
      <c r="C271" s="111">
        <v>653110106</v>
      </c>
      <c r="D271" s="112" t="s">
        <v>832</v>
      </c>
      <c r="E271" s="110">
        <v>9</v>
      </c>
      <c r="H271" s="165"/>
      <c r="J271" s="144" t="s">
        <v>951</v>
      </c>
      <c r="M271" s="144" t="e">
        <f>VLOOKUP(I271,'[3]LGS Pa.'!$B$3:$C$16,2,FALSE)</f>
        <v>#N/A</v>
      </c>
      <c r="N271" s="144">
        <f>VLOOKUP(J271,'[3]LGS Pa.'!$B$3:$C$16,2,FALSE)</f>
        <v>5</v>
      </c>
      <c r="O271" s="144" t="e">
        <f>VLOOKUP(K271,'[3]LGS Pa.'!$B$3:$C$16,2,FALSE)</f>
        <v>#N/A</v>
      </c>
      <c r="P271" s="144">
        <f>$J$3*Table44[[#This Row],[Soil stability2]]</f>
        <v>50</v>
      </c>
    </row>
    <row r="272" spans="3:16" ht="15">
      <c r="C272" s="81">
        <v>653110108</v>
      </c>
      <c r="D272" s="82" t="s">
        <v>834</v>
      </c>
      <c r="E272" s="80">
        <v>9</v>
      </c>
      <c r="H272" s="165"/>
      <c r="J272" s="144" t="s">
        <v>951</v>
      </c>
      <c r="M272" s="144" t="e">
        <f>VLOOKUP(I272,'[3]LGS Pa.'!$B$3:$C$16,2,FALSE)</f>
        <v>#N/A</v>
      </c>
      <c r="N272" s="144">
        <f>VLOOKUP(J272,'[3]LGS Pa.'!$B$3:$C$16,2,FALSE)</f>
        <v>5</v>
      </c>
      <c r="O272" s="144" t="e">
        <f>VLOOKUP(K272,'[3]LGS Pa.'!$B$3:$C$16,2,FALSE)</f>
        <v>#N/A</v>
      </c>
      <c r="P272" s="144">
        <f>$J$3*Table44[[#This Row],[Soil stability2]]</f>
        <v>50</v>
      </c>
    </row>
    <row r="273" spans="3:16" ht="15">
      <c r="C273" s="81">
        <v>653110109</v>
      </c>
      <c r="D273" s="82" t="s">
        <v>836</v>
      </c>
      <c r="E273" s="80">
        <v>9</v>
      </c>
      <c r="H273" s="165"/>
      <c r="J273" s="144" t="s">
        <v>950</v>
      </c>
      <c r="M273" s="144" t="e">
        <f>VLOOKUP(I273,'[3]LGS Pa.'!$B$3:$C$16,2,FALSE)</f>
        <v>#N/A</v>
      </c>
      <c r="N273" s="144">
        <f>VLOOKUP(J273,'[3]LGS Pa.'!$B$3:$C$16,2,FALSE)</f>
        <v>2</v>
      </c>
      <c r="O273" s="144" t="e">
        <f>VLOOKUP(K273,'[3]LGS Pa.'!$B$3:$C$16,2,FALSE)</f>
        <v>#N/A</v>
      </c>
      <c r="P273" s="144">
        <f>$J$3*Table44[[#This Row],[Soil stability2]]</f>
        <v>20</v>
      </c>
    </row>
    <row r="274" spans="3:16" ht="15">
      <c r="C274" s="111">
        <v>653110110</v>
      </c>
      <c r="D274" s="112" t="s">
        <v>838</v>
      </c>
      <c r="E274" s="110">
        <v>9</v>
      </c>
      <c r="H274" s="165"/>
      <c r="J274" s="144" t="s">
        <v>951</v>
      </c>
      <c r="M274" s="144" t="e">
        <f>VLOOKUP(I274,'[3]LGS Pa.'!$B$3:$C$16,2,FALSE)</f>
        <v>#N/A</v>
      </c>
      <c r="N274" s="144">
        <f>VLOOKUP(J274,'[3]LGS Pa.'!$B$3:$C$16,2,FALSE)</f>
        <v>5</v>
      </c>
      <c r="O274" s="144" t="e">
        <f>VLOOKUP(K274,'[3]LGS Pa.'!$B$3:$C$16,2,FALSE)</f>
        <v>#N/A</v>
      </c>
      <c r="P274" s="144">
        <f>$J$3*Table44[[#This Row],[Soil stability2]]</f>
        <v>50</v>
      </c>
    </row>
    <row r="275" spans="3:16" ht="15">
      <c r="C275" s="111">
        <v>653110111</v>
      </c>
      <c r="D275" s="112" t="s">
        <v>840</v>
      </c>
      <c r="E275" s="110">
        <v>9</v>
      </c>
      <c r="H275" s="165"/>
      <c r="J275" s="144" t="s">
        <v>951</v>
      </c>
      <c r="M275" s="144" t="e">
        <f>VLOOKUP(I275,'[3]LGS Pa.'!$B$3:$C$16,2,FALSE)</f>
        <v>#N/A</v>
      </c>
      <c r="N275" s="144">
        <f>VLOOKUP(J275,'[3]LGS Pa.'!$B$3:$C$16,2,FALSE)</f>
        <v>5</v>
      </c>
      <c r="O275" s="144" t="e">
        <f>VLOOKUP(K275,'[3]LGS Pa.'!$B$3:$C$16,2,FALSE)</f>
        <v>#N/A</v>
      </c>
      <c r="P275" s="144">
        <f>$J$3*Table44[[#This Row],[Soil stability2]]</f>
        <v>50</v>
      </c>
    </row>
    <row r="276" spans="3:16" ht="15">
      <c r="C276" s="81">
        <v>653110112</v>
      </c>
      <c r="D276" s="82" t="s">
        <v>842</v>
      </c>
      <c r="E276" s="80">
        <v>9</v>
      </c>
      <c r="H276" s="165"/>
      <c r="J276" s="144" t="s">
        <v>951</v>
      </c>
      <c r="M276" s="144" t="e">
        <f>VLOOKUP(I276,'[3]LGS Pa.'!$B$3:$C$16,2,FALSE)</f>
        <v>#N/A</v>
      </c>
      <c r="N276" s="144">
        <f>VLOOKUP(J276,'[3]LGS Pa.'!$B$3:$C$16,2,FALSE)</f>
        <v>5</v>
      </c>
      <c r="O276" s="144" t="e">
        <f>VLOOKUP(K276,'[3]LGS Pa.'!$B$3:$C$16,2,FALSE)</f>
        <v>#N/A</v>
      </c>
      <c r="P276" s="144">
        <f>$J$3*Table44[[#This Row],[Soil stability2]]</f>
        <v>50</v>
      </c>
    </row>
    <row r="277" spans="3:16" ht="15">
      <c r="C277" s="111">
        <v>553110113</v>
      </c>
      <c r="D277" s="112" t="s">
        <v>843</v>
      </c>
      <c r="E277" s="110">
        <v>9</v>
      </c>
      <c r="H277" s="165"/>
      <c r="J277" s="144" t="s">
        <v>951</v>
      </c>
      <c r="M277" s="144" t="e">
        <f>VLOOKUP(I277,'[3]LGS Pa.'!$B$3:$C$16,2,FALSE)</f>
        <v>#N/A</v>
      </c>
      <c r="N277" s="144">
        <f>VLOOKUP(J277,'[3]LGS Pa.'!$B$3:$C$16,2,FALSE)</f>
        <v>5</v>
      </c>
      <c r="O277" s="144" t="e">
        <f>VLOOKUP(K277,'[3]LGS Pa.'!$B$3:$C$16,2,FALSE)</f>
        <v>#N/A</v>
      </c>
      <c r="P277" s="144">
        <f>$J$3*Table44[[#This Row],[Soil stability2]]</f>
        <v>50</v>
      </c>
    </row>
    <row r="278" spans="3:16" ht="15">
      <c r="C278" s="81">
        <v>653110114</v>
      </c>
      <c r="D278" s="82"/>
      <c r="E278" s="80">
        <v>9</v>
      </c>
      <c r="H278" s="165"/>
      <c r="J278" s="144" t="s">
        <v>950</v>
      </c>
      <c r="M278" s="144" t="e">
        <f>VLOOKUP(I278,'[3]LGS Pa.'!$B$3:$C$16,2,FALSE)</f>
        <v>#N/A</v>
      </c>
      <c r="N278" s="144">
        <f>VLOOKUP(J278,'[3]LGS Pa.'!$B$3:$C$16,2,FALSE)</f>
        <v>2</v>
      </c>
      <c r="O278" s="144" t="e">
        <f>VLOOKUP(K278,'[3]LGS Pa.'!$B$3:$C$16,2,FALSE)</f>
        <v>#N/A</v>
      </c>
      <c r="P278" s="144">
        <f>$J$3*Table44[[#This Row],[Soil stability2]]</f>
        <v>20</v>
      </c>
    </row>
    <row r="279" spans="3:16" ht="15">
      <c r="C279" s="81">
        <v>653110115</v>
      </c>
      <c r="D279" s="82" t="s">
        <v>846</v>
      </c>
      <c r="E279" s="80">
        <v>9</v>
      </c>
      <c r="H279" s="165"/>
      <c r="J279" s="144" t="s">
        <v>951</v>
      </c>
      <c r="M279" s="144" t="e">
        <f>VLOOKUP(I279,'[3]LGS Pa.'!$B$3:$C$16,2,FALSE)</f>
        <v>#N/A</v>
      </c>
      <c r="N279" s="144">
        <f>VLOOKUP(J279,'[3]LGS Pa.'!$B$3:$C$16,2,FALSE)</f>
        <v>5</v>
      </c>
      <c r="O279" s="144" t="e">
        <f>VLOOKUP(K279,'[3]LGS Pa.'!$B$3:$C$16,2,FALSE)</f>
        <v>#N/A</v>
      </c>
      <c r="P279" s="144">
        <f>$J$3*Table44[[#This Row],[Soil stability2]]</f>
        <v>50</v>
      </c>
    </row>
    <row r="280" spans="3:16" ht="15">
      <c r="C280" s="81">
        <v>653110116</v>
      </c>
      <c r="D280" s="82" t="s">
        <v>848</v>
      </c>
      <c r="E280" s="80">
        <v>9</v>
      </c>
      <c r="H280" s="165"/>
      <c r="J280" s="144" t="s">
        <v>951</v>
      </c>
      <c r="M280" s="144" t="e">
        <f>VLOOKUP(I280,'[3]LGS Pa.'!$B$3:$C$16,2,FALSE)</f>
        <v>#N/A</v>
      </c>
      <c r="N280" s="144">
        <f>VLOOKUP(J280,'[3]LGS Pa.'!$B$3:$C$16,2,FALSE)</f>
        <v>5</v>
      </c>
      <c r="O280" s="144" t="e">
        <f>VLOOKUP(K280,'[3]LGS Pa.'!$B$3:$C$16,2,FALSE)</f>
        <v>#N/A</v>
      </c>
      <c r="P280" s="144">
        <f>$J$3*Table44[[#This Row],[Soil stability2]]</f>
        <v>50</v>
      </c>
    </row>
    <row r="281" spans="3:16" ht="15">
      <c r="C281" s="81">
        <v>653110117</v>
      </c>
      <c r="D281" s="82" t="s">
        <v>850</v>
      </c>
      <c r="E281" s="80">
        <v>9</v>
      </c>
      <c r="H281" s="165"/>
      <c r="J281" s="144" t="s">
        <v>950</v>
      </c>
      <c r="M281" s="144" t="e">
        <f>VLOOKUP(I281,'[3]LGS Pa.'!$B$3:$C$16,2,FALSE)</f>
        <v>#N/A</v>
      </c>
      <c r="N281" s="144">
        <f>VLOOKUP(J281,'[3]LGS Pa.'!$B$3:$C$16,2,FALSE)</f>
        <v>2</v>
      </c>
      <c r="O281" s="144" t="e">
        <f>VLOOKUP(K281,'[3]LGS Pa.'!$B$3:$C$16,2,FALSE)</f>
        <v>#N/A</v>
      </c>
      <c r="P281" s="144">
        <f>$J$3*Table44[[#This Row],[Soil stability2]]</f>
        <v>20</v>
      </c>
    </row>
    <row r="282" spans="3:16" ht="15">
      <c r="C282" s="81">
        <v>6531102</v>
      </c>
      <c r="D282" s="82" t="s">
        <v>819</v>
      </c>
      <c r="E282" s="80">
        <v>9</v>
      </c>
      <c r="H282" s="165"/>
      <c r="J282" s="144" t="s">
        <v>950</v>
      </c>
      <c r="M282" s="144" t="e">
        <f>VLOOKUP(I282,'[3]LGS Pa.'!$B$3:$C$16,2,FALSE)</f>
        <v>#N/A</v>
      </c>
      <c r="N282" s="144">
        <f>VLOOKUP(J282,'[3]LGS Pa.'!$B$3:$C$16,2,FALSE)</f>
        <v>2</v>
      </c>
      <c r="O282" s="144" t="e">
        <f>VLOOKUP(K282,'[3]LGS Pa.'!$B$3:$C$16,2,FALSE)</f>
        <v>#N/A</v>
      </c>
      <c r="P282" s="144">
        <f>$J$3*Table44[[#This Row],[Soil stability2]]</f>
        <v>20</v>
      </c>
    </row>
    <row r="283" spans="3:16" ht="15">
      <c r="C283" s="111">
        <v>653110201</v>
      </c>
      <c r="D283" s="112" t="s">
        <v>852</v>
      </c>
      <c r="E283" s="110">
        <v>9</v>
      </c>
      <c r="H283" s="165"/>
      <c r="J283" s="144" t="s">
        <v>951</v>
      </c>
      <c r="M283" s="144" t="e">
        <f>VLOOKUP(I283,'[3]LGS Pa.'!$B$3:$C$16,2,FALSE)</f>
        <v>#N/A</v>
      </c>
      <c r="N283" s="144">
        <f>VLOOKUP(J283,'[3]LGS Pa.'!$B$3:$C$16,2,FALSE)</f>
        <v>5</v>
      </c>
      <c r="O283" s="144" t="e">
        <f>VLOOKUP(K283,'[3]LGS Pa.'!$B$3:$C$16,2,FALSE)</f>
        <v>#N/A</v>
      </c>
      <c r="P283" s="144">
        <f>$J$3*Table44[[#This Row],[Soil stability2]]</f>
        <v>50</v>
      </c>
    </row>
    <row r="284" spans="3:16" ht="15">
      <c r="C284" s="81">
        <v>653110202</v>
      </c>
      <c r="D284" s="82" t="s">
        <v>819</v>
      </c>
      <c r="E284" s="80">
        <v>9</v>
      </c>
      <c r="H284" s="165"/>
      <c r="J284" s="144" t="s">
        <v>951</v>
      </c>
      <c r="M284" s="144" t="e">
        <f>VLOOKUP(I284,'[3]LGS Pa.'!$B$3:$C$16,2,FALSE)</f>
        <v>#N/A</v>
      </c>
      <c r="N284" s="144">
        <f>VLOOKUP(J284,'[3]LGS Pa.'!$B$3:$C$16,2,FALSE)</f>
        <v>5</v>
      </c>
      <c r="O284" s="144" t="e">
        <f>VLOOKUP(K284,'[3]LGS Pa.'!$B$3:$C$16,2,FALSE)</f>
        <v>#N/A</v>
      </c>
      <c r="P284" s="144">
        <f>$J$3*Table44[[#This Row],[Soil stability2]]</f>
        <v>50</v>
      </c>
    </row>
    <row r="285" spans="3:16" ht="15">
      <c r="C285" s="81">
        <v>6531103</v>
      </c>
      <c r="D285" s="82"/>
      <c r="E285" s="80">
        <v>9</v>
      </c>
      <c r="H285" s="165"/>
      <c r="J285" s="144" t="s">
        <v>951</v>
      </c>
      <c r="M285" s="144" t="e">
        <f>VLOOKUP(I285,'[3]LGS Pa.'!$B$3:$C$16,2,FALSE)</f>
        <v>#N/A</v>
      </c>
      <c r="N285" s="144">
        <f>VLOOKUP(J285,'[3]LGS Pa.'!$B$3:$C$16,2,FALSE)</f>
        <v>5</v>
      </c>
      <c r="O285" s="144" t="e">
        <f>VLOOKUP(K285,'[3]LGS Pa.'!$B$3:$C$16,2,FALSE)</f>
        <v>#N/A</v>
      </c>
      <c r="P285" s="144">
        <f>$J$3*Table44[[#This Row],[Soil stability2]]</f>
        <v>50</v>
      </c>
    </row>
    <row r="286" spans="3:16" ht="15">
      <c r="C286" s="81">
        <v>6531104</v>
      </c>
      <c r="D286" s="82"/>
      <c r="E286" s="80">
        <v>9</v>
      </c>
      <c r="H286" s="165"/>
      <c r="J286" s="144" t="s">
        <v>950</v>
      </c>
      <c r="M286" s="144" t="e">
        <f>VLOOKUP(I286,'[3]LGS Pa.'!$B$3:$C$16,2,FALSE)</f>
        <v>#N/A</v>
      </c>
      <c r="N286" s="144">
        <f>VLOOKUP(J286,'[3]LGS Pa.'!$B$3:$C$16,2,FALSE)</f>
        <v>2</v>
      </c>
      <c r="O286" s="144" t="e">
        <f>VLOOKUP(K286,'[3]LGS Pa.'!$B$3:$C$16,2,FALSE)</f>
        <v>#N/A</v>
      </c>
      <c r="P286" s="144">
        <f>$J$3*Table44[[#This Row],[Soil stability2]]</f>
        <v>20</v>
      </c>
    </row>
    <row r="287" spans="3:16" ht="15">
      <c r="C287" s="81">
        <v>63401</v>
      </c>
      <c r="D287" s="82" t="s">
        <v>345</v>
      </c>
      <c r="E287" s="84">
        <v>9</v>
      </c>
      <c r="H287" s="165"/>
      <c r="J287" s="144" t="s">
        <v>950</v>
      </c>
      <c r="M287" s="144" t="e">
        <f>VLOOKUP(I287,'[3]LGS Pa.'!$B$3:$C$16,2,FALSE)</f>
        <v>#N/A</v>
      </c>
      <c r="N287" s="144">
        <f>VLOOKUP(J287,'[3]LGS Pa.'!$B$3:$C$16,2,FALSE)</f>
        <v>2</v>
      </c>
      <c r="O287" s="144" t="e">
        <f>VLOOKUP(K287,'[3]LGS Pa.'!$B$3:$C$16,2,FALSE)</f>
        <v>#N/A</v>
      </c>
      <c r="P287" s="144">
        <f>$J$3*Table44[[#This Row],[Soil stability2]]</f>
        <v>20</v>
      </c>
    </row>
    <row r="288" spans="3:16" ht="15">
      <c r="C288" s="81">
        <v>6340101</v>
      </c>
      <c r="D288" s="82" t="s">
        <v>793</v>
      </c>
      <c r="E288" s="80">
        <v>9</v>
      </c>
      <c r="H288" s="165"/>
      <c r="J288" s="144" t="s">
        <v>950</v>
      </c>
      <c r="M288" s="144" t="e">
        <f>VLOOKUP(I288,'[3]LGS Pa.'!$B$3:$C$16,2,FALSE)</f>
        <v>#N/A</v>
      </c>
      <c r="N288" s="144">
        <f>VLOOKUP(J288,'[3]LGS Pa.'!$B$3:$C$16,2,FALSE)</f>
        <v>2</v>
      </c>
      <c r="O288" s="144" t="e">
        <f>VLOOKUP(K288,'[3]LGS Pa.'!$B$3:$C$16,2,FALSE)</f>
        <v>#N/A</v>
      </c>
      <c r="P288" s="144">
        <f>$J$3*Table44[[#This Row],[Soil stability2]]</f>
        <v>20</v>
      </c>
    </row>
    <row r="289" spans="3:16" ht="15">
      <c r="C289" s="81">
        <v>634010101</v>
      </c>
      <c r="D289" s="82" t="s">
        <v>793</v>
      </c>
      <c r="E289" s="80">
        <v>9</v>
      </c>
      <c r="H289" s="165"/>
      <c r="J289" s="144" t="s">
        <v>950</v>
      </c>
      <c r="M289" s="144" t="e">
        <f>VLOOKUP(I289,'[3]LGS Pa.'!$B$3:$C$16,2,FALSE)</f>
        <v>#N/A</v>
      </c>
      <c r="N289" s="144">
        <f>VLOOKUP(J289,'[3]LGS Pa.'!$B$3:$C$16,2,FALSE)</f>
        <v>2</v>
      </c>
      <c r="O289" s="144" t="e">
        <f>VLOOKUP(K289,'[3]LGS Pa.'!$B$3:$C$16,2,FALSE)</f>
        <v>#N/A</v>
      </c>
      <c r="P289" s="144">
        <f>$J$3*Table44[[#This Row],[Soil stability2]]</f>
        <v>20</v>
      </c>
    </row>
    <row r="290" spans="3:16" ht="15">
      <c r="C290" s="81">
        <v>6340102</v>
      </c>
      <c r="D290" s="82" t="s">
        <v>795</v>
      </c>
      <c r="E290" s="80">
        <v>9</v>
      </c>
      <c r="H290" s="165"/>
      <c r="J290" s="144" t="s">
        <v>950</v>
      </c>
      <c r="M290" s="144" t="e">
        <f>VLOOKUP(I290,'[3]LGS Pa.'!$B$3:$C$16,2,FALSE)</f>
        <v>#N/A</v>
      </c>
      <c r="N290" s="144">
        <f>VLOOKUP(J290,'[3]LGS Pa.'!$B$3:$C$16,2,FALSE)</f>
        <v>2</v>
      </c>
      <c r="O290" s="144" t="e">
        <f>VLOOKUP(K290,'[3]LGS Pa.'!$B$3:$C$16,2,FALSE)</f>
        <v>#N/A</v>
      </c>
      <c r="P290" s="144">
        <f>$J$3*Table44[[#This Row],[Soil stability2]]</f>
        <v>20</v>
      </c>
    </row>
    <row r="291" spans="3:16" ht="15">
      <c r="C291" s="81">
        <v>65306</v>
      </c>
      <c r="D291" s="82" t="s">
        <v>346</v>
      </c>
      <c r="E291" s="84">
        <v>9</v>
      </c>
      <c r="H291" s="165"/>
      <c r="J291" s="144" t="s">
        <v>950</v>
      </c>
      <c r="M291" s="144" t="e">
        <f>VLOOKUP(I291,'[3]LGS Pa.'!$B$3:$C$16,2,FALSE)</f>
        <v>#N/A</v>
      </c>
      <c r="N291" s="144">
        <f>VLOOKUP(J291,'[3]LGS Pa.'!$B$3:$C$16,2,FALSE)</f>
        <v>2</v>
      </c>
      <c r="O291" s="144" t="e">
        <f>VLOOKUP(K291,'[3]LGS Pa.'!$B$3:$C$16,2,FALSE)</f>
        <v>#N/A</v>
      </c>
      <c r="P291" s="144">
        <f>$J$3*Table44[[#This Row],[Soil stability2]]</f>
        <v>20</v>
      </c>
    </row>
    <row r="292" spans="3:16" ht="15">
      <c r="C292" s="81">
        <v>653050001</v>
      </c>
      <c r="D292" s="82" t="s">
        <v>801</v>
      </c>
      <c r="E292" s="80">
        <v>9</v>
      </c>
      <c r="H292" s="165"/>
      <c r="J292" s="144" t="s">
        <v>950</v>
      </c>
      <c r="M292" s="144" t="e">
        <f>VLOOKUP(I292,'[3]LGS Pa.'!$B$3:$C$16,2,FALSE)</f>
        <v>#N/A</v>
      </c>
      <c r="N292" s="144">
        <f>VLOOKUP(J292,'[3]LGS Pa.'!$B$3:$C$16,2,FALSE)</f>
        <v>2</v>
      </c>
      <c r="O292" s="144" t="e">
        <f>VLOOKUP(K292,'[3]LGS Pa.'!$B$3:$C$16,2,FALSE)</f>
        <v>#N/A</v>
      </c>
      <c r="P292" s="144">
        <f>$J$3*Table44[[#This Row],[Soil stability2]]</f>
        <v>20</v>
      </c>
    </row>
    <row r="293" spans="3:16" ht="15">
      <c r="C293" s="81">
        <v>653050002</v>
      </c>
      <c r="D293" s="82" t="s">
        <v>803</v>
      </c>
      <c r="E293" s="80">
        <v>9</v>
      </c>
      <c r="H293" s="165"/>
      <c r="J293" s="144" t="s">
        <v>950</v>
      </c>
      <c r="M293" s="144" t="e">
        <f>VLOOKUP(I293,'[3]LGS Pa.'!$B$3:$C$16,2,FALSE)</f>
        <v>#N/A</v>
      </c>
      <c r="N293" s="144">
        <f>VLOOKUP(J293,'[3]LGS Pa.'!$B$3:$C$16,2,FALSE)</f>
        <v>2</v>
      </c>
      <c r="O293" s="144" t="e">
        <f>VLOOKUP(K293,'[3]LGS Pa.'!$B$3:$C$16,2,FALSE)</f>
        <v>#N/A</v>
      </c>
      <c r="P293" s="144">
        <f>$J$3*Table44[[#This Row],[Soil stability2]]</f>
        <v>20</v>
      </c>
    </row>
    <row r="294" spans="3:16" ht="15">
      <c r="C294" s="81">
        <v>653060001</v>
      </c>
      <c r="D294" s="82" t="s">
        <v>346</v>
      </c>
      <c r="E294" s="80">
        <v>9</v>
      </c>
      <c r="H294" s="165"/>
      <c r="J294" s="144" t="s">
        <v>950</v>
      </c>
      <c r="M294" s="144" t="e">
        <f>VLOOKUP(I294,'[3]LGS Pa.'!$B$3:$C$16,2,FALSE)</f>
        <v>#N/A</v>
      </c>
      <c r="N294" s="144">
        <f>VLOOKUP(J294,'[3]LGS Pa.'!$B$3:$C$16,2,FALSE)</f>
        <v>2</v>
      </c>
      <c r="O294" s="144" t="e">
        <f>VLOOKUP(K294,'[3]LGS Pa.'!$B$3:$C$16,2,FALSE)</f>
        <v>#N/A</v>
      </c>
      <c r="P294" s="144">
        <f>$J$3*Table44[[#This Row],[Soil stability2]]</f>
        <v>20</v>
      </c>
    </row>
    <row r="295" spans="3:16" ht="15">
      <c r="C295" s="81">
        <v>410903</v>
      </c>
      <c r="D295" s="82" t="s">
        <v>347</v>
      </c>
      <c r="E295" s="84">
        <v>9</v>
      </c>
      <c r="H295" s="165"/>
      <c r="J295" s="144" t="s">
        <v>950</v>
      </c>
      <c r="M295" s="144" t="e">
        <f>VLOOKUP(I295,'[3]LGS Pa.'!$B$3:$C$16,2,FALSE)</f>
        <v>#N/A</v>
      </c>
      <c r="N295" s="144">
        <f>VLOOKUP(J295,'[3]LGS Pa.'!$B$3:$C$16,2,FALSE)</f>
        <v>2</v>
      </c>
      <c r="O295" s="144" t="e">
        <f>VLOOKUP(K295,'[3]LGS Pa.'!$B$3:$C$16,2,FALSE)</f>
        <v>#N/A</v>
      </c>
      <c r="P295" s="144">
        <f>$J$3*Table44[[#This Row],[Soil stability2]]</f>
        <v>20</v>
      </c>
    </row>
    <row r="296" spans="3:16" ht="15">
      <c r="C296" s="81">
        <v>6203004</v>
      </c>
      <c r="D296" s="82" t="s">
        <v>348</v>
      </c>
      <c r="E296" s="84">
        <v>9</v>
      </c>
      <c r="H296" s="165"/>
      <c r="J296" s="144" t="s">
        <v>950</v>
      </c>
      <c r="M296" s="144" t="e">
        <f>VLOOKUP(I296,'[3]LGS Pa.'!$B$3:$C$16,2,FALSE)</f>
        <v>#N/A</v>
      </c>
      <c r="N296" s="144">
        <f>VLOOKUP(J296,'[3]LGS Pa.'!$B$3:$C$16,2,FALSE)</f>
        <v>2</v>
      </c>
      <c r="O296" s="144" t="e">
        <f>VLOOKUP(K296,'[3]LGS Pa.'!$B$3:$C$16,2,FALSE)</f>
        <v>#N/A</v>
      </c>
      <c r="P296" s="144">
        <f>$J$3*Table44[[#This Row],[Soil stability2]]</f>
        <v>20</v>
      </c>
    </row>
    <row r="297" spans="3:16" ht="15">
      <c r="C297" s="81">
        <v>651100001</v>
      </c>
      <c r="D297" s="82" t="s">
        <v>349</v>
      </c>
      <c r="E297" s="84">
        <v>9</v>
      </c>
      <c r="H297" s="165"/>
      <c r="J297" s="144" t="s">
        <v>950</v>
      </c>
      <c r="M297" s="144" t="e">
        <f>VLOOKUP(I297,'[3]LGS Pa.'!$B$3:$C$16,2,FALSE)</f>
        <v>#N/A</v>
      </c>
      <c r="N297" s="144">
        <f>VLOOKUP(J297,'[3]LGS Pa.'!$B$3:$C$16,2,FALSE)</f>
        <v>2</v>
      </c>
      <c r="O297" s="144" t="e">
        <f>VLOOKUP(K297,'[3]LGS Pa.'!$B$3:$C$16,2,FALSE)</f>
        <v>#N/A</v>
      </c>
      <c r="P297" s="144">
        <f>$J$3*Table44[[#This Row],[Soil stability2]]</f>
        <v>20</v>
      </c>
    </row>
    <row r="298" spans="3:16" ht="15">
      <c r="C298" s="81">
        <v>651100002</v>
      </c>
      <c r="D298" s="82" t="s">
        <v>809</v>
      </c>
      <c r="E298" s="80">
        <v>9</v>
      </c>
      <c r="H298" s="165"/>
      <c r="J298" s="144" t="s">
        <v>950</v>
      </c>
      <c r="M298" s="144" t="e">
        <f>VLOOKUP(I298,'[3]LGS Pa.'!$B$3:$C$16,2,FALSE)</f>
        <v>#N/A</v>
      </c>
      <c r="N298" s="144">
        <f>VLOOKUP(J298,'[3]LGS Pa.'!$B$3:$C$16,2,FALSE)</f>
        <v>2</v>
      </c>
      <c r="O298" s="144" t="e">
        <f>VLOOKUP(K298,'[3]LGS Pa.'!$B$3:$C$16,2,FALSE)</f>
        <v>#N/A</v>
      </c>
      <c r="P298" s="144">
        <f>$J$3*Table44[[#This Row],[Soil stability2]]</f>
        <v>20</v>
      </c>
    </row>
    <row r="299" spans="3:16" ht="15">
      <c r="C299" s="81">
        <v>651100003</v>
      </c>
      <c r="D299" s="82" t="s">
        <v>811</v>
      </c>
      <c r="E299" s="80">
        <v>9</v>
      </c>
      <c r="H299" s="165"/>
      <c r="J299" s="144" t="s">
        <v>950</v>
      </c>
      <c r="M299" s="144" t="e">
        <f>VLOOKUP(I299,'[3]LGS Pa.'!$B$3:$C$16,2,FALSE)</f>
        <v>#N/A</v>
      </c>
      <c r="N299" s="144">
        <f>VLOOKUP(J299,'[3]LGS Pa.'!$B$3:$C$16,2,FALSE)</f>
        <v>2</v>
      </c>
      <c r="O299" s="144" t="e">
        <f>VLOOKUP(K299,'[3]LGS Pa.'!$B$3:$C$16,2,FALSE)</f>
        <v>#N/A</v>
      </c>
      <c r="P299" s="144">
        <f>$J$3*Table44[[#This Row],[Soil stability2]]</f>
        <v>20</v>
      </c>
    </row>
    <row r="300" spans="3:16" ht="15">
      <c r="C300" s="81">
        <v>651100004</v>
      </c>
      <c r="D300" s="82" t="s">
        <v>813</v>
      </c>
      <c r="E300" s="80">
        <v>9</v>
      </c>
      <c r="H300" s="165"/>
      <c r="J300" s="144" t="s">
        <v>950</v>
      </c>
      <c r="M300" s="144" t="e">
        <f>VLOOKUP(I300,'[3]LGS Pa.'!$B$3:$C$16,2,FALSE)</f>
        <v>#N/A</v>
      </c>
      <c r="N300" s="144">
        <f>VLOOKUP(J300,'[3]LGS Pa.'!$B$3:$C$16,2,FALSE)</f>
        <v>2</v>
      </c>
      <c r="O300" s="144" t="e">
        <f>VLOOKUP(K300,'[3]LGS Pa.'!$B$3:$C$16,2,FALSE)</f>
        <v>#N/A</v>
      </c>
      <c r="P300" s="144">
        <f>$J$3*Table44[[#This Row],[Soil stability2]]</f>
        <v>20</v>
      </c>
    </row>
    <row r="301" spans="3:16" ht="15">
      <c r="C301" s="81">
        <v>651200001</v>
      </c>
      <c r="D301" s="82" t="s">
        <v>815</v>
      </c>
      <c r="E301" s="80">
        <v>9</v>
      </c>
      <c r="H301" s="165"/>
      <c r="J301" s="144" t="s">
        <v>950</v>
      </c>
      <c r="M301" s="144" t="e">
        <f>VLOOKUP(I301,'[3]LGS Pa.'!$B$3:$C$16,2,FALSE)</f>
        <v>#N/A</v>
      </c>
      <c r="N301" s="144">
        <f>VLOOKUP(J301,'[3]LGS Pa.'!$B$3:$C$16,2,FALSE)</f>
        <v>2</v>
      </c>
      <c r="O301" s="144" t="e">
        <f>VLOOKUP(K301,'[3]LGS Pa.'!$B$3:$C$16,2,FALSE)</f>
        <v>#N/A</v>
      </c>
      <c r="P301" s="144">
        <f>$J$3*Table44[[#This Row],[Soil stability2]]</f>
        <v>20</v>
      </c>
    </row>
    <row r="302" spans="3:16" ht="15">
      <c r="C302" s="96">
        <v>651300001</v>
      </c>
      <c r="D302" s="97" t="s">
        <v>350</v>
      </c>
      <c r="E302" s="94">
        <v>9</v>
      </c>
      <c r="H302" s="165"/>
      <c r="J302" s="144" t="s">
        <v>950</v>
      </c>
      <c r="M302" s="144" t="e">
        <f>VLOOKUP(I302,'[3]LGS Pa.'!$B$3:$C$16,2,FALSE)</f>
        <v>#N/A</v>
      </c>
      <c r="N302" s="144">
        <f>VLOOKUP(J302,'[3]LGS Pa.'!$B$3:$C$16,2,FALSE)</f>
        <v>2</v>
      </c>
      <c r="O302" s="144" t="e">
        <f>VLOOKUP(K302,'[3]LGS Pa.'!$B$3:$C$16,2,FALSE)</f>
        <v>#N/A</v>
      </c>
      <c r="P302" s="144">
        <f>$J$3*Table44[[#This Row],[Soil stability2]]</f>
        <v>20</v>
      </c>
    </row>
    <row r="303" spans="3:16" ht="15">
      <c r="C303" s="81">
        <v>65130101</v>
      </c>
      <c r="D303" s="82" t="s">
        <v>805</v>
      </c>
      <c r="E303" s="80">
        <v>9</v>
      </c>
      <c r="H303" s="165"/>
      <c r="J303" s="144" t="s">
        <v>950</v>
      </c>
      <c r="M303" s="144" t="e">
        <f>VLOOKUP(I303,'[3]LGS Pa.'!$B$3:$C$16,2,FALSE)</f>
        <v>#N/A</v>
      </c>
      <c r="N303" s="144">
        <f>VLOOKUP(J303,'[3]LGS Pa.'!$B$3:$C$16,2,FALSE)</f>
        <v>2</v>
      </c>
      <c r="O303" s="144" t="e">
        <f>VLOOKUP(K303,'[3]LGS Pa.'!$B$3:$C$16,2,FALSE)</f>
        <v>#N/A</v>
      </c>
      <c r="P303" s="144">
        <f>$J$3*Table44[[#This Row],[Soil stability2]]</f>
        <v>20</v>
      </c>
    </row>
    <row r="304" spans="3:16" ht="15">
      <c r="C304" s="81">
        <v>65130201</v>
      </c>
      <c r="D304" s="82" t="s">
        <v>807</v>
      </c>
      <c r="E304" s="80">
        <v>9</v>
      </c>
      <c r="H304" s="165"/>
      <c r="J304" s="144" t="s">
        <v>950</v>
      </c>
      <c r="M304" s="144" t="e">
        <f>VLOOKUP(I304,'[3]LGS Pa.'!$B$3:$C$16,2,FALSE)</f>
        <v>#N/A</v>
      </c>
      <c r="N304" s="144">
        <f>VLOOKUP(J304,'[3]LGS Pa.'!$B$3:$C$16,2,FALSE)</f>
        <v>2</v>
      </c>
      <c r="O304" s="144" t="e">
        <f>VLOOKUP(K304,'[3]LGS Pa.'!$B$3:$C$16,2,FALSE)</f>
        <v>#N/A</v>
      </c>
      <c r="P304" s="144">
        <f>$J$3*Table44[[#This Row],[Soil stability2]]</f>
        <v>20</v>
      </c>
    </row>
    <row r="305" spans="3:16" ht="15">
      <c r="C305" s="137">
        <v>3301</v>
      </c>
      <c r="D305" s="137" t="s">
        <v>943</v>
      </c>
      <c r="E305" s="106">
        <v>3</v>
      </c>
      <c r="H305" s="165"/>
      <c r="J305" s="144" t="s">
        <v>950</v>
      </c>
      <c r="M305" s="144" t="e">
        <f>VLOOKUP(I305,'[3]LGS Pa.'!$B$3:$C$16,2,FALSE)</f>
        <v>#N/A</v>
      </c>
      <c r="N305" s="144">
        <f>VLOOKUP(J305,'[3]LGS Pa.'!$B$3:$C$16,2,FALSE)</f>
        <v>2</v>
      </c>
      <c r="O305" s="144" t="e">
        <f>VLOOKUP(K305,'[3]LGS Pa.'!$B$3:$C$16,2,FALSE)</f>
        <v>#N/A</v>
      </c>
      <c r="P305" s="144">
        <f>$J$3*Table44[[#This Row],[Soil stability2]]</f>
        <v>20</v>
      </c>
    </row>
    <row r="306" spans="3:16" ht="15">
      <c r="C306" s="137">
        <v>330100001</v>
      </c>
      <c r="D306" s="137" t="s">
        <v>930</v>
      </c>
      <c r="E306" s="106">
        <v>3</v>
      </c>
      <c r="H306" s="165"/>
      <c r="J306" s="144" t="s">
        <v>950</v>
      </c>
      <c r="M306" s="144" t="e">
        <f>VLOOKUP(I306,'[3]LGS Pa.'!$B$3:$C$16,2,FALSE)</f>
        <v>#N/A</v>
      </c>
      <c r="N306" s="144">
        <f>VLOOKUP(J306,'[3]LGS Pa.'!$B$3:$C$16,2,FALSE)</f>
        <v>2</v>
      </c>
      <c r="O306" s="144" t="e">
        <f>VLOOKUP(K306,'[3]LGS Pa.'!$B$3:$C$16,2,FALSE)</f>
        <v>#N/A</v>
      </c>
      <c r="P306" s="144">
        <f>$J$3*Table44[[#This Row],[Soil stability2]]</f>
        <v>20</v>
      </c>
    </row>
    <row r="307" spans="3:16" ht="15">
      <c r="C307" s="137">
        <v>330100004</v>
      </c>
      <c r="D307" s="137" t="s">
        <v>769</v>
      </c>
      <c r="E307" s="106">
        <v>3</v>
      </c>
      <c r="H307" s="165"/>
      <c r="J307" s="144" t="s">
        <v>950</v>
      </c>
      <c r="M307" s="144" t="e">
        <f>VLOOKUP(I307,'[3]LGS Pa.'!$B$3:$C$16,2,FALSE)</f>
        <v>#N/A</v>
      </c>
      <c r="N307" s="144">
        <f>VLOOKUP(J307,'[3]LGS Pa.'!$B$3:$C$16,2,FALSE)</f>
        <v>2</v>
      </c>
      <c r="O307" s="144" t="e">
        <f>VLOOKUP(K307,'[3]LGS Pa.'!$B$3:$C$16,2,FALSE)</f>
        <v>#N/A</v>
      </c>
      <c r="P307" s="144">
        <f>$J$3*Table44[[#This Row],[Soil stability2]]</f>
        <v>20</v>
      </c>
    </row>
    <row r="308" spans="3:16" ht="15">
      <c r="C308" s="136">
        <v>3302</v>
      </c>
      <c r="D308" s="136" t="s">
        <v>917</v>
      </c>
      <c r="E308" s="106">
        <v>3</v>
      </c>
      <c r="H308" s="165"/>
      <c r="J308" s="144" t="s">
        <v>950</v>
      </c>
      <c r="M308" s="144" t="e">
        <f>VLOOKUP(I308,'[3]LGS Pa.'!$B$3:$C$16,2,FALSE)</f>
        <v>#N/A</v>
      </c>
      <c r="N308" s="144">
        <f>VLOOKUP(J308,'[3]LGS Pa.'!$B$3:$C$16,2,FALSE)</f>
        <v>2</v>
      </c>
      <c r="O308" s="144" t="e">
        <f>VLOOKUP(K308,'[3]LGS Pa.'!$B$3:$C$16,2,FALSE)</f>
        <v>#N/A</v>
      </c>
      <c r="P308" s="144">
        <f>$J$3*Table44[[#This Row],[Soil stability2]]</f>
        <v>20</v>
      </c>
    </row>
    <row r="309" spans="3:16" ht="15">
      <c r="C309" s="137">
        <v>3303</v>
      </c>
      <c r="D309" s="137" t="s">
        <v>923</v>
      </c>
      <c r="E309" s="106">
        <v>3</v>
      </c>
      <c r="H309" s="165"/>
      <c r="J309" s="144" t="s">
        <v>950</v>
      </c>
      <c r="M309" s="144" t="e">
        <f>VLOOKUP(I309,'[3]LGS Pa.'!$B$3:$C$16,2,FALSE)</f>
        <v>#N/A</v>
      </c>
      <c r="N309" s="144">
        <f>VLOOKUP(J309,'[3]LGS Pa.'!$B$3:$C$16,2,FALSE)</f>
        <v>2</v>
      </c>
      <c r="O309" s="144" t="e">
        <f>VLOOKUP(K309,'[3]LGS Pa.'!$B$3:$C$16,2,FALSE)</f>
        <v>#N/A</v>
      </c>
      <c r="P309" s="144">
        <f>$J$3*Table44[[#This Row],[Soil stability2]]</f>
        <v>20</v>
      </c>
    </row>
    <row r="310" spans="3:16" ht="15">
      <c r="C310" s="136">
        <v>330300002</v>
      </c>
      <c r="D310" s="136" t="s">
        <v>927</v>
      </c>
      <c r="E310" s="106">
        <v>3</v>
      </c>
      <c r="H310" s="165"/>
      <c r="J310" s="144" t="s">
        <v>950</v>
      </c>
      <c r="M310" s="144" t="e">
        <f>VLOOKUP(I310,'[3]LGS Pa.'!$B$3:$C$16,2,FALSE)</f>
        <v>#N/A</v>
      </c>
      <c r="N310" s="144">
        <f>VLOOKUP(J310,'[3]LGS Pa.'!$B$3:$C$16,2,FALSE)</f>
        <v>2</v>
      </c>
      <c r="O310" s="144" t="e">
        <f>VLOOKUP(K310,'[3]LGS Pa.'!$B$3:$C$16,2,FALSE)</f>
        <v>#N/A</v>
      </c>
      <c r="P310" s="144">
        <f>$J$3*Table44[[#This Row],[Soil stability2]]</f>
        <v>20</v>
      </c>
    </row>
    <row r="311" spans="3:16" ht="15">
      <c r="C311" s="136">
        <v>330300004</v>
      </c>
      <c r="D311" s="136" t="s">
        <v>925</v>
      </c>
      <c r="E311" s="106">
        <v>3</v>
      </c>
      <c r="H311" s="165"/>
      <c r="J311" s="144" t="s">
        <v>950</v>
      </c>
      <c r="M311" s="144" t="e">
        <f>VLOOKUP(I311,'[3]LGS Pa.'!$B$3:$C$16,2,FALSE)</f>
        <v>#N/A</v>
      </c>
      <c r="N311" s="144">
        <f>VLOOKUP(J311,'[3]LGS Pa.'!$B$3:$C$16,2,FALSE)</f>
        <v>2</v>
      </c>
      <c r="O311" s="144" t="e">
        <f>VLOOKUP(K311,'[3]LGS Pa.'!$B$3:$C$16,2,FALSE)</f>
        <v>#N/A</v>
      </c>
      <c r="P311" s="144">
        <f>$J$3*Table44[[#This Row],[Soil stability2]]</f>
        <v>20</v>
      </c>
    </row>
    <row r="312" spans="3:16" ht="15">
      <c r="C312" s="137">
        <v>330400005</v>
      </c>
      <c r="D312" s="137" t="s">
        <v>931</v>
      </c>
      <c r="E312" s="106">
        <v>3</v>
      </c>
      <c r="H312" s="165"/>
      <c r="J312" s="144" t="s">
        <v>950</v>
      </c>
      <c r="M312" s="144" t="e">
        <f>VLOOKUP(I312,'[3]LGS Pa.'!$B$3:$C$16,2,FALSE)</f>
        <v>#N/A</v>
      </c>
      <c r="N312" s="144">
        <f>VLOOKUP(J312,'[3]LGS Pa.'!$B$3:$C$16,2,FALSE)</f>
        <v>2</v>
      </c>
      <c r="O312" s="144" t="e">
        <f>VLOOKUP(K312,'[3]LGS Pa.'!$B$3:$C$16,2,FALSE)</f>
        <v>#N/A</v>
      </c>
      <c r="P312" s="144">
        <f>$J$3*Table44[[#This Row],[Soil stability2]]</f>
        <v>20</v>
      </c>
    </row>
    <row r="313" spans="3:16" ht="15">
      <c r="C313" s="136">
        <v>3304</v>
      </c>
      <c r="D313" s="138" t="s">
        <v>915</v>
      </c>
      <c r="E313" s="106">
        <v>3</v>
      </c>
      <c r="H313" s="165"/>
      <c r="J313" s="144" t="s">
        <v>950</v>
      </c>
      <c r="M313" s="144" t="e">
        <f>VLOOKUP(I313,'[3]LGS Pa.'!$B$3:$C$16,2,FALSE)</f>
        <v>#N/A</v>
      </c>
      <c r="N313" s="144">
        <f>VLOOKUP(J313,'[3]LGS Pa.'!$B$3:$C$16,2,FALSE)</f>
        <v>2</v>
      </c>
      <c r="O313" s="144" t="e">
        <f>VLOOKUP(K313,'[3]LGS Pa.'!$B$3:$C$16,2,FALSE)</f>
        <v>#N/A</v>
      </c>
      <c r="P313" s="144">
        <f>$J$3*Table44[[#This Row],[Soil stability2]]</f>
        <v>20</v>
      </c>
    </row>
    <row r="314" spans="3:16" ht="15">
      <c r="C314" s="136">
        <v>330401</v>
      </c>
      <c r="D314" s="136" t="s">
        <v>919</v>
      </c>
      <c r="E314" s="106">
        <v>3</v>
      </c>
      <c r="H314" s="165"/>
      <c r="J314" s="144" t="s">
        <v>950</v>
      </c>
      <c r="M314" s="144" t="e">
        <f>VLOOKUP(I314,'[3]LGS Pa.'!$B$3:$C$16,2,FALSE)</f>
        <v>#N/A</v>
      </c>
      <c r="N314" s="144">
        <f>VLOOKUP(J314,'[3]LGS Pa.'!$B$3:$C$16,2,FALSE)</f>
        <v>2</v>
      </c>
      <c r="O314" s="144" t="e">
        <f>VLOOKUP(K314,'[3]LGS Pa.'!$B$3:$C$16,2,FALSE)</f>
        <v>#N/A</v>
      </c>
      <c r="P314" s="144">
        <f>$J$3*Table44[[#This Row],[Soil stability2]]</f>
        <v>20</v>
      </c>
    </row>
    <row r="315" spans="3:16" ht="15">
      <c r="C315" s="136">
        <v>3305</v>
      </c>
      <c r="D315" s="138" t="s">
        <v>910</v>
      </c>
      <c r="E315" s="106">
        <v>3</v>
      </c>
      <c r="H315" s="165"/>
      <c r="J315" s="144" t="s">
        <v>950</v>
      </c>
      <c r="M315" s="144" t="e">
        <f>VLOOKUP(I315,'[3]LGS Pa.'!$B$3:$C$16,2,FALSE)</f>
        <v>#N/A</v>
      </c>
      <c r="N315" s="144">
        <f>VLOOKUP(J315,'[3]LGS Pa.'!$B$3:$C$16,2,FALSE)</f>
        <v>2</v>
      </c>
      <c r="O315" s="144" t="e">
        <f>VLOOKUP(K315,'[3]LGS Pa.'!$B$3:$C$16,2,FALSE)</f>
        <v>#N/A</v>
      </c>
      <c r="P315" s="144">
        <f>$J$3*Table44[[#This Row],[Soil stability2]]</f>
        <v>20</v>
      </c>
    </row>
    <row r="316" spans="3:16" ht="15">
      <c r="C316" s="137">
        <v>330500006</v>
      </c>
      <c r="D316" s="137" t="s">
        <v>934</v>
      </c>
      <c r="E316" s="106">
        <v>3</v>
      </c>
      <c r="H316" s="165"/>
      <c r="J316" s="144" t="s">
        <v>950</v>
      </c>
      <c r="M316" s="144" t="e">
        <f>VLOOKUP(I316,'[3]LGS Pa.'!$B$3:$C$16,2,FALSE)</f>
        <v>#N/A</v>
      </c>
      <c r="N316" s="144">
        <f>VLOOKUP(J316,'[3]LGS Pa.'!$B$3:$C$16,2,FALSE)</f>
        <v>2</v>
      </c>
      <c r="O316" s="144" t="e">
        <f>VLOOKUP(K316,'[3]LGS Pa.'!$B$3:$C$16,2,FALSE)</f>
        <v>#N/A</v>
      </c>
      <c r="P316" s="144">
        <f>$J$3*Table44[[#This Row],[Soil stability2]]</f>
        <v>20</v>
      </c>
    </row>
    <row r="317" spans="3:16" ht="15">
      <c r="C317" s="136">
        <v>330500010</v>
      </c>
      <c r="D317" s="136" t="s">
        <v>936</v>
      </c>
      <c r="E317" s="106">
        <v>3</v>
      </c>
      <c r="H317" s="165"/>
      <c r="J317" s="144" t="s">
        <v>950</v>
      </c>
      <c r="M317" s="144" t="e">
        <f>VLOOKUP(I317,'[3]LGS Pa.'!$B$3:$C$16,2,FALSE)</f>
        <v>#N/A</v>
      </c>
      <c r="N317" s="144">
        <f>VLOOKUP(J317,'[3]LGS Pa.'!$B$3:$C$16,2,FALSE)</f>
        <v>2</v>
      </c>
      <c r="O317" s="144" t="e">
        <f>VLOOKUP(K317,'[3]LGS Pa.'!$B$3:$C$16,2,FALSE)</f>
        <v>#N/A</v>
      </c>
      <c r="P317" s="144">
        <f>$J$3*Table44[[#This Row],[Soil stability2]]</f>
        <v>20</v>
      </c>
    </row>
    <row r="318" spans="3:16" ht="15">
      <c r="C318" s="137">
        <v>330500011</v>
      </c>
      <c r="D318" s="137" t="s">
        <v>940</v>
      </c>
      <c r="E318" s="106">
        <v>3</v>
      </c>
      <c r="H318" s="165"/>
      <c r="J318" s="144" t="s">
        <v>950</v>
      </c>
      <c r="M318" s="144" t="e">
        <f>VLOOKUP(I318,'[3]LGS Pa.'!$B$3:$C$16,2,FALSE)</f>
        <v>#N/A</v>
      </c>
      <c r="N318" s="144">
        <f>VLOOKUP(J318,'[3]LGS Pa.'!$B$3:$C$16,2,FALSE)</f>
        <v>2</v>
      </c>
      <c r="O318" s="144" t="e">
        <f>VLOOKUP(K318,'[3]LGS Pa.'!$B$3:$C$16,2,FALSE)</f>
        <v>#N/A</v>
      </c>
      <c r="P318" s="144">
        <f>$J$3*Table44[[#This Row],[Soil stability2]]</f>
        <v>20</v>
      </c>
    </row>
    <row r="319" spans="3:16" ht="15">
      <c r="C319" s="137">
        <v>330500013</v>
      </c>
      <c r="D319" s="137" t="s">
        <v>921</v>
      </c>
      <c r="E319" s="106">
        <v>3</v>
      </c>
      <c r="H319" s="165"/>
      <c r="J319" s="144" t="s">
        <v>950</v>
      </c>
      <c r="M319" s="144" t="e">
        <f>VLOOKUP(I319,'[3]LGS Pa.'!$B$3:$C$16,2,FALSE)</f>
        <v>#N/A</v>
      </c>
      <c r="N319" s="144">
        <f>VLOOKUP(J319,'[3]LGS Pa.'!$B$3:$C$16,2,FALSE)</f>
        <v>2</v>
      </c>
      <c r="O319" s="144" t="e">
        <f>VLOOKUP(K319,'[3]LGS Pa.'!$B$3:$C$16,2,FALSE)</f>
        <v>#N/A</v>
      </c>
      <c r="P319" s="144">
        <f>$J$3*Table44[[#This Row],[Soil stability2]]</f>
        <v>20</v>
      </c>
    </row>
    <row r="320" spans="3:16" ht="15">
      <c r="C320" s="137">
        <v>3307</v>
      </c>
      <c r="D320" s="139" t="s">
        <v>913</v>
      </c>
      <c r="E320" s="106">
        <v>3</v>
      </c>
      <c r="H320" s="165"/>
      <c r="J320" s="144" t="s">
        <v>950</v>
      </c>
      <c r="M320" s="144" t="e">
        <f>VLOOKUP(I320,'[3]LGS Pa.'!$B$3:$C$16,2,FALSE)</f>
        <v>#N/A</v>
      </c>
      <c r="N320" s="144">
        <f>VLOOKUP(J320,'[3]LGS Pa.'!$B$3:$C$16,2,FALSE)</f>
        <v>2</v>
      </c>
      <c r="O320" s="144" t="e">
        <f>VLOOKUP(K320,'[3]LGS Pa.'!$B$3:$C$16,2,FALSE)</f>
        <v>#N/A</v>
      </c>
      <c r="P320" s="144">
        <f>$J$3*Table44[[#This Row],[Soil stability2]]</f>
        <v>20</v>
      </c>
    </row>
    <row r="321" spans="3:16" ht="15">
      <c r="C321" s="137">
        <v>330500005</v>
      </c>
      <c r="D321" s="137" t="s">
        <v>938</v>
      </c>
      <c r="E321" s="106">
        <v>3</v>
      </c>
      <c r="H321" s="165"/>
      <c r="J321" s="144" t="s">
        <v>950</v>
      </c>
      <c r="M321" s="144" t="e">
        <f>VLOOKUP(I321,'[3]LGS Pa.'!$B$3:$C$16,2,FALSE)</f>
        <v>#N/A</v>
      </c>
      <c r="N321" s="144">
        <f>VLOOKUP(J321,'[3]LGS Pa.'!$B$3:$C$16,2,FALSE)</f>
        <v>2</v>
      </c>
      <c r="O321" s="144" t="e">
        <f>VLOOKUP(K321,'[3]LGS Pa.'!$B$3:$C$16,2,FALSE)</f>
        <v>#N/A</v>
      </c>
      <c r="P321" s="144">
        <f>$J$3*Table44[[#This Row],[Soil stability2]]</f>
        <v>20</v>
      </c>
    </row>
    <row r="322" spans="3:16" ht="15">
      <c r="C322" s="137">
        <v>33050001</v>
      </c>
      <c r="D322" s="137" t="s">
        <v>760</v>
      </c>
      <c r="E322" s="106">
        <v>3</v>
      </c>
      <c r="H322" s="165"/>
      <c r="J322" s="144" t="s">
        <v>950</v>
      </c>
      <c r="M322" s="144" t="e">
        <f>VLOOKUP(I322,'[3]LGS Pa.'!$B$3:$C$16,2,FALSE)</f>
        <v>#N/A</v>
      </c>
      <c r="N322" s="144">
        <f>VLOOKUP(J322,'[3]LGS Pa.'!$B$3:$C$16,2,FALSE)</f>
        <v>2</v>
      </c>
      <c r="O322" s="144" t="e">
        <f>VLOOKUP(K322,'[3]LGS Pa.'!$B$3:$C$16,2,FALSE)</f>
        <v>#N/A</v>
      </c>
      <c r="P322" s="144">
        <f>$J$3*Table44[[#This Row],[Soil stability2]]</f>
        <v>20</v>
      </c>
    </row>
    <row r="323" spans="3:16" ht="15">
      <c r="D323" s="143" t="s">
        <v>537</v>
      </c>
      <c r="E323" s="155"/>
      <c r="H323" s="165"/>
      <c r="M323" s="144" t="e">
        <f>VLOOKUP(I323,'[3]LGS Pa.'!$B$3:$C$16,2,FALSE)</f>
        <v>#N/A</v>
      </c>
      <c r="N323" s="144" t="e">
        <f>VLOOKUP(J323,'[3]LGS Pa.'!$B$3:$C$16,2,FALSE)</f>
        <v>#N/A</v>
      </c>
      <c r="O323" s="144" t="e">
        <f>VLOOKUP(K323,'[3]LGS Pa.'!$B$3:$C$16,2,FALSE)</f>
        <v>#N/A</v>
      </c>
      <c r="P323" s="144" t="e">
        <f>$J$3*Table44[[#This Row],[Soil stability2]]</f>
        <v>#N/A</v>
      </c>
    </row>
    <row r="324" spans="3:16" ht="15">
      <c r="C324" s="162"/>
      <c r="D324" s="107" t="s">
        <v>547</v>
      </c>
      <c r="E324" s="163"/>
      <c r="F324" s="162"/>
      <c r="G324" s="162"/>
      <c r="H324" s="166"/>
      <c r="I324" s="162"/>
      <c r="J324" s="162"/>
      <c r="K324" s="162"/>
      <c r="L324" s="162"/>
      <c r="M324" s="162" t="e">
        <f>VLOOKUP(I324,'[3]LGS Pa.'!$B$3:$C$16,2,FALSE)</f>
        <v>#N/A</v>
      </c>
      <c r="N324" s="162" t="e">
        <f>VLOOKUP(J324,'[3]LGS Pa.'!$B$3:$C$16,2,FALSE)</f>
        <v>#N/A</v>
      </c>
      <c r="O324" s="162" t="e">
        <f>VLOOKUP(K324,'[3]LGS Pa.'!$B$3:$C$16,2,FALSE)</f>
        <v>#N/A</v>
      </c>
      <c r="P324" s="144" t="e">
        <f>$J$3*Table44[[#This Row],[Soil stability2]]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'Y:\01.Pipeline_Integrity\00.PL-Integrity_Planning\Y2016\9.TMMC\2nd-TMMC_May 2016\Transmission risk assessment\[2016-Risk assessment of Transmission pipeline_rev_final.xlsx]LGS Pa.'!#REF!</xm:f>
          </x14:formula1>
          <xm:sqref>K73:K74</xm:sqref>
        </x14:dataValidation>
        <x14:dataValidation type="list" allowBlank="1" showInputMessage="1" showErrorMessage="1">
          <x14:formula1>
            <xm:f>'Y:\01.Pipeline_Integrity\00.PL-Integrity_Planning\Y2016\9.TMMC\2nd-TMMC_May 2016\Transmission risk assessment\[2016-Risk assessment of Transmission pipeline_rev_final.xlsx]LGS Pa.'!#REF!</xm:f>
          </x14:formula1>
          <xm:sqref>I73:I74</xm:sqref>
        </x14:dataValidation>
        <x14:dataValidation type="list" allowBlank="1" showInputMessage="1" showErrorMessage="1">
          <x14:formula1>
            <xm:f>'LGS Pa.'!$B$4:$B$6</xm:f>
          </x14:formula1>
          <xm:sqref>I5:I72</xm:sqref>
        </x14:dataValidation>
        <x14:dataValidation type="list" allowBlank="1" showInputMessage="1" showErrorMessage="1">
          <x14:formula1>
            <xm:f>'LGS Pa.'!$B$8:$B$11</xm:f>
          </x14:formula1>
          <xm:sqref>J5:J322</xm:sqref>
        </x14:dataValidation>
        <x14:dataValidation type="list" allowBlank="1" showInputMessage="1" showErrorMessage="1">
          <x14:formula1>
            <xm:f>'LGS Pa.'!$B$13:$B$16</xm:f>
          </x14:formula1>
          <xm:sqref>K5:K72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9" sqref="C29"/>
    </sheetView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workbookViewId="0">
      <selection activeCell="J10" sqref="J10"/>
    </sheetView>
  </sheetViews>
  <sheetFormatPr defaultRowHeight="14.25"/>
  <cols>
    <col min="2" max="2" width="24.625" bestFit="1" customWidth="1"/>
  </cols>
  <sheetData>
    <row r="2" spans="2:3">
      <c r="B2" s="14" t="s">
        <v>539</v>
      </c>
      <c r="C2" s="14">
        <v>299</v>
      </c>
    </row>
    <row r="3" spans="2:3">
      <c r="B3" s="14" t="s">
        <v>540</v>
      </c>
      <c r="C3" s="14">
        <v>3</v>
      </c>
    </row>
    <row r="21" spans="2:5">
      <c r="B21" t="s">
        <v>542</v>
      </c>
      <c r="C21">
        <v>11</v>
      </c>
      <c r="D21">
        <v>110</v>
      </c>
    </row>
    <row r="22" spans="2:5">
      <c r="B22" t="s">
        <v>543</v>
      </c>
      <c r="C22">
        <v>9</v>
      </c>
      <c r="D22">
        <v>90</v>
      </c>
    </row>
    <row r="23" spans="2:5">
      <c r="B23" t="s">
        <v>544</v>
      </c>
      <c r="C23">
        <v>8</v>
      </c>
      <c r="D23">
        <v>80</v>
      </c>
    </row>
    <row r="26" spans="2:5">
      <c r="C26">
        <f>C21*C22*C23</f>
        <v>792</v>
      </c>
    </row>
    <row r="27" spans="2:5">
      <c r="B27" t="s">
        <v>542</v>
      </c>
      <c r="C27">
        <v>11</v>
      </c>
      <c r="D27">
        <f>$C$26/C27</f>
        <v>72</v>
      </c>
      <c r="E27">
        <f>C27*D27</f>
        <v>792</v>
      </c>
    </row>
    <row r="28" spans="2:5">
      <c r="B28" t="s">
        <v>543</v>
      </c>
      <c r="C28">
        <v>9</v>
      </c>
      <c r="D28" s="14">
        <f>$C$26/C28</f>
        <v>88</v>
      </c>
      <c r="E28" s="14">
        <f>C28*D28</f>
        <v>792</v>
      </c>
    </row>
    <row r="29" spans="2:5">
      <c r="B29" t="s">
        <v>544</v>
      </c>
      <c r="C29">
        <v>8</v>
      </c>
      <c r="D29" s="14">
        <f>$C$26/C29</f>
        <v>99</v>
      </c>
      <c r="E29" s="14">
        <f>C29*D29</f>
        <v>792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22"/>
  <sheetViews>
    <sheetView zoomScaleNormal="100" workbookViewId="0">
      <selection activeCell="C16" sqref="C16"/>
    </sheetView>
  </sheetViews>
  <sheetFormatPr defaultColWidth="9" defaultRowHeight="14.25"/>
  <cols>
    <col min="1" max="1" width="9.125" style="14" customWidth="1"/>
    <col min="2" max="2" width="11.625" style="14" bestFit="1" customWidth="1"/>
    <col min="3" max="3" width="10" style="16" bestFit="1" customWidth="1"/>
    <col min="4" max="4" width="22.125" style="16" customWidth="1"/>
    <col min="5" max="5" width="11.875" style="14" customWidth="1"/>
    <col min="6" max="6" width="12.625" style="14" customWidth="1"/>
    <col min="7" max="7" width="10.375" style="14" customWidth="1"/>
    <col min="8" max="8" width="18.125" style="14" customWidth="1"/>
    <col min="9" max="9" width="11.625" style="14" customWidth="1"/>
    <col min="10" max="10" width="18.125" style="14" customWidth="1"/>
    <col min="11" max="11" width="11.625" style="14" customWidth="1"/>
    <col min="12" max="12" width="17.625" style="14" customWidth="1"/>
    <col min="13" max="15" width="11.625" style="14" customWidth="1"/>
    <col min="16" max="16" width="13.125" style="14" customWidth="1"/>
    <col min="17" max="17" width="14.375" style="14" customWidth="1"/>
    <col min="18" max="18" width="11" style="14" customWidth="1"/>
    <col min="19" max="19" width="15" style="14" customWidth="1"/>
    <col min="20" max="20" width="11.625" style="14" customWidth="1"/>
    <col min="21" max="22" width="8.625" style="14" customWidth="1"/>
    <col min="23" max="24" width="9" style="14" customWidth="1"/>
    <col min="25" max="16384" width="9" style="14"/>
  </cols>
  <sheetData>
    <row r="2" spans="1:25" ht="140.25">
      <c r="A2" s="255" t="s">
        <v>479</v>
      </c>
      <c r="B2" s="46" t="s">
        <v>195</v>
      </c>
      <c r="C2" s="54" t="s">
        <v>196</v>
      </c>
      <c r="D2" s="46" t="s">
        <v>87</v>
      </c>
      <c r="E2" s="68" t="s">
        <v>548</v>
      </c>
      <c r="F2" s="68" t="s">
        <v>538</v>
      </c>
      <c r="G2" s="32" t="s">
        <v>512</v>
      </c>
      <c r="H2" s="32" t="s">
        <v>513</v>
      </c>
      <c r="I2" s="55" t="s">
        <v>514</v>
      </c>
      <c r="J2" s="32" t="s">
        <v>529</v>
      </c>
      <c r="K2" s="55" t="s">
        <v>515</v>
      </c>
      <c r="L2" s="32" t="s">
        <v>530</v>
      </c>
      <c r="M2" s="56" t="s">
        <v>516</v>
      </c>
      <c r="N2" s="32" t="s">
        <v>531</v>
      </c>
      <c r="O2" s="32" t="s">
        <v>523</v>
      </c>
      <c r="P2" s="32" t="s">
        <v>970</v>
      </c>
      <c r="Q2" s="32" t="s">
        <v>517</v>
      </c>
      <c r="R2" s="32" t="s">
        <v>518</v>
      </c>
      <c r="S2" s="32" t="s">
        <v>519</v>
      </c>
      <c r="T2" s="32" t="s">
        <v>520</v>
      </c>
      <c r="U2" s="32" t="s">
        <v>532</v>
      </c>
      <c r="V2" s="32" t="s">
        <v>856</v>
      </c>
      <c r="X2" s="14" t="s">
        <v>944</v>
      </c>
      <c r="Y2" s="14" t="s">
        <v>980</v>
      </c>
    </row>
    <row r="3" spans="1:25">
      <c r="A3" s="84">
        <v>33</v>
      </c>
      <c r="B3" s="84">
        <v>9</v>
      </c>
      <c r="C3" s="81">
        <v>6531</v>
      </c>
      <c r="D3" s="82" t="s">
        <v>344</v>
      </c>
      <c r="E3" s="105">
        <f>F173</f>
        <v>0</v>
      </c>
      <c r="F3" s="16">
        <v>1490.514684388889</v>
      </c>
      <c r="G3" s="70">
        <f>Table57[[#This Row],[Probability]]*Table57[[#This Row],[Consequence]]</f>
        <v>1642.0214806290755</v>
      </c>
      <c r="H3" s="16">
        <f>RANK(Table57[[#This Row],[Risk Score]],$G$3:$G$17)</f>
        <v>15</v>
      </c>
      <c r="I3" s="16">
        <f>VLOOKUP(C3,Table1[[#All],[RC]:[Total Internal Corrosion Score]],27,FALSE)</f>
        <v>34.166666666666664</v>
      </c>
      <c r="J3" s="16">
        <f>RANK(Table57[[#This Row],[INTERNAL CORROSION]],$I$3:$I$17)</f>
        <v>1</v>
      </c>
      <c r="K3" s="16">
        <f>VLOOKUP(C3,Ext.Mo!$C$2:$AK$326,35,FALSE)</f>
        <v>36.74050632911392</v>
      </c>
      <c r="L3" s="16">
        <f>RANK(Table57[[#This Row],[EXTERNAL CORROSION]],$K$3:$K$17)</f>
        <v>1</v>
      </c>
      <c r="M3" s="16">
        <f>VLOOKUP(Table57[[#This Row],[RC]],Table3[[RC]:[Total TPI Score10]],23,0)</f>
        <v>40.454545454545453</v>
      </c>
      <c r="N3" s="9">
        <f>RANK(Table57[[#This Row],[THIRD PARTY INTERFERENCE]],$M$3:$M$17)</f>
        <v>15</v>
      </c>
      <c r="O3" s="9">
        <f>VLOOKUP(Table57[[#This Row],[RC]],LGS_Mo.!$C$5:$P$322,14,0)</f>
        <v>20</v>
      </c>
      <c r="P3" s="9">
        <f>RANK(Table57[[#This Row],[Loss  of ground support]],$O$3:$O$17)</f>
        <v>15</v>
      </c>
      <c r="Q3" s="9">
        <f>(I3+K3+M3+Table57[[#This Row],[Loss  of ground support]])/4</f>
        <v>32.840429612581509</v>
      </c>
      <c r="R3" s="9">
        <f>VLOOKUP(C3,consequence!$B$2:$K$302,10,FALSE)</f>
        <v>3</v>
      </c>
      <c r="S3" s="9">
        <f>VLOOKUP(C3,consequence!B261:$K$302,9,FALSE)</f>
        <v>7</v>
      </c>
      <c r="T3" s="9">
        <f t="shared" ref="T3:T16" si="0">((R3*5)+(S3*5))</f>
        <v>50</v>
      </c>
      <c r="U3" s="116">
        <f>RANK(Table57[[#This Row],[Consequence]],$T$3:$T$17)</f>
        <v>1</v>
      </c>
      <c r="V3" s="9"/>
      <c r="X3" s="14">
        <f>J292</f>
        <v>0</v>
      </c>
      <c r="Y3" s="14">
        <v>19.493670886075947</v>
      </c>
    </row>
    <row r="4" spans="1:25">
      <c r="A4" s="84">
        <v>33</v>
      </c>
      <c r="B4" s="80">
        <v>9</v>
      </c>
      <c r="C4" s="81">
        <v>653110101</v>
      </c>
      <c r="D4" s="82" t="s">
        <v>823</v>
      </c>
      <c r="E4" s="105">
        <f>F176</f>
        <v>0</v>
      </c>
      <c r="F4" s="16">
        <v>1490.514684388889</v>
      </c>
      <c r="G4" s="70">
        <f>Table57[[#This Row],[Probability]]*Table57[[#This Row],[Consequence]]</f>
        <v>1819.4524357499042</v>
      </c>
      <c r="H4" s="16">
        <f>RANK(Table57[[#This Row],[Risk Score]],$G$3:$G$17)</f>
        <v>2</v>
      </c>
      <c r="I4" s="16">
        <f>VLOOKUP(C4,Table1[[#All],[RC]:[Total Internal Corrosion Score]],27,FALSE)</f>
        <v>34.166666666666664</v>
      </c>
      <c r="J4" s="16">
        <f>RANK(Table57[[#This Row],[INTERNAL CORROSION]],$I$3:$I$17)</f>
        <v>1</v>
      </c>
      <c r="K4" s="16">
        <f>VLOOKUP(C4,Ext.Mo!$C$2:$AK$326,35,FALSE)</f>
        <v>17.753164556962023</v>
      </c>
      <c r="L4" s="16">
        <f>RANK(Table57[[#This Row],[EXTERNAL CORROSION]],$K$3:$K$17)</f>
        <v>3</v>
      </c>
      <c r="M4" s="16">
        <f>VLOOKUP(Table57[[#This Row],[RC]],Table3[[RC]:[Total TPI Score10]],23,0)</f>
        <v>43.63636363636364</v>
      </c>
      <c r="N4" s="9">
        <f>RANK(Table57[[#This Row],[THIRD PARTY INTERFERENCE]],$M$3:$M$17)</f>
        <v>1</v>
      </c>
      <c r="O4" s="9">
        <f>VLOOKUP(Table57[[#This Row],[RC]],LGS_Mo.!$C$5:$P$322,14,0)</f>
        <v>50</v>
      </c>
      <c r="P4" s="9">
        <f>RANK(Table57[[#This Row],[Loss  of ground support]],$O$3:$O$17)</f>
        <v>1</v>
      </c>
      <c r="Q4" s="9">
        <f>(I4+K4+M4+Table57[[#This Row],[Loss  of ground support]])/4</f>
        <v>36.389048714998083</v>
      </c>
      <c r="R4" s="9">
        <f>VLOOKUP(C4,consequence!$B$2:$K$302,10,FALSE)</f>
        <v>3</v>
      </c>
      <c r="S4" s="9">
        <f>VLOOKUP(C4,consequence!B264:$K$302,9,FALSE)</f>
        <v>7</v>
      </c>
      <c r="T4" s="115">
        <f t="shared" si="0"/>
        <v>50</v>
      </c>
      <c r="U4" s="116">
        <f>RANK(Table57[[#This Row],[Consequence]],$T$3:$T$17)</f>
        <v>1</v>
      </c>
      <c r="V4" s="9"/>
      <c r="X4" s="14">
        <f>J295</f>
        <v>0</v>
      </c>
      <c r="Y4" s="14">
        <v>19.493670886075947</v>
      </c>
    </row>
    <row r="5" spans="1:25">
      <c r="A5" s="84">
        <v>33</v>
      </c>
      <c r="B5" s="80">
        <v>9</v>
      </c>
      <c r="C5" s="81">
        <v>653110105</v>
      </c>
      <c r="D5" s="82" t="s">
        <v>830</v>
      </c>
      <c r="E5" s="105">
        <f>F179</f>
        <v>0</v>
      </c>
      <c r="F5" s="16">
        <v>1490.514684388889</v>
      </c>
      <c r="G5" s="70">
        <f>Table57[[#This Row],[Probability]]*Table57[[#This Row],[Consequence]]</f>
        <v>1819.4524357499042</v>
      </c>
      <c r="H5" s="16">
        <f>RANK(Table57[[#This Row],[Risk Score]],$G$3:$G$17)</f>
        <v>2</v>
      </c>
      <c r="I5" s="16">
        <f>VLOOKUP(C5,Table1[[#All],[RC]:[Total Internal Corrosion Score]],27,FALSE)</f>
        <v>34.166666666666664</v>
      </c>
      <c r="J5" s="16">
        <f>RANK(Table57[[#This Row],[INTERNAL CORROSION]],$I$3:$I$17)</f>
        <v>1</v>
      </c>
      <c r="K5" s="16">
        <f>VLOOKUP(C5,Ext.Mo!$C$2:$AK$326,35,FALSE)</f>
        <v>17.753164556962023</v>
      </c>
      <c r="L5" s="16">
        <f>RANK(Table57[[#This Row],[EXTERNAL CORROSION]],$K$3:$K$17)</f>
        <v>3</v>
      </c>
      <c r="M5" s="16">
        <f>VLOOKUP(Table57[[#This Row],[RC]],Table3[[RC]:[Total TPI Score10]],23,0)</f>
        <v>43.63636363636364</v>
      </c>
      <c r="N5" s="16">
        <f>RANK(Table57[[#This Row],[THIRD PARTY INTERFERENCE]],$M$3:$M$17)</f>
        <v>1</v>
      </c>
      <c r="O5" s="16">
        <f>VLOOKUP(Table57[[#This Row],[RC]],LGS_Mo.!$C$5:$P$322,14,0)</f>
        <v>50</v>
      </c>
      <c r="P5" s="16">
        <f>RANK(Table57[[#This Row],[Loss  of ground support]],$O$3:$O$17)</f>
        <v>1</v>
      </c>
      <c r="Q5" s="16">
        <f>(I5+K5+M5+Table57[[#This Row],[Loss  of ground support]])/4</f>
        <v>36.389048714998083</v>
      </c>
      <c r="R5" s="16">
        <f>VLOOKUP(C5,consequence!$B$2:$K$302,10,FALSE)</f>
        <v>3</v>
      </c>
      <c r="S5" s="16">
        <f>VLOOKUP(C5,consequence!B267:$K$302,9,FALSE)</f>
        <v>7</v>
      </c>
      <c r="T5" s="16">
        <f t="shared" si="0"/>
        <v>50</v>
      </c>
      <c r="U5" s="69">
        <f>RANK(Table57[[#This Row],[Consequence]],$T$3:$T$17)</f>
        <v>1</v>
      </c>
      <c r="V5" s="16"/>
      <c r="X5" s="14">
        <f>J298</f>
        <v>0</v>
      </c>
      <c r="Y5" s="14">
        <v>19.493670886075947</v>
      </c>
    </row>
    <row r="6" spans="1:25">
      <c r="A6" s="84">
        <v>33</v>
      </c>
      <c r="B6" s="80">
        <v>9</v>
      </c>
      <c r="C6" s="81">
        <v>653110106</v>
      </c>
      <c r="D6" s="82" t="s">
        <v>832</v>
      </c>
      <c r="E6" s="105">
        <f>F180</f>
        <v>0</v>
      </c>
      <c r="F6" s="16">
        <v>1490.514684388889</v>
      </c>
      <c r="G6" s="70">
        <f>Table57[[#This Row],[Probability]]*Table57[[#This Row],[Consequence]]</f>
        <v>1819.4524357499042</v>
      </c>
      <c r="H6" s="16">
        <f>RANK(Table57[[#This Row],[Risk Score]],$G$3:$G$17)</f>
        <v>2</v>
      </c>
      <c r="I6" s="16">
        <f>VLOOKUP(C6,Table1[[#All],[RC]:[Total Internal Corrosion Score]],27,FALSE)</f>
        <v>34.166666666666664</v>
      </c>
      <c r="J6" s="16">
        <f>RANK(Table57[[#This Row],[INTERNAL CORROSION]],$I$3:$I$17)</f>
        <v>1</v>
      </c>
      <c r="K6" s="16">
        <f>VLOOKUP(C6,Ext.Mo!$C$2:$AK$326,35,FALSE)</f>
        <v>17.753164556962023</v>
      </c>
      <c r="L6" s="16">
        <f>RANK(Table57[[#This Row],[EXTERNAL CORROSION]],$K$3:$K$17)</f>
        <v>3</v>
      </c>
      <c r="M6" s="16">
        <f>VLOOKUP(Table57[[#This Row],[RC]],Table3[[RC]:[Total TPI Score10]],23,0)</f>
        <v>43.63636363636364</v>
      </c>
      <c r="N6" s="9">
        <f>RANK(Table57[[#This Row],[THIRD PARTY INTERFERENCE]],$M$3:$M$17)</f>
        <v>1</v>
      </c>
      <c r="O6" s="9">
        <f>VLOOKUP(Table57[[#This Row],[RC]],LGS_Mo.!$C$5:$P$322,14,0)</f>
        <v>50</v>
      </c>
      <c r="P6" s="9">
        <f>RANK(Table57[[#This Row],[Loss  of ground support]],$O$3:$O$17)</f>
        <v>1</v>
      </c>
      <c r="Q6" s="9">
        <f>(I6+K6+M6+Table57[[#This Row],[Loss  of ground support]])/4</f>
        <v>36.389048714998083</v>
      </c>
      <c r="R6" s="9">
        <f>VLOOKUP(C6,consequence!$B$2:$K$302,10,FALSE)</f>
        <v>3</v>
      </c>
      <c r="S6" s="9">
        <f>VLOOKUP(C6,consequence!B268:$K$302,9,FALSE)</f>
        <v>7</v>
      </c>
      <c r="T6" s="115">
        <f t="shared" si="0"/>
        <v>50</v>
      </c>
      <c r="U6" s="116">
        <f>RANK(Table57[[#This Row],[Consequence]],$T$3:$T$17)</f>
        <v>1</v>
      </c>
      <c r="V6" s="9"/>
      <c r="X6" s="14">
        <f>J299</f>
        <v>0</v>
      </c>
      <c r="Y6" s="14">
        <v>19.493670886075947</v>
      </c>
    </row>
    <row r="7" spans="1:25">
      <c r="A7" s="84">
        <v>33</v>
      </c>
      <c r="B7" s="80">
        <v>9</v>
      </c>
      <c r="C7" s="81">
        <v>653110108</v>
      </c>
      <c r="D7" s="82" t="s">
        <v>834</v>
      </c>
      <c r="E7" s="105">
        <f>F181</f>
        <v>0</v>
      </c>
      <c r="F7" s="16">
        <v>1490.514684388889</v>
      </c>
      <c r="G7" s="70">
        <f>Table57[[#This Row],[Probability]]*Table57[[#This Row],[Consequence]]</f>
        <v>1819.4524357499042</v>
      </c>
      <c r="H7" s="16">
        <f>RANK(Table57[[#This Row],[Risk Score]],$G$3:$G$17)</f>
        <v>2</v>
      </c>
      <c r="I7" s="16">
        <f>VLOOKUP(C7,Table1[[#All],[RC]:[Total Internal Corrosion Score]],27,FALSE)</f>
        <v>34.166666666666664</v>
      </c>
      <c r="J7" s="16">
        <f>RANK(Table57[[#This Row],[INTERNAL CORROSION]],$I$3:$I$17)</f>
        <v>1</v>
      </c>
      <c r="K7" s="16">
        <f>VLOOKUP(C7,Ext.Mo!$C$2:$AK$326,35,FALSE)</f>
        <v>17.753164556962023</v>
      </c>
      <c r="L7" s="16">
        <f>RANK(Table57[[#This Row],[EXTERNAL CORROSION]],$K$3:$K$17)</f>
        <v>3</v>
      </c>
      <c r="M7" s="16">
        <f>VLOOKUP(Table57[[#This Row],[RC]],Table3[[RC]:[Total TPI Score10]],23,0)</f>
        <v>43.63636363636364</v>
      </c>
      <c r="N7" s="16">
        <f>RANK(Table57[[#This Row],[THIRD PARTY INTERFERENCE]],$M$3:$M$17)</f>
        <v>1</v>
      </c>
      <c r="O7" s="16">
        <f>VLOOKUP(Table57[[#This Row],[RC]],LGS_Mo.!$C$5:$P$322,14,0)</f>
        <v>50</v>
      </c>
      <c r="P7" s="16">
        <f>RANK(Table57[[#This Row],[Loss  of ground support]],$O$3:$O$17)</f>
        <v>1</v>
      </c>
      <c r="Q7" s="16">
        <f>(I7+K7+M7+Table57[[#This Row],[Loss  of ground support]])/4</f>
        <v>36.389048714998083</v>
      </c>
      <c r="R7" s="16">
        <f>VLOOKUP(C7,consequence!$B$2:$K$302,10,FALSE)</f>
        <v>3</v>
      </c>
      <c r="S7" s="16">
        <f>VLOOKUP(C7,consequence!B269:$K$302,9,FALSE)</f>
        <v>7</v>
      </c>
      <c r="T7" s="16">
        <f t="shared" si="0"/>
        <v>50</v>
      </c>
      <c r="U7" s="69">
        <f>RANK(Table57[[#This Row],[Consequence]],$T$3:$T$17)</f>
        <v>1</v>
      </c>
      <c r="V7" s="16"/>
      <c r="X7" s="14">
        <f>J300</f>
        <v>0</v>
      </c>
      <c r="Y7" s="14">
        <v>19.493670886075947</v>
      </c>
    </row>
    <row r="8" spans="1:25">
      <c r="A8" s="84">
        <v>33</v>
      </c>
      <c r="B8" s="80">
        <v>9</v>
      </c>
      <c r="C8" s="81">
        <v>653110110</v>
      </c>
      <c r="D8" s="82" t="s">
        <v>838</v>
      </c>
      <c r="E8" s="105">
        <f>F183</f>
        <v>0</v>
      </c>
      <c r="F8" s="16">
        <v>1490.514684388889</v>
      </c>
      <c r="G8" s="70">
        <f>Table57[[#This Row],[Probability]]*Table57[[#This Row],[Consequence]]</f>
        <v>1819.4524357499042</v>
      </c>
      <c r="H8" s="16">
        <f>RANK(Table57[[#This Row],[Risk Score]],$G$3:$G$17)</f>
        <v>2</v>
      </c>
      <c r="I8" s="16">
        <f>VLOOKUP(C8,Table1[[#All],[RC]:[Total Internal Corrosion Score]],27,FALSE)</f>
        <v>34.166666666666664</v>
      </c>
      <c r="J8" s="16">
        <f>RANK(Table57[[#This Row],[INTERNAL CORROSION]],$I$3:$I$17)</f>
        <v>1</v>
      </c>
      <c r="K8" s="16">
        <f>VLOOKUP(C8,Ext.Mo!$C$2:$AK$326,35,FALSE)</f>
        <v>17.753164556962023</v>
      </c>
      <c r="L8" s="16">
        <f>RANK(Table57[[#This Row],[EXTERNAL CORROSION]],$K$3:$K$17)</f>
        <v>3</v>
      </c>
      <c r="M8" s="16">
        <f>VLOOKUP(Table57[[#This Row],[RC]],Table3[[RC]:[Total TPI Score10]],23,0)</f>
        <v>43.63636363636364</v>
      </c>
      <c r="N8" s="9">
        <f>RANK(Table57[[#This Row],[THIRD PARTY INTERFERENCE]],$M$3:$M$17)</f>
        <v>1</v>
      </c>
      <c r="O8" s="9">
        <f>VLOOKUP(Table57[[#This Row],[RC]],LGS_Mo.!$C$5:$P$322,14,0)</f>
        <v>50</v>
      </c>
      <c r="P8" s="9">
        <f>RANK(Table57[[#This Row],[Loss  of ground support]],$O$3:$O$17)</f>
        <v>1</v>
      </c>
      <c r="Q8" s="9">
        <f>(I8+K8+M8+Table57[[#This Row],[Loss  of ground support]])/4</f>
        <v>36.389048714998083</v>
      </c>
      <c r="R8" s="9">
        <f>VLOOKUP(C8,consequence!$B$2:$K$302,10,FALSE)</f>
        <v>3</v>
      </c>
      <c r="S8" s="9">
        <f>VLOOKUP(C8,consequence!B271:$K$302,9,FALSE)</f>
        <v>7</v>
      </c>
      <c r="T8" s="9">
        <f t="shared" si="0"/>
        <v>50</v>
      </c>
      <c r="U8" s="116">
        <f>RANK(Table57[[#This Row],[Consequence]],$T$3:$T$17)</f>
        <v>1</v>
      </c>
      <c r="V8" s="9"/>
      <c r="X8" s="14">
        <f>J302</f>
        <v>0</v>
      </c>
      <c r="Y8" s="14">
        <v>19.493670886075947</v>
      </c>
    </row>
    <row r="9" spans="1:25">
      <c r="A9" s="84">
        <v>33</v>
      </c>
      <c r="B9" s="80">
        <v>9</v>
      </c>
      <c r="C9" s="81">
        <v>653110111</v>
      </c>
      <c r="D9" s="82" t="s">
        <v>840</v>
      </c>
      <c r="E9" s="105">
        <f>F184</f>
        <v>0</v>
      </c>
      <c r="F9" s="16">
        <v>1490.514684388889</v>
      </c>
      <c r="G9" s="70">
        <f>Table57[[#This Row],[Probability]]*Table57[[#This Row],[Consequence]]</f>
        <v>1819.4524357499042</v>
      </c>
      <c r="H9" s="16">
        <f>RANK(Table57[[#This Row],[Risk Score]],$G$3:$G$17)</f>
        <v>2</v>
      </c>
      <c r="I9" s="16">
        <f>VLOOKUP(C9,Table1[[#All],[RC]:[Total Internal Corrosion Score]],27,FALSE)</f>
        <v>34.166666666666664</v>
      </c>
      <c r="J9" s="16">
        <f>RANK(Table57[[#This Row],[INTERNAL CORROSION]],$I$3:$I$17)</f>
        <v>1</v>
      </c>
      <c r="K9" s="16">
        <f>VLOOKUP(C9,Ext.Mo!$C$2:$AK$326,35,FALSE)</f>
        <v>17.753164556962023</v>
      </c>
      <c r="L9" s="16">
        <f>RANK(Table57[[#This Row],[EXTERNAL CORROSION]],$K$3:$K$17)</f>
        <v>3</v>
      </c>
      <c r="M9" s="16">
        <f>VLOOKUP(Table57[[#This Row],[RC]],Table3[[RC]:[Total TPI Score10]],23,0)</f>
        <v>43.63636363636364</v>
      </c>
      <c r="N9" s="9">
        <f>RANK(Table57[[#This Row],[THIRD PARTY INTERFERENCE]],$M$3:$M$17)</f>
        <v>1</v>
      </c>
      <c r="O9" s="9">
        <f>VLOOKUP(Table57[[#This Row],[RC]],LGS_Mo.!$C$5:$P$322,14,0)</f>
        <v>50</v>
      </c>
      <c r="P9" s="9">
        <f>RANK(Table57[[#This Row],[Loss  of ground support]],$O$3:$O$17)</f>
        <v>1</v>
      </c>
      <c r="Q9" s="9">
        <f>(I9+K9+M9+Table57[[#This Row],[Loss  of ground support]])/4</f>
        <v>36.389048714998083</v>
      </c>
      <c r="R9" s="9">
        <f>VLOOKUP(C9,consequence!$B$2:$K$302,10,FALSE)</f>
        <v>3</v>
      </c>
      <c r="S9" s="9">
        <f>VLOOKUP(C9,consequence!B272:$K$302,9,FALSE)</f>
        <v>7</v>
      </c>
      <c r="T9" s="115">
        <f t="shared" si="0"/>
        <v>50</v>
      </c>
      <c r="U9" s="116">
        <f>RANK(Table57[[#This Row],[Consequence]],$T$3:$T$17)</f>
        <v>1</v>
      </c>
      <c r="V9" s="9"/>
      <c r="X9" s="14">
        <f>J303</f>
        <v>0</v>
      </c>
      <c r="Y9" s="14">
        <v>19.493670886075947</v>
      </c>
    </row>
    <row r="10" spans="1:25">
      <c r="A10" s="84">
        <v>33</v>
      </c>
      <c r="B10" s="80">
        <v>9</v>
      </c>
      <c r="C10" s="81">
        <v>653110112</v>
      </c>
      <c r="D10" s="82" t="s">
        <v>842</v>
      </c>
      <c r="E10" s="105">
        <f>F185</f>
        <v>0</v>
      </c>
      <c r="F10" s="16">
        <v>1490.514684388889</v>
      </c>
      <c r="G10" s="70">
        <f>Table57[[#This Row],[Probability]]*Table57[[#This Row],[Consequence]]</f>
        <v>1819.4524357499042</v>
      </c>
      <c r="H10" s="16">
        <f>RANK(Table57[[#This Row],[Risk Score]],$G$3:$G$17)</f>
        <v>2</v>
      </c>
      <c r="I10" s="16">
        <f>VLOOKUP(C10,Table1[[#All],[RC]:[Total Internal Corrosion Score]],27,FALSE)</f>
        <v>34.166666666666664</v>
      </c>
      <c r="J10" s="16">
        <f>RANK(Table57[[#This Row],[INTERNAL CORROSION]],$I$3:$I$17)</f>
        <v>1</v>
      </c>
      <c r="K10" s="16">
        <f>VLOOKUP(C10,Ext.Mo!$C$2:$AK$326,35,FALSE)</f>
        <v>17.753164556962023</v>
      </c>
      <c r="L10" s="16">
        <f>RANK(Table57[[#This Row],[EXTERNAL CORROSION]],$K$3:$K$17)</f>
        <v>3</v>
      </c>
      <c r="M10" s="16">
        <f>VLOOKUP(Table57[[#This Row],[RC]],Table3[[RC]:[Total TPI Score10]],23,0)</f>
        <v>43.63636363636364</v>
      </c>
      <c r="N10" s="16">
        <f>RANK(Table57[[#This Row],[THIRD PARTY INTERFERENCE]],$M$3:$M$17)</f>
        <v>1</v>
      </c>
      <c r="O10" s="16">
        <f>VLOOKUP(Table57[[#This Row],[RC]],LGS_Mo.!$C$5:$P$322,14,0)</f>
        <v>50</v>
      </c>
      <c r="P10" s="16">
        <f>RANK(Table57[[#This Row],[Loss  of ground support]],$O$3:$O$17)</f>
        <v>1</v>
      </c>
      <c r="Q10" s="16">
        <f>(I10+K10+M10+Table57[[#This Row],[Loss  of ground support]])/4</f>
        <v>36.389048714998083</v>
      </c>
      <c r="R10" s="16">
        <f>VLOOKUP(C10,consequence!$B$2:$K$302,10,FALSE)</f>
        <v>3</v>
      </c>
      <c r="S10" s="16">
        <f>VLOOKUP(C10,consequence!B273:$K$302,9,FALSE)</f>
        <v>7</v>
      </c>
      <c r="T10" s="16">
        <f t="shared" si="0"/>
        <v>50</v>
      </c>
      <c r="U10" s="69">
        <f>RANK(Table57[[#This Row],[Consequence]],$T$3:$T$17)</f>
        <v>1</v>
      </c>
      <c r="V10" s="16"/>
      <c r="X10" s="14">
        <f>J304</f>
        <v>0</v>
      </c>
      <c r="Y10" s="14">
        <v>19.493670886075947</v>
      </c>
    </row>
    <row r="11" spans="1:25" s="9" customFormat="1">
      <c r="A11" s="113">
        <v>33</v>
      </c>
      <c r="B11" s="110">
        <v>9</v>
      </c>
      <c r="C11" s="111">
        <v>653110113</v>
      </c>
      <c r="D11" s="112" t="s">
        <v>843</v>
      </c>
      <c r="E11" s="259">
        <f>F186</f>
        <v>0</v>
      </c>
      <c r="F11" s="9">
        <v>1490.514684388889</v>
      </c>
      <c r="G11" s="70">
        <v>1819.4524357499042</v>
      </c>
      <c r="H11" s="9" t="e">
        <v>#N/A</v>
      </c>
      <c r="I11" s="16">
        <v>34.166666666666664</v>
      </c>
      <c r="J11" s="9" t="e">
        <v>#N/A</v>
      </c>
      <c r="K11" s="9">
        <v>17.753164556962023</v>
      </c>
      <c r="L11" s="9" t="e">
        <v>#N/A</v>
      </c>
      <c r="M11" s="9">
        <v>43.63636363636364</v>
      </c>
      <c r="N11" s="9" t="e">
        <v>#N/A</v>
      </c>
      <c r="O11" s="9">
        <v>50</v>
      </c>
      <c r="P11" s="9" t="e">
        <v>#N/A</v>
      </c>
      <c r="Q11" s="9">
        <v>36.389048714998083</v>
      </c>
      <c r="R11" s="9">
        <v>3</v>
      </c>
      <c r="S11" s="9">
        <v>7</v>
      </c>
      <c r="T11" s="115">
        <v>50</v>
      </c>
      <c r="U11" s="116" t="e">
        <v>#N/A</v>
      </c>
      <c r="X11" s="9">
        <f>J305</f>
        <v>0</v>
      </c>
      <c r="Y11" s="9">
        <v>19.493670886075947</v>
      </c>
    </row>
    <row r="12" spans="1:25">
      <c r="A12" s="84">
        <v>33</v>
      </c>
      <c r="B12" s="80">
        <v>9</v>
      </c>
      <c r="C12" s="81">
        <v>653110115</v>
      </c>
      <c r="D12" s="82" t="s">
        <v>846</v>
      </c>
      <c r="E12" s="105">
        <f>F188</f>
        <v>0</v>
      </c>
      <c r="F12" s="16">
        <v>1490.514684388889</v>
      </c>
      <c r="G12" s="70">
        <f>Table57[[#This Row],[Probability]]*Table57[[#This Row],[Consequence]]</f>
        <v>1819.4524357499042</v>
      </c>
      <c r="H12" s="16">
        <f>RANK(Table57[[#This Row],[Risk Score]],$G$3:$G$17)</f>
        <v>2</v>
      </c>
      <c r="I12" s="16">
        <f>VLOOKUP(C12,Table1[[#All],[RC]:[Total Internal Corrosion Score]],27,FALSE)</f>
        <v>34.166666666666664</v>
      </c>
      <c r="J12" s="16">
        <f>RANK(Table57[[#This Row],[INTERNAL CORROSION]],$I$3:$I$17)</f>
        <v>1</v>
      </c>
      <c r="K12" s="16">
        <f>VLOOKUP(C12,Ext.Mo!$C$2:$AK$326,35,FALSE)</f>
        <v>17.753164556962023</v>
      </c>
      <c r="L12" s="16">
        <f>RANK(Table57[[#This Row],[EXTERNAL CORROSION]],$K$3:$K$17)</f>
        <v>3</v>
      </c>
      <c r="M12" s="16">
        <f>VLOOKUP(Table57[[#This Row],[RC]],Table3[[RC]:[Total TPI Score10]],23,0)</f>
        <v>43.63636363636364</v>
      </c>
      <c r="N12" s="16">
        <f>RANK(Table57[[#This Row],[THIRD PARTY INTERFERENCE]],$M$3:$M$17)</f>
        <v>1</v>
      </c>
      <c r="O12" s="16">
        <f>VLOOKUP(Table57[[#This Row],[RC]],LGS_Mo.!$C$5:$P$322,14,0)</f>
        <v>50</v>
      </c>
      <c r="P12" s="16">
        <f>RANK(Table57[[#This Row],[Loss  of ground support]],$O$3:$O$17)</f>
        <v>1</v>
      </c>
      <c r="Q12" s="16">
        <f>(I12+K12+M12+Table57[[#This Row],[Loss  of ground support]])/4</f>
        <v>36.389048714998083</v>
      </c>
      <c r="R12" s="16">
        <f>VLOOKUP(C12,consequence!$B$2:$K$302,10,FALSE)</f>
        <v>3</v>
      </c>
      <c r="S12" s="16">
        <f>VLOOKUP(C12,consequence!B276:$K$302,9,FALSE)</f>
        <v>7</v>
      </c>
      <c r="T12" s="63">
        <f t="shared" si="0"/>
        <v>50</v>
      </c>
      <c r="U12" s="69">
        <f>RANK(Table57[[#This Row],[Consequence]],$T$3:$T$17)</f>
        <v>1</v>
      </c>
      <c r="V12" s="16"/>
      <c r="X12" s="14">
        <f>J307</f>
        <v>0</v>
      </c>
      <c r="Y12" s="14">
        <v>19.493670886075947</v>
      </c>
    </row>
    <row r="13" spans="1:25">
      <c r="A13" s="84">
        <v>33</v>
      </c>
      <c r="B13" s="80">
        <v>9</v>
      </c>
      <c r="C13" s="81">
        <v>653110116</v>
      </c>
      <c r="D13" s="82" t="s">
        <v>848</v>
      </c>
      <c r="E13" s="105">
        <f>F189</f>
        <v>0</v>
      </c>
      <c r="F13" s="16">
        <v>1490.514684388889</v>
      </c>
      <c r="G13" s="70">
        <f>Table57[[#This Row],[Probability]]*Table57[[#This Row],[Consequence]]</f>
        <v>1819.4524357499042</v>
      </c>
      <c r="H13" s="16">
        <f>RANK(Table57[[#This Row],[Risk Score]],$G$3:$G$17)</f>
        <v>2</v>
      </c>
      <c r="I13" s="16">
        <f>VLOOKUP(C13,Table1[[#All],[RC]:[Total Internal Corrosion Score]],27,FALSE)</f>
        <v>34.166666666666664</v>
      </c>
      <c r="J13" s="16">
        <f>RANK(Table57[[#This Row],[INTERNAL CORROSION]],$I$3:$I$17)</f>
        <v>1</v>
      </c>
      <c r="K13" s="16">
        <f>VLOOKUP(C13,Ext.Mo!$C$2:$AK$326,35,FALSE)</f>
        <v>17.753164556962023</v>
      </c>
      <c r="L13" s="16">
        <f>RANK(Table57[[#This Row],[EXTERNAL CORROSION]],$K$3:$K$17)</f>
        <v>3</v>
      </c>
      <c r="M13" s="16">
        <f>VLOOKUP(Table57[[#This Row],[RC]],Table3[[RC]:[Total TPI Score10]],23,0)</f>
        <v>43.63636363636364</v>
      </c>
      <c r="N13" s="16">
        <f>RANK(Table57[[#This Row],[THIRD PARTY INTERFERENCE]],$M$3:$M$17)</f>
        <v>1</v>
      </c>
      <c r="O13" s="16">
        <f>VLOOKUP(Table57[[#This Row],[RC]],LGS_Mo.!$C$5:$P$322,14,0)</f>
        <v>50</v>
      </c>
      <c r="P13" s="16">
        <f>RANK(Table57[[#This Row],[Loss  of ground support]],$O$3:$O$17)</f>
        <v>1</v>
      </c>
      <c r="Q13" s="16">
        <f>(I13+K13+M13+Table57[[#This Row],[Loss  of ground support]])/4</f>
        <v>36.389048714998083</v>
      </c>
      <c r="R13" s="16">
        <f>VLOOKUP(C13,consequence!$B$2:$K$302,10,FALSE)</f>
        <v>3</v>
      </c>
      <c r="S13" s="16">
        <f>VLOOKUP(C13,consequence!B277:$K$302,9,FALSE)</f>
        <v>7</v>
      </c>
      <c r="T13" s="16">
        <f t="shared" si="0"/>
        <v>50</v>
      </c>
      <c r="U13" s="69">
        <f>RANK(Table57[[#This Row],[Consequence]],$T$3:$T$17)</f>
        <v>1</v>
      </c>
      <c r="V13" s="16"/>
      <c r="X13" s="14">
        <f>J308</f>
        <v>0</v>
      </c>
      <c r="Y13" s="14">
        <v>19.493670886075947</v>
      </c>
    </row>
    <row r="14" spans="1:25">
      <c r="A14" s="84">
        <v>33</v>
      </c>
      <c r="B14" s="80">
        <v>9</v>
      </c>
      <c r="C14" s="81">
        <v>653110201</v>
      </c>
      <c r="D14" s="82" t="s">
        <v>852</v>
      </c>
      <c r="E14" s="105">
        <f>F192</f>
        <v>0</v>
      </c>
      <c r="F14" s="16">
        <v>1490.514684388889</v>
      </c>
      <c r="G14" s="70">
        <f>Table57[[#This Row],[Probability]]*Table57[[#This Row],[Consequence]]</f>
        <v>1819.4524357499042</v>
      </c>
      <c r="H14" s="16">
        <f>RANK(Table57[[#This Row],[Risk Score]],$G$3:$G$17)</f>
        <v>2</v>
      </c>
      <c r="I14" s="16">
        <f>VLOOKUP(C14,Table1[[#All],[RC]:[Total Internal Corrosion Score]],27,FALSE)</f>
        <v>34.166666666666664</v>
      </c>
      <c r="J14" s="16">
        <f>RANK(Table57[[#This Row],[INTERNAL CORROSION]],$I$3:$I$17)</f>
        <v>1</v>
      </c>
      <c r="K14" s="16">
        <f>VLOOKUP(C14,Ext.Mo!$C$2:$AK$326,35,FALSE)</f>
        <v>17.753164556962023</v>
      </c>
      <c r="L14" s="16">
        <f>RANK(Table57[[#This Row],[EXTERNAL CORROSION]],$K$3:$K$17)</f>
        <v>3</v>
      </c>
      <c r="M14" s="16">
        <f>VLOOKUP(Table57[[#This Row],[RC]],Table3[[RC]:[Total TPI Score10]],23,0)</f>
        <v>43.63636363636364</v>
      </c>
      <c r="N14" s="9">
        <f>RANK(Table57[[#This Row],[THIRD PARTY INTERFERENCE]],$M$3:$M$17)</f>
        <v>1</v>
      </c>
      <c r="O14" s="9">
        <f>VLOOKUP(Table57[[#This Row],[RC]],LGS_Mo.!$C$5:$P$322,14,0)</f>
        <v>50</v>
      </c>
      <c r="P14" s="9">
        <f>RANK(Table57[[#This Row],[Loss  of ground support]],$O$3:$O$17)</f>
        <v>1</v>
      </c>
      <c r="Q14" s="9">
        <f>(I14+K14+M14+Table57[[#This Row],[Loss  of ground support]])/4</f>
        <v>36.389048714998083</v>
      </c>
      <c r="R14" s="9">
        <f>VLOOKUP(C14,consequence!$B$2:$K$302,10,FALSE)</f>
        <v>3</v>
      </c>
      <c r="S14" s="9">
        <f>VLOOKUP(C14,consequence!B280:$K$302,9,FALSE)</f>
        <v>7</v>
      </c>
      <c r="T14" s="115">
        <f t="shared" si="0"/>
        <v>50</v>
      </c>
      <c r="U14" s="116">
        <f>RANK(Table57[[#This Row],[Consequence]],$T$3:$T$17)</f>
        <v>1</v>
      </c>
      <c r="V14" s="9"/>
      <c r="X14" s="14">
        <f>J311</f>
        <v>0</v>
      </c>
      <c r="Y14" s="14">
        <v>19.493670886075947</v>
      </c>
    </row>
    <row r="15" spans="1:25">
      <c r="A15" s="84">
        <v>33</v>
      </c>
      <c r="B15" s="80">
        <v>9</v>
      </c>
      <c r="C15" s="81">
        <v>653110202</v>
      </c>
      <c r="D15" s="82" t="s">
        <v>819</v>
      </c>
      <c r="E15" s="105">
        <f>F193</f>
        <v>0</v>
      </c>
      <c r="F15" s="16">
        <v>1490.514684388889</v>
      </c>
      <c r="G15" s="70">
        <f>Table57[[#This Row],[Probability]]*Table57[[#This Row],[Consequence]]</f>
        <v>1819.4524357499042</v>
      </c>
      <c r="H15" s="16">
        <f>RANK(Table57[[#This Row],[Risk Score]],$G$3:$G$17)</f>
        <v>2</v>
      </c>
      <c r="I15" s="16">
        <f>VLOOKUP(C15,Table1[[#All],[RC]:[Total Internal Corrosion Score]],27,FALSE)</f>
        <v>34.166666666666664</v>
      </c>
      <c r="J15" s="16">
        <f>RANK(Table57[[#This Row],[INTERNAL CORROSION]],$I$3:$I$17)</f>
        <v>1</v>
      </c>
      <c r="K15" s="16">
        <f>VLOOKUP(C15,Ext.Mo!$C$2:$AK$326,35,FALSE)</f>
        <v>17.753164556962023</v>
      </c>
      <c r="L15" s="16">
        <f>RANK(Table57[[#This Row],[EXTERNAL CORROSION]],$K$3:$K$17)</f>
        <v>3</v>
      </c>
      <c r="M15" s="16">
        <f>VLOOKUP(Table57[[#This Row],[RC]],Table3[[RC]:[Total TPI Score10]],23,0)</f>
        <v>43.63636363636364</v>
      </c>
      <c r="N15" s="16">
        <f>RANK(Table57[[#This Row],[THIRD PARTY INTERFERENCE]],$M$3:$M$17)</f>
        <v>1</v>
      </c>
      <c r="O15" s="16">
        <f>VLOOKUP(Table57[[#This Row],[RC]],LGS_Mo.!$C$5:$P$322,14,0)</f>
        <v>50</v>
      </c>
      <c r="P15" s="16">
        <f>RANK(Table57[[#This Row],[Loss  of ground support]],$O$3:$O$17)</f>
        <v>1</v>
      </c>
      <c r="Q15" s="16">
        <f>(I15+K15+M15+Table57[[#This Row],[Loss  of ground support]])/4</f>
        <v>36.389048714998083</v>
      </c>
      <c r="R15" s="16">
        <f>VLOOKUP(C15,consequence!$B$2:$K$302,10,FALSE)</f>
        <v>3</v>
      </c>
      <c r="S15" s="16">
        <f>VLOOKUP(C15,consequence!B281:$K$302,9,FALSE)</f>
        <v>7</v>
      </c>
      <c r="T15" s="16">
        <f t="shared" si="0"/>
        <v>50</v>
      </c>
      <c r="U15" s="69">
        <f>RANK(Table57[[#This Row],[Consequence]],$T$3:$T$17)</f>
        <v>1</v>
      </c>
      <c r="V15" s="16"/>
      <c r="X15" s="14">
        <f>J312</f>
        <v>0</v>
      </c>
      <c r="Y15" s="14">
        <v>19.493670886075947</v>
      </c>
    </row>
    <row r="16" spans="1:25">
      <c r="A16" s="84">
        <v>33</v>
      </c>
      <c r="B16" s="80">
        <v>9</v>
      </c>
      <c r="C16" s="81">
        <v>6531103</v>
      </c>
      <c r="D16" s="82"/>
      <c r="E16" s="105">
        <f>F194</f>
        <v>0</v>
      </c>
      <c r="F16" s="16">
        <v>1490.514684388889</v>
      </c>
      <c r="G16" s="70">
        <f>Table57[[#This Row],[Probability]]*Table57[[#This Row],[Consequence]]</f>
        <v>1819.4524357499042</v>
      </c>
      <c r="H16" s="16">
        <f>RANK(Table57[[#This Row],[Risk Score]],$G$3:$G$17)</f>
        <v>2</v>
      </c>
      <c r="I16" s="16">
        <f>VLOOKUP(C16,Table1[[#All],[RC]:[Total Internal Corrosion Score]],27,FALSE)</f>
        <v>34.166666666666664</v>
      </c>
      <c r="J16" s="16">
        <f>RANK(Table57[[#This Row],[INTERNAL CORROSION]],$I$3:$I$17)</f>
        <v>1</v>
      </c>
      <c r="K16" s="16">
        <f>VLOOKUP(C16,Ext.Mo!$C$2:$AK$326,35,FALSE)</f>
        <v>17.753164556962023</v>
      </c>
      <c r="L16" s="16">
        <f>RANK(Table57[[#This Row],[EXTERNAL CORROSION]],$K$3:$K$17)</f>
        <v>3</v>
      </c>
      <c r="M16" s="16">
        <f>VLOOKUP(Table57[[#This Row],[RC]],Table3[[RC]:[Total TPI Score10]],23,0)</f>
        <v>43.63636363636364</v>
      </c>
      <c r="N16" s="16">
        <f>RANK(Table57[[#This Row],[THIRD PARTY INTERFERENCE]],$M$3:$M$17)</f>
        <v>1</v>
      </c>
      <c r="O16" s="16">
        <f>VLOOKUP(Table57[[#This Row],[RC]],LGS_Mo.!$C$5:$P$322,14,0)</f>
        <v>50</v>
      </c>
      <c r="P16" s="16">
        <f>RANK(Table57[[#This Row],[Loss  of ground support]],$O$3:$O$17)</f>
        <v>1</v>
      </c>
      <c r="Q16" s="16">
        <f>(I16+K16+M16+Table57[[#This Row],[Loss  of ground support]])/4</f>
        <v>36.389048714998083</v>
      </c>
      <c r="R16" s="16">
        <f>VLOOKUP(C16,consequence!$B$2:$K$302,10,FALSE)</f>
        <v>3</v>
      </c>
      <c r="S16" s="16">
        <f>VLOOKUP(C16,consequence!B282:$K$302,9,FALSE)</f>
        <v>7</v>
      </c>
      <c r="T16" s="63">
        <f t="shared" si="0"/>
        <v>50</v>
      </c>
      <c r="U16" s="69">
        <f>RANK(Table57[[#This Row],[Consequence]],$T$3:$T$17)</f>
        <v>1</v>
      </c>
      <c r="V16" s="16"/>
      <c r="X16" s="14">
        <f>J313</f>
        <v>0</v>
      </c>
      <c r="Y16" s="14">
        <v>19.493670886075947</v>
      </c>
    </row>
    <row r="17" spans="1:25">
      <c r="A17" s="84">
        <v>43</v>
      </c>
      <c r="B17" s="80">
        <v>9</v>
      </c>
      <c r="C17" s="81">
        <v>6523</v>
      </c>
      <c r="D17" s="82" t="s">
        <v>781</v>
      </c>
      <c r="E17" s="105">
        <f>F167</f>
        <v>0</v>
      </c>
      <c r="F17" s="16">
        <v>1490.514684388889</v>
      </c>
      <c r="G17" s="70">
        <f>Table57[[#This Row],[Probability]]*Table57[[#This Row],[Consequence]]</f>
        <v>1841.208753787879</v>
      </c>
      <c r="H17" s="16">
        <f>RANK(Table57[[#This Row],[Risk Score]],$G$3:$G$17)</f>
        <v>1</v>
      </c>
      <c r="I17" s="16">
        <f>VLOOKUP(C17,Table1[[#All],[RC]:[Total Internal Corrosion Score]],27,FALSE)</f>
        <v>34.166666666666664</v>
      </c>
      <c r="J17" s="16">
        <f>RANK(Table57[[#This Row],[INTERNAL CORROSION]],$I$3:$I$17)</f>
        <v>1</v>
      </c>
      <c r="K17" s="16">
        <f>VLOOKUP(C17,Ext.Mo!$C$2:$AK$326,35,FALSE)</f>
        <v>19.493670000000002</v>
      </c>
      <c r="L17" s="16">
        <f>RANK(Table57[[#This Row],[EXTERNAL CORROSION]],$K$3:$K$17)</f>
        <v>2</v>
      </c>
      <c r="M17" s="16">
        <f>VLOOKUP(Table57[[#This Row],[RC]],Table3[[RC]:[Total TPI Score10]],23,0)</f>
        <v>43.63636363636364</v>
      </c>
      <c r="N17" s="16">
        <f>RANK(Table57[[#This Row],[THIRD PARTY INTERFERENCE]],$M$3:$M$17)</f>
        <v>1</v>
      </c>
      <c r="O17" s="16">
        <f>VLOOKUP(Table57[[#This Row],[RC]],LGS_Mo.!$C$5:$P$322,14,0)</f>
        <v>50</v>
      </c>
      <c r="P17" s="16">
        <f>RANK(Table57[[#This Row],[Loss  of ground support]],$O$3:$O$17)</f>
        <v>1</v>
      </c>
      <c r="Q17" s="16">
        <f>(I17+K17+M17+Table57[[#This Row],[Loss  of ground support]])/4</f>
        <v>36.82417507575758</v>
      </c>
      <c r="R17" s="16">
        <f>VLOOKUP(C17,consequence!$B$2:$K$302,10,FALSE)</f>
        <v>3</v>
      </c>
      <c r="S17" s="16">
        <f>VLOOKUP(C17,consequence!B255:$K$302,9,FALSE)</f>
        <v>7</v>
      </c>
      <c r="T17" s="16">
        <f t="shared" ref="T17" si="1">((R17*5)+(S17*5))</f>
        <v>50</v>
      </c>
      <c r="U17" s="69">
        <f>RANK(Table57[[#This Row],[Consequence]],$T$3:$T$17)</f>
        <v>1</v>
      </c>
      <c r="V17" s="16"/>
      <c r="X17" s="14">
        <f>J286</f>
        <v>0</v>
      </c>
      <c r="Y17" s="14">
        <v>19.493670886075947</v>
      </c>
    </row>
    <row r="18" spans="1:25">
      <c r="A18" s="69"/>
      <c r="B18" s="241"/>
      <c r="C18" s="240"/>
      <c r="D18" s="240"/>
      <c r="E18" s="240"/>
      <c r="F18" s="242"/>
      <c r="G18" s="70">
        <f>COUNTIF(G3:G17,"&gt;1676.74")</f>
        <v>14</v>
      </c>
      <c r="H18" s="70"/>
      <c r="I18" s="70">
        <f>COUNTIF(I3:I17,"&gt;36.11")</f>
        <v>0</v>
      </c>
      <c r="J18" s="69"/>
      <c r="K18" s="70">
        <f>COUNTIF(K3:K17,"&gt;27.08")</f>
        <v>1</v>
      </c>
      <c r="L18" s="69"/>
      <c r="M18" s="70">
        <f>COUNTIF(M3:M17,"&gt;45")</f>
        <v>0</v>
      </c>
      <c r="N18" s="69"/>
      <c r="O18" s="69"/>
      <c r="P18" s="69"/>
      <c r="Q18" s="69"/>
      <c r="R18" s="69"/>
      <c r="S18" s="69"/>
      <c r="T18" s="70"/>
      <c r="U18" s="69"/>
      <c r="V18" s="69"/>
    </row>
    <row r="19" spans="1:25">
      <c r="F19" s="14">
        <f>COUNTA(G3:G17)</f>
        <v>15</v>
      </c>
      <c r="H19" s="72">
        <f>Table57[[#Totals],[INTERNAL CORROSION]]/F19</f>
        <v>0</v>
      </c>
      <c r="J19" s="71">
        <f>Table57[[#Totals],[EXTERNAL CORROSION]]/(COUNT($K$3:$K$17))</f>
        <v>6.6666666666666666E-2</v>
      </c>
      <c r="L19" s="71">
        <f>Table57[[#Totals],[THIRD PARTY INTERFERENCE]]/F19</f>
        <v>0</v>
      </c>
    </row>
    <row r="20" spans="1:25">
      <c r="F20" s="71">
        <f>Table57[[#Totals],[Risk Score]]/F19</f>
        <v>0.93333333333333335</v>
      </c>
    </row>
    <row r="21" spans="1:25">
      <c r="F21" s="71"/>
    </row>
    <row r="22" spans="1:25">
      <c r="F22" s="14">
        <f>COUNTIF(G3:G17,"&gt;2179.94")</f>
        <v>0</v>
      </c>
    </row>
  </sheetData>
  <conditionalFormatting sqref="I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{ACEABA14-3B75-4462-ABDB-30C07CCFD4B6}</x14:id>
        </ext>
      </extLst>
    </cfRule>
  </conditionalFormatting>
  <conditionalFormatting sqref="K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{0C75448D-9DC7-4C6F-99A6-C8DC8DD08B31}</x14:id>
        </ext>
      </extLst>
    </cfRule>
  </conditionalFormatting>
  <conditionalFormatting sqref="Q2">
    <cfRule type="dataBar" priority="1">
      <dataBar>
        <cfvo type="min"/>
        <cfvo type="max"/>
        <color rgb="FF00FF00"/>
      </dataBar>
      <extLst>
        <ext xmlns:x14="http://schemas.microsoft.com/office/spreadsheetml/2009/9/main" uri="{B025F937-C7B1-47D3-B67F-A62EFF666E3E}">
          <x14:id>{82A5C63E-0BC6-4D01-9B92-5E962C2F1C92}</x14:id>
        </ext>
      </extLst>
    </cfRule>
  </conditionalFormatting>
  <pageMargins left="0.7" right="0.7" top="0.75" bottom="0.75" header="0.3" footer="0.3"/>
  <pageSetup paperSize="9" scale="38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EABA14-3B75-4462-ABDB-30C07CCFD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</xm:sqref>
        </x14:conditionalFormatting>
        <x14:conditionalFormatting xmlns:xm="http://schemas.microsoft.com/office/excel/2006/main">
          <x14:cfRule type="dataBar" id="{0C75448D-9DC7-4C6F-99A6-C8DC8DD08B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82A5C63E-0BC6-4D01-9B92-5E962C2F1C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36"/>
  <sheetViews>
    <sheetView workbookViewId="0">
      <selection activeCell="J20" sqref="J20"/>
    </sheetView>
  </sheetViews>
  <sheetFormatPr defaultRowHeight="14.25"/>
  <cols>
    <col min="1" max="1" width="25.625" bestFit="1" customWidth="1"/>
    <col min="2" max="2" width="5.875" bestFit="1" customWidth="1"/>
    <col min="3" max="19" width="3.875" bestFit="1" customWidth="1"/>
    <col min="20" max="99" width="3.875" customWidth="1"/>
    <col min="100" max="100" width="5.875" bestFit="1" customWidth="1"/>
    <col min="101" max="162" width="3.875" customWidth="1"/>
    <col min="163" max="163" width="5.875" bestFit="1" customWidth="1"/>
    <col min="164" max="174" width="3.875" customWidth="1"/>
    <col min="175" max="178" width="5.875" bestFit="1" customWidth="1"/>
  </cols>
  <sheetData>
    <row r="2" spans="1:178" ht="66">
      <c r="A2" s="58"/>
      <c r="B2" s="59">
        <v>465</v>
      </c>
      <c r="C2" s="59">
        <v>520</v>
      </c>
      <c r="D2" s="59">
        <v>4021</v>
      </c>
      <c r="E2" s="59">
        <v>4023</v>
      </c>
      <c r="F2" s="59">
        <v>4032</v>
      </c>
      <c r="G2" s="59">
        <v>4311</v>
      </c>
      <c r="H2" s="59">
        <v>4401</v>
      </c>
      <c r="I2" s="59">
        <v>5033</v>
      </c>
      <c r="J2" s="59">
        <v>40231</v>
      </c>
      <c r="K2" s="59">
        <v>44041</v>
      </c>
      <c r="L2" s="59">
        <v>632102</v>
      </c>
      <c r="M2" s="59">
        <v>4001001</v>
      </c>
      <c r="N2" s="59">
        <v>6322101</v>
      </c>
      <c r="O2" s="59">
        <v>6322104</v>
      </c>
      <c r="P2" s="59">
        <v>40222012</v>
      </c>
      <c r="Q2" s="59">
        <v>402110001</v>
      </c>
      <c r="R2" s="59">
        <v>402210001</v>
      </c>
      <c r="S2" s="59">
        <v>402210003</v>
      </c>
      <c r="T2" s="59">
        <v>405110101</v>
      </c>
      <c r="U2" s="59">
        <v>440210002</v>
      </c>
      <c r="V2" s="59">
        <v>440220001</v>
      </c>
      <c r="W2" s="59">
        <v>503100001</v>
      </c>
      <c r="X2" s="59">
        <v>674</v>
      </c>
      <c r="Y2" s="59">
        <v>681</v>
      </c>
      <c r="Z2" s="59">
        <v>6613</v>
      </c>
      <c r="AA2" s="59">
        <v>6731</v>
      </c>
      <c r="AB2" s="59">
        <v>6732</v>
      </c>
      <c r="AC2" s="59">
        <v>6734</v>
      </c>
      <c r="AD2" s="59">
        <v>63602</v>
      </c>
      <c r="AE2" s="59">
        <v>65804</v>
      </c>
      <c r="AF2" s="59">
        <v>65820</v>
      </c>
      <c r="AG2" s="59">
        <v>66111</v>
      </c>
      <c r="AH2" s="59">
        <v>66112</v>
      </c>
      <c r="AI2" s="59">
        <v>66203</v>
      </c>
      <c r="AJ2" s="59">
        <v>67111</v>
      </c>
      <c r="AK2" s="59">
        <v>67121</v>
      </c>
      <c r="AL2" s="59">
        <v>67201</v>
      </c>
      <c r="AM2" s="59">
        <v>67301</v>
      </c>
      <c r="AN2" s="59">
        <v>67302</v>
      </c>
      <c r="AO2" s="59">
        <v>67311</v>
      </c>
      <c r="AP2" s="59">
        <v>69211</v>
      </c>
      <c r="AQ2" s="59">
        <v>69401</v>
      </c>
      <c r="AR2" s="59">
        <v>69501</v>
      </c>
      <c r="AS2" s="59">
        <v>636010</v>
      </c>
      <c r="AT2" s="59">
        <v>671111</v>
      </c>
      <c r="AU2" s="59">
        <v>6360106</v>
      </c>
      <c r="AV2" s="59">
        <v>6582101</v>
      </c>
      <c r="AW2" s="59">
        <v>6611205</v>
      </c>
      <c r="AX2" s="59">
        <v>6712105</v>
      </c>
      <c r="AY2" s="59">
        <v>6731101</v>
      </c>
      <c r="AZ2" s="59">
        <v>6921101</v>
      </c>
      <c r="BA2" s="59">
        <v>6940102</v>
      </c>
      <c r="BB2" s="59">
        <v>67210001</v>
      </c>
      <c r="BC2" s="59">
        <v>67210002</v>
      </c>
      <c r="BD2" s="59">
        <v>67220002</v>
      </c>
      <c r="BE2" s="59">
        <v>658110001</v>
      </c>
      <c r="BF2" s="59">
        <v>658110002</v>
      </c>
      <c r="BG2" s="59">
        <v>661110201</v>
      </c>
      <c r="BH2" s="59">
        <v>661120108</v>
      </c>
      <c r="BI2" s="59">
        <v>661120401</v>
      </c>
      <c r="BJ2" s="59">
        <v>671100001</v>
      </c>
      <c r="BK2" s="59">
        <v>671200001</v>
      </c>
      <c r="BL2" s="59">
        <v>671210101</v>
      </c>
      <c r="BM2" s="59">
        <v>671400001</v>
      </c>
      <c r="BN2" s="59">
        <v>671500001</v>
      </c>
      <c r="BO2" s="59">
        <v>673110001</v>
      </c>
      <c r="BP2" s="59">
        <v>673110002</v>
      </c>
      <c r="BQ2" s="59">
        <v>673110003</v>
      </c>
      <c r="BR2" s="59">
        <v>673110004</v>
      </c>
      <c r="BS2" s="59">
        <v>673110005</v>
      </c>
      <c r="BT2" s="59">
        <v>673110101</v>
      </c>
      <c r="BU2" s="59">
        <v>673110103</v>
      </c>
      <c r="BV2" s="59">
        <v>673120101</v>
      </c>
      <c r="BW2" s="59">
        <v>673200001</v>
      </c>
      <c r="BX2" s="59">
        <v>673200002</v>
      </c>
      <c r="BY2" s="59">
        <v>673500001</v>
      </c>
      <c r="BZ2" s="59">
        <v>673600001</v>
      </c>
      <c r="CA2" s="59">
        <v>673700001</v>
      </c>
      <c r="CB2" s="59">
        <v>673800001</v>
      </c>
      <c r="CC2" s="59">
        <v>673900001</v>
      </c>
      <c r="CD2" s="59">
        <v>674100001</v>
      </c>
      <c r="CE2" s="59">
        <v>692110101</v>
      </c>
      <c r="CF2" s="59">
        <v>692110103</v>
      </c>
      <c r="CG2" s="59">
        <v>330</v>
      </c>
      <c r="CH2" s="59">
        <v>430</v>
      </c>
      <c r="CI2" s="59">
        <v>3402</v>
      </c>
      <c r="CJ2" s="59">
        <v>4014</v>
      </c>
      <c r="CK2" s="59">
        <v>40112</v>
      </c>
      <c r="CL2" s="59">
        <v>40321</v>
      </c>
      <c r="CM2" s="59">
        <v>560201</v>
      </c>
      <c r="CN2" s="59">
        <v>561201</v>
      </c>
      <c r="CO2" s="59">
        <v>3402101</v>
      </c>
      <c r="CP2" s="59">
        <v>3402102</v>
      </c>
      <c r="CQ2" s="59">
        <v>3402103</v>
      </c>
      <c r="CR2" s="59">
        <v>3402104</v>
      </c>
      <c r="CS2" s="59">
        <v>3402105</v>
      </c>
      <c r="CT2" s="59">
        <v>3402106</v>
      </c>
      <c r="CU2" s="59">
        <v>4032201</v>
      </c>
      <c r="CV2" s="59">
        <v>33081004</v>
      </c>
      <c r="CW2" s="59">
        <v>33083010</v>
      </c>
      <c r="CX2" s="59">
        <v>56010101</v>
      </c>
      <c r="CY2" s="59">
        <v>56010102</v>
      </c>
      <c r="CZ2" s="59">
        <v>56010103</v>
      </c>
      <c r="DA2" s="59">
        <v>330820005</v>
      </c>
      <c r="DB2" s="59">
        <v>330901001</v>
      </c>
      <c r="DC2" s="59">
        <v>340210602</v>
      </c>
      <c r="DD2" s="59">
        <v>340300001</v>
      </c>
      <c r="DE2" s="59">
        <v>401100001</v>
      </c>
      <c r="DF2" s="59">
        <v>401110001</v>
      </c>
      <c r="DG2" s="59">
        <v>10210101</v>
      </c>
      <c r="DH2" s="59">
        <v>10210102</v>
      </c>
      <c r="DI2" s="59">
        <v>41031</v>
      </c>
      <c r="DJ2" s="59">
        <v>410101</v>
      </c>
      <c r="DK2" s="59">
        <v>410102</v>
      </c>
      <c r="DL2" s="59">
        <v>41010201</v>
      </c>
      <c r="DM2" s="59">
        <v>41010202</v>
      </c>
      <c r="DN2" s="59">
        <v>41010203</v>
      </c>
      <c r="DO2" s="59">
        <v>41010204</v>
      </c>
      <c r="DP2" s="59">
        <v>41031001</v>
      </c>
      <c r="DQ2" s="59">
        <v>41031002</v>
      </c>
      <c r="DR2" s="59">
        <v>41031003</v>
      </c>
      <c r="DS2" s="59">
        <v>401201001</v>
      </c>
      <c r="DT2" s="59">
        <v>401201002</v>
      </c>
      <c r="DU2" s="59">
        <v>410110001</v>
      </c>
      <c r="DV2" s="59">
        <v>410302001</v>
      </c>
      <c r="DW2" s="59">
        <v>4457</v>
      </c>
      <c r="DX2" s="59">
        <v>5062</v>
      </c>
      <c r="DY2" s="59">
        <v>6100</v>
      </c>
      <c r="DZ2" s="59">
        <v>50611</v>
      </c>
      <c r="EA2" s="59">
        <v>445202</v>
      </c>
      <c r="EB2" s="59">
        <v>445301</v>
      </c>
      <c r="EC2" s="59">
        <v>445402</v>
      </c>
      <c r="ED2" s="59">
        <v>445403</v>
      </c>
      <c r="EE2" s="59">
        <v>445601</v>
      </c>
      <c r="EF2" s="59">
        <v>615201</v>
      </c>
      <c r="EG2" s="59">
        <v>616101</v>
      </c>
      <c r="EH2" s="59">
        <v>617801</v>
      </c>
      <c r="EI2" s="59">
        <v>61520101</v>
      </c>
      <c r="EJ2" s="59">
        <v>61610101</v>
      </c>
      <c r="EK2" s="59">
        <v>61610102</v>
      </c>
      <c r="EL2" s="59">
        <v>61610103</v>
      </c>
      <c r="EM2" s="59">
        <v>61780103</v>
      </c>
      <c r="EN2" s="59">
        <v>445201001</v>
      </c>
      <c r="EO2" s="59">
        <v>445201002</v>
      </c>
      <c r="EP2" s="59">
        <v>445401001</v>
      </c>
      <c r="EQ2" s="59">
        <v>445401002</v>
      </c>
      <c r="ER2" s="59">
        <v>445402101</v>
      </c>
      <c r="ES2" s="59">
        <v>4457010102</v>
      </c>
      <c r="ET2" s="59">
        <v>4457010104</v>
      </c>
      <c r="EU2" s="59">
        <v>4457010105</v>
      </c>
      <c r="EV2" s="59">
        <v>4457010106</v>
      </c>
      <c r="EW2" s="59">
        <v>4457010108</v>
      </c>
      <c r="EX2" s="59">
        <v>4457010204</v>
      </c>
      <c r="EY2" s="59">
        <v>4457010205</v>
      </c>
      <c r="EZ2" s="59">
        <v>4457010207</v>
      </c>
      <c r="FA2" s="59">
        <v>5811</v>
      </c>
      <c r="FB2" s="59">
        <v>620</v>
      </c>
      <c r="FC2" s="59">
        <v>4108</v>
      </c>
      <c r="FD2" s="59">
        <v>4470</v>
      </c>
      <c r="FE2" s="59">
        <v>6203</v>
      </c>
      <c r="FF2" s="59">
        <v>6208</v>
      </c>
      <c r="FG2" s="59">
        <v>6531</v>
      </c>
      <c r="FH2" s="59">
        <v>6561</v>
      </c>
      <c r="FI2" s="59">
        <v>41071</v>
      </c>
      <c r="FJ2" s="59">
        <v>63401</v>
      </c>
      <c r="FK2" s="59">
        <v>65306</v>
      </c>
      <c r="FL2" s="59">
        <v>65505</v>
      </c>
      <c r="FM2" s="59">
        <v>65506</v>
      </c>
      <c r="FN2" s="59">
        <v>410901</v>
      </c>
      <c r="FO2" s="59">
        <v>410903</v>
      </c>
      <c r="FP2" s="59">
        <v>6203004</v>
      </c>
      <c r="FQ2" s="59">
        <v>651100001</v>
      </c>
      <c r="FR2" s="59">
        <v>651300001</v>
      </c>
      <c r="FS2" s="59">
        <v>654101001</v>
      </c>
      <c r="FT2" s="59">
        <v>654201001</v>
      </c>
      <c r="FU2" s="59">
        <v>655101001</v>
      </c>
      <c r="FV2" s="59">
        <v>655201001</v>
      </c>
    </row>
    <row r="3" spans="1:178">
      <c r="A3" s="261" t="s">
        <v>533</v>
      </c>
      <c r="B3" s="261"/>
      <c r="C3" s="261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1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1"/>
      <c r="AY3" s="261"/>
      <c r="AZ3" s="261"/>
      <c r="BA3" s="261"/>
      <c r="BB3" s="261"/>
      <c r="BC3" s="261"/>
      <c r="BD3" s="261"/>
      <c r="BE3" s="261"/>
      <c r="BF3" s="261"/>
      <c r="BG3" s="261"/>
      <c r="BH3" s="261"/>
      <c r="BI3" s="261"/>
      <c r="BJ3" s="261"/>
      <c r="BK3" s="261"/>
      <c r="BL3" s="261"/>
      <c r="BM3" s="261"/>
      <c r="BN3" s="261"/>
      <c r="BO3" s="261"/>
      <c r="BP3" s="261"/>
      <c r="BQ3" s="261"/>
      <c r="BR3" s="261"/>
      <c r="BS3" s="261"/>
      <c r="BT3" s="261"/>
      <c r="BU3" s="261"/>
      <c r="BV3" s="261"/>
      <c r="BW3" s="261"/>
      <c r="BX3" s="261"/>
      <c r="BY3" s="261"/>
      <c r="BZ3" s="261"/>
      <c r="CA3" s="261"/>
      <c r="CB3" s="261"/>
      <c r="CC3" s="261"/>
      <c r="CD3" s="261"/>
      <c r="CE3" s="261"/>
      <c r="CF3" s="261"/>
      <c r="CG3" s="261"/>
      <c r="CH3" s="261"/>
      <c r="CI3" s="261"/>
      <c r="CJ3" s="261"/>
      <c r="CK3" s="261"/>
      <c r="CL3" s="261"/>
      <c r="CM3" s="261"/>
      <c r="CN3" s="261"/>
      <c r="CO3" s="261"/>
      <c r="CP3" s="261"/>
      <c r="CQ3" s="261"/>
      <c r="CR3" s="261"/>
      <c r="CS3" s="261"/>
      <c r="CT3" s="261"/>
      <c r="CU3" s="261"/>
      <c r="CV3" s="261"/>
      <c r="CW3" s="261"/>
      <c r="CX3" s="261"/>
      <c r="CY3" s="261"/>
      <c r="CZ3" s="261"/>
      <c r="DA3" s="261"/>
      <c r="DB3" s="261"/>
      <c r="DC3" s="261"/>
      <c r="DD3" s="261"/>
      <c r="DE3" s="261"/>
      <c r="DF3" s="261"/>
      <c r="DG3" s="261"/>
      <c r="DH3" s="261"/>
      <c r="DI3" s="261"/>
      <c r="DJ3" s="261"/>
      <c r="DK3" s="261"/>
      <c r="DL3" s="261"/>
      <c r="DM3" s="261"/>
      <c r="DN3" s="261"/>
      <c r="DO3" s="261"/>
      <c r="DP3" s="261"/>
      <c r="DQ3" s="261"/>
      <c r="DR3" s="261"/>
      <c r="DS3" s="261"/>
      <c r="DT3" s="261"/>
      <c r="DU3" s="261"/>
      <c r="DV3" s="261"/>
      <c r="DW3" s="261"/>
      <c r="DX3" s="261"/>
      <c r="DY3" s="261"/>
      <c r="DZ3" s="261"/>
      <c r="EA3" s="261"/>
      <c r="EB3" s="261"/>
      <c r="EC3" s="261"/>
      <c r="ED3" s="261"/>
      <c r="EE3" s="261"/>
      <c r="EF3" s="261"/>
      <c r="EG3" s="261"/>
      <c r="EH3" s="261"/>
      <c r="EI3" s="261"/>
      <c r="EJ3" s="261"/>
      <c r="EK3" s="261"/>
      <c r="EL3" s="261"/>
      <c r="EM3" s="261"/>
      <c r="EN3" s="261"/>
      <c r="EO3" s="261"/>
      <c r="EP3" s="261"/>
      <c r="EQ3" s="261"/>
      <c r="ER3" s="261"/>
      <c r="ES3" s="261"/>
      <c r="ET3" s="261"/>
      <c r="EU3" s="261"/>
      <c r="EV3" s="261"/>
      <c r="EW3" s="261"/>
      <c r="EX3" s="261"/>
      <c r="EY3" s="261"/>
      <c r="EZ3" s="261"/>
      <c r="FA3" s="261"/>
      <c r="FB3" s="261"/>
      <c r="FC3" s="261"/>
      <c r="FD3" s="261"/>
      <c r="FE3" s="261"/>
      <c r="FF3" s="261"/>
      <c r="FG3" s="261"/>
      <c r="FH3" s="261"/>
      <c r="FI3" s="261"/>
      <c r="FJ3" s="261"/>
      <c r="FK3" s="261"/>
      <c r="FL3" s="261"/>
      <c r="FM3" s="261"/>
      <c r="FN3" s="261"/>
      <c r="FO3" s="261"/>
      <c r="FP3" s="261"/>
      <c r="FQ3" s="261"/>
      <c r="FR3" s="261"/>
      <c r="FS3" s="261"/>
      <c r="FT3" s="261"/>
      <c r="FU3" s="261"/>
      <c r="FV3" s="261"/>
    </row>
    <row r="4" spans="1:178">
      <c r="A4" s="60" t="s">
        <v>82</v>
      </c>
      <c r="B4" s="19" t="e">
        <f>IF(VLOOKUP(B$2,Table1[[#All],[RC]:[Internal Corrosion rate]],4,FALSE)="",0,100)</f>
        <v>#N/A</v>
      </c>
      <c r="C4" s="19" t="e">
        <f>IF(VLOOKUP(C$2,Table1[[#All],[RC]:[Internal Corrosion rate]],4,FALSE)="",0,100)</f>
        <v>#N/A</v>
      </c>
      <c r="D4" s="19">
        <f>IF(VLOOKUP(D$2,Table1[[#All],[RC]:[Internal Corrosion rate]],4,FALSE)="",0,100)</f>
        <v>100</v>
      </c>
      <c r="E4" s="19">
        <f>IF(VLOOKUP(E$2,Table1[[#All],[RC]:[Internal Corrosion rate]],4,FALSE)="",0,100)</f>
        <v>100</v>
      </c>
      <c r="F4" s="19">
        <f>IF(VLOOKUP(F$2,Table1[[#All],[RC]:[Internal Corrosion rate]],4,FALSE)="",0,100)</f>
        <v>100</v>
      </c>
      <c r="G4" s="19">
        <f>IF(VLOOKUP(G$2,Table1[[#All],[RC]:[Internal Corrosion rate]],4,FALSE)="",0,100)</f>
        <v>100</v>
      </c>
      <c r="H4" s="19">
        <f>IF(VLOOKUP(H$2,Table1[[#All],[RC]:[Internal Corrosion rate]],4,FALSE)="",0,100)</f>
        <v>100</v>
      </c>
      <c r="I4" s="19">
        <f>IF(VLOOKUP(I$2,Table1[[#All],[RC]:[Internal Corrosion rate]],4,FALSE)="",0,100)</f>
        <v>100</v>
      </c>
      <c r="J4" s="19">
        <f>IF(VLOOKUP(J$2,Table1[[#All],[RC]:[Internal Corrosion rate]],4,FALSE)="",0,100)</f>
        <v>100</v>
      </c>
      <c r="K4" s="19">
        <f>IF(VLOOKUP(K$2,Table1[[#All],[RC]:[Internal Corrosion rate]],4,FALSE)="",0,100)</f>
        <v>100</v>
      </c>
      <c r="L4" s="19">
        <f>IF(VLOOKUP(L$2,Table1[[#All],[RC]:[Internal Corrosion rate]],4,FALSE)="",0,100)</f>
        <v>100</v>
      </c>
      <c r="M4" s="19" t="e">
        <f>IF(VLOOKUP(M$2,Table1[[#All],[RC]:[Internal Corrosion rate]],4,FALSE)="",0,100)</f>
        <v>#N/A</v>
      </c>
      <c r="N4" s="19">
        <f>IF(VLOOKUP(N$2,Table1[[#All],[RC]:[Internal Corrosion rate]],4,FALSE)="",0,100)</f>
        <v>100</v>
      </c>
      <c r="O4" s="19">
        <f>IF(VLOOKUP(O$2,Table1[[#All],[RC]:[Internal Corrosion rate]],4,FALSE)="",0,100)</f>
        <v>100</v>
      </c>
      <c r="P4" s="19">
        <f>IF(VLOOKUP(P$2,Table1[[#All],[RC]:[Internal Corrosion rate]],4,FALSE)="",0,100)</f>
        <v>100</v>
      </c>
      <c r="Q4" s="19">
        <f>IF(VLOOKUP(Q$2,Table1[[#All],[RC]:[Internal Corrosion rate]],4,FALSE)="",0,100)</f>
        <v>100</v>
      </c>
      <c r="R4" s="19">
        <f>IF(VLOOKUP(R$2,Table1[[#All],[RC]:[Internal Corrosion rate]],4,FALSE)="",0,100)</f>
        <v>100</v>
      </c>
      <c r="S4" s="19">
        <f>IF(VLOOKUP(S$2,Table1[[#All],[RC]:[Internal Corrosion rate]],4,FALSE)="",0,100)</f>
        <v>100</v>
      </c>
      <c r="T4" s="19">
        <f>IF(VLOOKUP(T$2,Table1[[#All],[RC]:[Internal Corrosion rate]],4,FALSE)="",0,100)</f>
        <v>100</v>
      </c>
      <c r="U4" s="19">
        <f>IF(VLOOKUP(U$2,Table1[[#All],[RC]:[Internal Corrosion rate]],4,FALSE)="",0,100)</f>
        <v>100</v>
      </c>
      <c r="V4" s="19">
        <f>IF(VLOOKUP(V$2,Table1[[#All],[RC]:[Internal Corrosion rate]],4,FALSE)="",0,100)</f>
        <v>100</v>
      </c>
      <c r="W4" s="19">
        <f>IF(VLOOKUP(W$2,Table1[[#All],[RC]:[Internal Corrosion rate]],4,FALSE)="",0,100)</f>
        <v>100</v>
      </c>
      <c r="X4" s="19">
        <f>IF(VLOOKUP(X$2,Table1[[#All],[RC]:[Internal Corrosion rate]],4,FALSE)="",0,100)</f>
        <v>100</v>
      </c>
      <c r="Y4" s="19" t="e">
        <f>IF(VLOOKUP(Y$2,Table1[[#All],[RC]:[Internal Corrosion rate]],4,FALSE)="",0,100)</f>
        <v>#N/A</v>
      </c>
      <c r="Z4" s="19" t="e">
        <f>IF(VLOOKUP(Z$2,Table1[[#All],[RC]:[Internal Corrosion rate]],4,FALSE)="",0,100)</f>
        <v>#N/A</v>
      </c>
      <c r="AA4" s="19">
        <f>IF(VLOOKUP(AA$2,Table1[[#All],[RC]:[Internal Corrosion rate]],4,FALSE)="",0,100)</f>
        <v>100</v>
      </c>
      <c r="AB4" s="19">
        <f>IF(VLOOKUP(AB$2,Table1[[#All],[RC]:[Internal Corrosion rate]],4,FALSE)="",0,100)</f>
        <v>100</v>
      </c>
      <c r="AC4" s="19">
        <f>IF(VLOOKUP(AC$2,Table1[[#All],[RC]:[Internal Corrosion rate]],4,FALSE)="",0,100)</f>
        <v>100</v>
      </c>
      <c r="AD4" s="19">
        <f>IF(VLOOKUP(AD$2,Table1[[#All],[RC]:[Internal Corrosion rate]],4,FALSE)="",0,100)</f>
        <v>100</v>
      </c>
      <c r="AE4" s="19" t="e">
        <f>IF(VLOOKUP(AE$2,Table1[[#All],[RC]:[Internal Corrosion rate]],4,FALSE)="",0,100)</f>
        <v>#N/A</v>
      </c>
      <c r="AF4" s="19">
        <f>IF(VLOOKUP(AF$2,Table1[[#All],[RC]:[Internal Corrosion rate]],4,FALSE)="",0,100)</f>
        <v>100</v>
      </c>
      <c r="AG4" s="19">
        <f>IF(VLOOKUP(AG$2,Table1[[#All],[RC]:[Internal Corrosion rate]],4,FALSE)="",0,100)</f>
        <v>100</v>
      </c>
      <c r="AH4" s="19">
        <f>IF(VLOOKUP(AH$2,Table1[[#All],[RC]:[Internal Corrosion rate]],4,FALSE)="",0,100)</f>
        <v>100</v>
      </c>
      <c r="AI4" s="19">
        <f>IF(VLOOKUP(AI$2,Table1[[#All],[RC]:[Internal Corrosion rate]],4,FALSE)="",0,100)</f>
        <v>100</v>
      </c>
      <c r="AJ4" s="19">
        <f>IF(VLOOKUP(AJ$2,Table1[[#All],[RC]:[Internal Corrosion rate]],4,FALSE)="",0,100)</f>
        <v>100</v>
      </c>
      <c r="AK4" s="19">
        <f>IF(VLOOKUP(AK$2,Table1[[#All],[RC]:[Internal Corrosion rate]],4,FALSE)="",0,100)</f>
        <v>100</v>
      </c>
      <c r="AL4" s="19" t="e">
        <f>IF(VLOOKUP(AL$2,Table1[[#All],[RC]:[Internal Corrosion rate]],4,FALSE)="",0,100)</f>
        <v>#N/A</v>
      </c>
      <c r="AM4" s="19" t="e">
        <f>IF(VLOOKUP(AM$2,Table1[[#All],[RC]:[Internal Corrosion rate]],4,FALSE)="",0,100)</f>
        <v>#N/A</v>
      </c>
      <c r="AN4" s="19" t="e">
        <f>IF(VLOOKUP(AN$2,Table1[[#All],[RC]:[Internal Corrosion rate]],4,FALSE)="",0,100)</f>
        <v>#N/A</v>
      </c>
      <c r="AO4" s="19">
        <f>IF(VLOOKUP(AO$2,Table1[[#All],[RC]:[Internal Corrosion rate]],4,FALSE)="",0,100)</f>
        <v>100</v>
      </c>
      <c r="AP4" s="19">
        <f>IF(VLOOKUP(AP$2,Table1[[#All],[RC]:[Internal Corrosion rate]],4,FALSE)="",0,100)</f>
        <v>100</v>
      </c>
      <c r="AQ4" s="19" t="e">
        <f>IF(VLOOKUP(AQ$2,Table1[[#All],[RC]:[Internal Corrosion rate]],4,FALSE)="",0,100)</f>
        <v>#N/A</v>
      </c>
      <c r="AR4" s="19" t="e">
        <f>IF(VLOOKUP(AR$2,Table1[[#All],[RC]:[Internal Corrosion rate]],4,FALSE)="",0,100)</f>
        <v>#N/A</v>
      </c>
      <c r="AS4" s="19" t="e">
        <f>IF(VLOOKUP(AS$2,Table1[[#All],[RC]:[Internal Corrosion rate]],4,FALSE)="",0,100)</f>
        <v>#N/A</v>
      </c>
      <c r="AT4" s="19">
        <f>IF(VLOOKUP(AT$2,Table1[[#All],[RC]:[Internal Corrosion rate]],4,FALSE)="",0,100)</f>
        <v>100</v>
      </c>
      <c r="AU4" s="19">
        <f>IF(VLOOKUP(AU$2,Table1[[#All],[RC]:[Internal Corrosion rate]],4,FALSE)="",0,100)</f>
        <v>100</v>
      </c>
      <c r="AV4" s="19">
        <f>IF(VLOOKUP(AV$2,Table1[[#All],[RC]:[Internal Corrosion rate]],4,FALSE)="",0,100)</f>
        <v>100</v>
      </c>
      <c r="AW4" s="19" t="e">
        <f>IF(VLOOKUP(AW$2,Table1[[#All],[RC]:[Internal Corrosion rate]],4,FALSE)="",0,100)</f>
        <v>#N/A</v>
      </c>
      <c r="AX4" s="19">
        <f>IF(VLOOKUP(AX$2,Table1[[#All],[RC]:[Internal Corrosion rate]],4,FALSE)="",0,100)</f>
        <v>100</v>
      </c>
      <c r="AY4" s="19">
        <f>IF(VLOOKUP(AY$2,Table1[[#All],[RC]:[Internal Corrosion rate]],4,FALSE)="",0,100)</f>
        <v>100</v>
      </c>
      <c r="AZ4" s="19">
        <f>IF(VLOOKUP(AZ$2,Table1[[#All],[RC]:[Internal Corrosion rate]],4,FALSE)="",0,100)</f>
        <v>100</v>
      </c>
      <c r="BA4" s="19" t="e">
        <f>IF(VLOOKUP(BA$2,Table1[[#All],[RC]:[Internal Corrosion rate]],4,FALSE)="",0,100)</f>
        <v>#N/A</v>
      </c>
      <c r="BB4" s="19">
        <f>IF(VLOOKUP(BB$2,Table1[[#All],[RC]:[Internal Corrosion rate]],4,FALSE)="",0,100)</f>
        <v>100</v>
      </c>
      <c r="BC4" s="19">
        <f>IF(VLOOKUP(BC$2,Table1[[#All],[RC]:[Internal Corrosion rate]],4,FALSE)="",0,100)</f>
        <v>100</v>
      </c>
      <c r="BD4" s="19" t="e">
        <f>IF(VLOOKUP(BD$2,Table1[[#All],[RC]:[Internal Corrosion rate]],4,FALSE)="",0,100)</f>
        <v>#N/A</v>
      </c>
      <c r="BE4" s="19">
        <f>IF(VLOOKUP(BE$2,Table1[[#All],[RC]:[Internal Corrosion rate]],4,FALSE)="",0,100)</f>
        <v>100</v>
      </c>
      <c r="BF4" s="19">
        <f>IF(VLOOKUP(BF$2,Table1[[#All],[RC]:[Internal Corrosion rate]],4,FALSE)="",0,100)</f>
        <v>100</v>
      </c>
      <c r="BG4" s="19">
        <f>IF(VLOOKUP(BG$2,Table1[[#All],[RC]:[Internal Corrosion rate]],4,FALSE)="",0,100)</f>
        <v>100</v>
      </c>
      <c r="BH4" s="19" t="e">
        <f>IF(VLOOKUP(BH$2,Table1[[#All],[RC]:[Internal Corrosion rate]],4,FALSE)="",0,100)</f>
        <v>#N/A</v>
      </c>
      <c r="BI4" s="19" t="e">
        <f>IF(VLOOKUP(BI$2,Table1[[#All],[RC]:[Internal Corrosion rate]],4,FALSE)="",0,100)</f>
        <v>#N/A</v>
      </c>
      <c r="BJ4" s="19" t="e">
        <f>IF(VLOOKUP(BJ$2,Table1[[#All],[RC]:[Internal Corrosion rate]],4,FALSE)="",0,100)</f>
        <v>#N/A</v>
      </c>
      <c r="BK4" s="19">
        <f>IF(VLOOKUP(BK$2,Table1[[#All],[RC]:[Internal Corrosion rate]],4,FALSE)="",0,100)</f>
        <v>100</v>
      </c>
      <c r="BL4" s="19">
        <f>IF(VLOOKUP(BL$2,Table1[[#All],[RC]:[Internal Corrosion rate]],4,FALSE)="",0,100)</f>
        <v>100</v>
      </c>
      <c r="BM4" s="19" t="e">
        <f>IF(VLOOKUP(BM$2,Table1[[#All],[RC]:[Internal Corrosion rate]],4,FALSE)="",0,100)</f>
        <v>#N/A</v>
      </c>
      <c r="BN4" s="19">
        <f>IF(VLOOKUP(BN$2,Table1[[#All],[RC]:[Internal Corrosion rate]],4,FALSE)="",0,100)</f>
        <v>100</v>
      </c>
      <c r="BO4" s="19">
        <f>IF(VLOOKUP(BO$2,Table1[[#All],[RC]:[Internal Corrosion rate]],4,FALSE)="",0,100)</f>
        <v>100</v>
      </c>
      <c r="BP4" s="19">
        <f>IF(VLOOKUP(BP$2,Table1[[#All],[RC]:[Internal Corrosion rate]],4,FALSE)="",0,100)</f>
        <v>100</v>
      </c>
      <c r="BQ4" s="19">
        <f>IF(VLOOKUP(BQ$2,Table1[[#All],[RC]:[Internal Corrosion rate]],4,FALSE)="",0,100)</f>
        <v>100</v>
      </c>
      <c r="BR4" s="19">
        <f>IF(VLOOKUP(BR$2,Table1[[#All],[RC]:[Internal Corrosion rate]],4,FALSE)="",0,100)</f>
        <v>100</v>
      </c>
      <c r="BS4" s="19">
        <f>IF(VLOOKUP(BS$2,Table1[[#All],[RC]:[Internal Corrosion rate]],4,FALSE)="",0,100)</f>
        <v>100</v>
      </c>
      <c r="BT4" s="19" t="e">
        <f>IF(VLOOKUP(BT$2,Table1[[#All],[RC]:[Internal Corrosion rate]],4,FALSE)="",0,100)</f>
        <v>#N/A</v>
      </c>
      <c r="BU4" s="19">
        <f>IF(VLOOKUP(BU$2,Table1[[#All],[RC]:[Internal Corrosion rate]],4,FALSE)="",0,100)</f>
        <v>100</v>
      </c>
      <c r="BV4" s="19" t="e">
        <f>IF(VLOOKUP(BV$2,Table1[[#All],[RC]:[Internal Corrosion rate]],4,FALSE)="",0,100)</f>
        <v>#N/A</v>
      </c>
      <c r="BW4" s="19">
        <f>IF(VLOOKUP(BW$2,Table1[[#All],[RC]:[Internal Corrosion rate]],4,FALSE)="",0,100)</f>
        <v>100</v>
      </c>
      <c r="BX4" s="19">
        <f>IF(VLOOKUP(BX$2,Table1[[#All],[RC]:[Internal Corrosion rate]],4,FALSE)="",0,100)</f>
        <v>100</v>
      </c>
      <c r="BY4" s="19">
        <f>IF(VLOOKUP(BY$2,Table1[[#All],[RC]:[Internal Corrosion rate]],4,FALSE)="",0,100)</f>
        <v>100</v>
      </c>
      <c r="BZ4" s="19">
        <f>IF(VLOOKUP(BZ$2,Table1[[#All],[RC]:[Internal Corrosion rate]],4,FALSE)="",0,100)</f>
        <v>100</v>
      </c>
      <c r="CA4" s="19">
        <f>IF(VLOOKUP(CA$2,Table1[[#All],[RC]:[Internal Corrosion rate]],4,FALSE)="",0,100)</f>
        <v>100</v>
      </c>
      <c r="CB4" s="19" t="e">
        <f>IF(VLOOKUP(CB$2,Table1[[#All],[RC]:[Internal Corrosion rate]],4,FALSE)="",0,100)</f>
        <v>#N/A</v>
      </c>
      <c r="CC4" s="19" t="e">
        <f>IF(VLOOKUP(CC$2,Table1[[#All],[RC]:[Internal Corrosion rate]],4,FALSE)="",0,100)</f>
        <v>#N/A</v>
      </c>
      <c r="CD4" s="19">
        <f>IF(VLOOKUP(CD$2,Table1[[#All],[RC]:[Internal Corrosion rate]],4,FALSE)="",0,100)</f>
        <v>100</v>
      </c>
      <c r="CE4" s="19">
        <f>IF(VLOOKUP(CE$2,Table1[[#All],[RC]:[Internal Corrosion rate]],4,FALSE)="",0,100)</f>
        <v>100</v>
      </c>
      <c r="CF4" s="19">
        <f>IF(VLOOKUP(CF$2,Table1[[#All],[RC]:[Internal Corrosion rate]],4,FALSE)="",0,100)</f>
        <v>100</v>
      </c>
      <c r="CG4" s="19">
        <f>IF(VLOOKUP(CG$2,Table1[[#All],[RC]:[Internal Corrosion rate]],4,FALSE)="",0,100)</f>
        <v>100</v>
      </c>
      <c r="CH4" s="19">
        <f>IF(VLOOKUP(CH$2,Table1[[#All],[RC]:[Internal Corrosion rate]],4,FALSE)="",0,100)</f>
        <v>100</v>
      </c>
      <c r="CI4" s="19">
        <f>IF(VLOOKUP(CI$2,Table1[[#All],[RC]:[Internal Corrosion rate]],4,FALSE)="",0,100)</f>
        <v>100</v>
      </c>
      <c r="CJ4" s="19">
        <f>IF(VLOOKUP(CJ$2,Table1[[#All],[RC]:[Internal Corrosion rate]],4,FALSE)="",0,100)</f>
        <v>100</v>
      </c>
      <c r="CK4" s="19">
        <f>IF(VLOOKUP(CK$2,Table1[[#All],[RC]:[Internal Corrosion rate]],4,FALSE)="",0,100)</f>
        <v>100</v>
      </c>
      <c r="CL4" s="19">
        <f>IF(VLOOKUP(CL$2,Table1[[#All],[RC]:[Internal Corrosion rate]],4,FALSE)="",0,100)</f>
        <v>100</v>
      </c>
      <c r="CM4" s="19">
        <f>IF(VLOOKUP(CM$2,Table1[[#All],[RC]:[Internal Corrosion rate]],4,FALSE)="",0,100)</f>
        <v>100</v>
      </c>
      <c r="CN4" s="19">
        <f>IF(VLOOKUP(CN$2,Table1[[#All],[RC]:[Internal Corrosion rate]],4,FALSE)="",0,100)</f>
        <v>100</v>
      </c>
      <c r="CO4" s="19">
        <f>IF(VLOOKUP(CO$2,Table1[[#All],[RC]:[Internal Corrosion rate]],4,FALSE)="",0,100)</f>
        <v>100</v>
      </c>
      <c r="CP4" s="19">
        <f>IF(VLOOKUP(CP$2,Table1[[#All],[RC]:[Internal Corrosion rate]],4,FALSE)="",0,100)</f>
        <v>100</v>
      </c>
      <c r="CQ4" s="19">
        <f>IF(VLOOKUP(CQ$2,Table1[[#All],[RC]:[Internal Corrosion rate]],4,FALSE)="",0,100)</f>
        <v>100</v>
      </c>
      <c r="CR4" s="19">
        <f>IF(VLOOKUP(CR$2,Table1[[#All],[RC]:[Internal Corrosion rate]],4,FALSE)="",0,100)</f>
        <v>100</v>
      </c>
      <c r="CS4" s="19">
        <f>IF(VLOOKUP(CS$2,Table1[[#All],[RC]:[Internal Corrosion rate]],4,FALSE)="",0,100)</f>
        <v>100</v>
      </c>
      <c r="CT4" s="19">
        <f>IF(VLOOKUP(CT$2,Table1[[#All],[RC]:[Internal Corrosion rate]],4,FALSE)="",0,100)</f>
        <v>100</v>
      </c>
      <c r="CU4" s="19">
        <f>IF(VLOOKUP(CU$2,Table1[[#All],[RC]:[Internal Corrosion rate]],4,FALSE)="",0,100)</f>
        <v>100</v>
      </c>
      <c r="CV4" s="19">
        <f>IF(VLOOKUP(CV$2,Table1[[#All],[RC]:[Internal Corrosion rate]],4,FALSE)="",0,100)</f>
        <v>100</v>
      </c>
      <c r="CW4" s="19">
        <f>IF(VLOOKUP(CW$2,Table1[[#All],[RC]:[Internal Corrosion rate]],4,FALSE)="",0,100)</f>
        <v>100</v>
      </c>
      <c r="CX4" s="19">
        <f>IF(VLOOKUP(CX$2,Table1[[#All],[RC]:[Internal Corrosion rate]],4,FALSE)="",0,100)</f>
        <v>100</v>
      </c>
      <c r="CY4" s="19">
        <f>IF(VLOOKUP(CY$2,Table1[[#All],[RC]:[Internal Corrosion rate]],4,FALSE)="",0,100)</f>
        <v>100</v>
      </c>
      <c r="CZ4" s="19">
        <f>IF(VLOOKUP(CZ$2,Table1[[#All],[RC]:[Internal Corrosion rate]],4,FALSE)="",0,100)</f>
        <v>100</v>
      </c>
      <c r="DA4" s="19">
        <f>IF(VLOOKUP(DA$2,Table1[[#All],[RC]:[Internal Corrosion rate]],4,FALSE)="",0,100)</f>
        <v>100</v>
      </c>
      <c r="DB4" s="19">
        <f>IF(VLOOKUP(DB$2,Table1[[#All],[RC]:[Internal Corrosion rate]],4,FALSE)="",0,100)</f>
        <v>100</v>
      </c>
      <c r="DC4" s="19">
        <f>IF(VLOOKUP(DC$2,Table1[[#All],[RC]:[Internal Corrosion rate]],4,FALSE)="",0,100)</f>
        <v>100</v>
      </c>
      <c r="DD4" s="19">
        <f>IF(VLOOKUP(DD$2,Table1[[#All],[RC]:[Internal Corrosion rate]],4,FALSE)="",0,100)</f>
        <v>100</v>
      </c>
      <c r="DE4" s="19">
        <f>IF(VLOOKUP(DE$2,Table1[[#All],[RC]:[Internal Corrosion rate]],4,FALSE)="",0,100)</f>
        <v>100</v>
      </c>
      <c r="DF4" s="19">
        <f>IF(VLOOKUP(DF$2,Table1[[#All],[RC]:[Internal Corrosion rate]],4,FALSE)="",0,100)</f>
        <v>100</v>
      </c>
      <c r="DG4" s="19" t="e">
        <f>IF(VLOOKUP(DG$2,Table1[[#All],[RC]:[Internal Corrosion rate]],4,FALSE)="",0,100)</f>
        <v>#N/A</v>
      </c>
      <c r="DH4" s="19" t="e">
        <f>IF(VLOOKUP(DH$2,Table1[[#All],[RC]:[Internal Corrosion rate]],4,FALSE)="",0,100)</f>
        <v>#N/A</v>
      </c>
      <c r="DI4" s="19" t="e">
        <f>IF(VLOOKUP(DI$2,Table1[[#All],[RC]:[Internal Corrosion rate]],4,FALSE)="",0,100)</f>
        <v>#N/A</v>
      </c>
      <c r="DJ4" s="19">
        <f>IF(VLOOKUP(DJ$2,Table1[[#All],[RC]:[Internal Corrosion rate]],4,FALSE)="",0,100)</f>
        <v>100</v>
      </c>
      <c r="DK4" s="19">
        <f>IF(VLOOKUP(DK$2,Table1[[#All],[RC]:[Internal Corrosion rate]],4,FALSE)="",0,100)</f>
        <v>100</v>
      </c>
      <c r="DL4" s="19">
        <f>IF(VLOOKUP(DL$2,Table1[[#All],[RC]:[Internal Corrosion rate]],4,FALSE)="",0,100)</f>
        <v>100</v>
      </c>
      <c r="DM4" s="19">
        <f>IF(VLOOKUP(DM$2,Table1[[#All],[RC]:[Internal Corrosion rate]],4,FALSE)="",0,100)</f>
        <v>100</v>
      </c>
      <c r="DN4" s="19">
        <f>IF(VLOOKUP(DN$2,Table1[[#All],[RC]:[Internal Corrosion rate]],4,FALSE)="",0,100)</f>
        <v>100</v>
      </c>
      <c r="DO4" s="19">
        <f>IF(VLOOKUP(DO$2,Table1[[#All],[RC]:[Internal Corrosion rate]],4,FALSE)="",0,100)</f>
        <v>100</v>
      </c>
      <c r="DP4" s="19" t="e">
        <f>IF(VLOOKUP(DP$2,Table1[[#All],[RC]:[Internal Corrosion rate]],4,FALSE)="",0,100)</f>
        <v>#N/A</v>
      </c>
      <c r="DQ4" s="19" t="e">
        <f>IF(VLOOKUP(DQ$2,Table1[[#All],[RC]:[Internal Corrosion rate]],4,FALSE)="",0,100)</f>
        <v>#N/A</v>
      </c>
      <c r="DR4" s="19" t="e">
        <f>IF(VLOOKUP(DR$2,Table1[[#All],[RC]:[Internal Corrosion rate]],4,FALSE)="",0,100)</f>
        <v>#N/A</v>
      </c>
      <c r="DS4" s="19" t="e">
        <f>IF(VLOOKUP(DS$2,Table1[[#All],[RC]:[Internal Corrosion rate]],4,FALSE)="",0,100)</f>
        <v>#N/A</v>
      </c>
      <c r="DT4" s="19">
        <f>IF(VLOOKUP(DT$2,Table1[[#All],[RC]:[Internal Corrosion rate]],4,FALSE)="",0,100)</f>
        <v>100</v>
      </c>
      <c r="DU4" s="19" t="e">
        <f>IF(VLOOKUP(DU$2,Table1[[#All],[RC]:[Internal Corrosion rate]],4,FALSE)="",0,100)</f>
        <v>#N/A</v>
      </c>
      <c r="DV4" s="19" t="e">
        <f>IF(VLOOKUP(DV$2,Table1[[#All],[RC]:[Internal Corrosion rate]],4,FALSE)="",0,100)</f>
        <v>#N/A</v>
      </c>
      <c r="DW4" s="19">
        <f>IF(VLOOKUP(DW$2,Table1[[#All],[RC]:[Internal Corrosion rate]],4,FALSE)="",0,100)</f>
        <v>100</v>
      </c>
      <c r="DX4" s="19">
        <f>IF(VLOOKUP(DX$2,Table1[[#All],[RC]:[Internal Corrosion rate]],4,FALSE)="",0,100)</f>
        <v>100</v>
      </c>
      <c r="DY4" s="19">
        <f>IF(VLOOKUP(DY$2,Table1[[#All],[RC]:[Internal Corrosion rate]],4,FALSE)="",0,100)</f>
        <v>100</v>
      </c>
      <c r="DZ4" s="19">
        <f>IF(VLOOKUP(DZ$2,Table1[[#All],[RC]:[Internal Corrosion rate]],4,FALSE)="",0,100)</f>
        <v>100</v>
      </c>
      <c r="EA4" s="19" t="e">
        <f>IF(VLOOKUP(EA$2,Table1[[#All],[RC]:[Internal Corrosion rate]],4,FALSE)="",0,100)</f>
        <v>#N/A</v>
      </c>
      <c r="EB4" s="19" t="e">
        <f>IF(VLOOKUP(EB$2,Table1[[#All],[RC]:[Internal Corrosion rate]],4,FALSE)="",0,100)</f>
        <v>#N/A</v>
      </c>
      <c r="EC4" s="19">
        <f>IF(VLOOKUP(EC$2,Table1[[#All],[RC]:[Internal Corrosion rate]],4,FALSE)="",0,100)</f>
        <v>100</v>
      </c>
      <c r="ED4" s="19">
        <f>IF(VLOOKUP(ED$2,Table1[[#All],[RC]:[Internal Corrosion rate]],4,FALSE)="",0,100)</f>
        <v>100</v>
      </c>
      <c r="EE4" s="19" t="e">
        <f>IF(VLOOKUP(EE$2,Table1[[#All],[RC]:[Internal Corrosion rate]],4,FALSE)="",0,100)</f>
        <v>#N/A</v>
      </c>
      <c r="EF4" s="19">
        <f>IF(VLOOKUP(EF$2,Table1[[#All],[RC]:[Internal Corrosion rate]],4,FALSE)="",0,100)</f>
        <v>100</v>
      </c>
      <c r="EG4" s="19">
        <f>IF(VLOOKUP(EG$2,Table1[[#All],[RC]:[Internal Corrosion rate]],4,FALSE)="",0,100)</f>
        <v>100</v>
      </c>
      <c r="EH4" s="19">
        <f>IF(VLOOKUP(EH$2,Table1[[#All],[RC]:[Internal Corrosion rate]],4,FALSE)="",0,100)</f>
        <v>100</v>
      </c>
      <c r="EI4" s="19">
        <f>IF(VLOOKUP(EI$2,Table1[[#All],[RC]:[Internal Corrosion rate]],4,FALSE)="",0,100)</f>
        <v>100</v>
      </c>
      <c r="EJ4" s="19">
        <f>IF(VLOOKUP(EJ$2,Table1[[#All],[RC]:[Internal Corrosion rate]],4,FALSE)="",0,100)</f>
        <v>100</v>
      </c>
      <c r="EK4" s="19" t="e">
        <f>IF(VLOOKUP(EK$2,Table1[[#All],[RC]:[Internal Corrosion rate]],4,FALSE)="",0,100)</f>
        <v>#N/A</v>
      </c>
      <c r="EL4" s="19" t="e">
        <f>IF(VLOOKUP(EL$2,Table1[[#All],[RC]:[Internal Corrosion rate]],4,FALSE)="",0,100)</f>
        <v>#N/A</v>
      </c>
      <c r="EM4" s="19" t="e">
        <f>IF(VLOOKUP(EM$2,Table1[[#All],[RC]:[Internal Corrosion rate]],4,FALSE)="",0,100)</f>
        <v>#N/A</v>
      </c>
      <c r="EN4" s="19" t="e">
        <f>IF(VLOOKUP(EN$2,Table1[[#All],[RC]:[Internal Corrosion rate]],4,FALSE)="",0,100)</f>
        <v>#N/A</v>
      </c>
      <c r="EO4" s="19" t="e">
        <f>IF(VLOOKUP(EO$2,Table1[[#All],[RC]:[Internal Corrosion rate]],4,FALSE)="",0,100)</f>
        <v>#N/A</v>
      </c>
      <c r="EP4" s="19" t="e">
        <f>IF(VLOOKUP(EP$2,Table1[[#All],[RC]:[Internal Corrosion rate]],4,FALSE)="",0,100)</f>
        <v>#N/A</v>
      </c>
      <c r="EQ4" s="19" t="e">
        <f>IF(VLOOKUP(EQ$2,Table1[[#All],[RC]:[Internal Corrosion rate]],4,FALSE)="",0,100)</f>
        <v>#N/A</v>
      </c>
      <c r="ER4" s="19" t="e">
        <f>IF(VLOOKUP(ER$2,Table1[[#All],[RC]:[Internal Corrosion rate]],4,FALSE)="",0,100)</f>
        <v>#N/A</v>
      </c>
      <c r="ES4" s="19">
        <f>IF(VLOOKUP(ES$2,Table1[[#All],[RC]:[Internal Corrosion rate]],4,FALSE)="",0,100)</f>
        <v>100</v>
      </c>
      <c r="ET4" s="19">
        <f>IF(VLOOKUP(ET$2,Table1[[#All],[RC]:[Internal Corrosion rate]],4,FALSE)="",0,100)</f>
        <v>100</v>
      </c>
      <c r="EU4" s="19">
        <f>IF(VLOOKUP(EU$2,Table1[[#All],[RC]:[Internal Corrosion rate]],4,FALSE)="",0,100)</f>
        <v>100</v>
      </c>
      <c r="EV4" s="19">
        <f>IF(VLOOKUP(EV$2,Table1[[#All],[RC]:[Internal Corrosion rate]],4,FALSE)="",0,100)</f>
        <v>100</v>
      </c>
      <c r="EW4" s="19">
        <f>IF(VLOOKUP(EW$2,Table1[[#All],[RC]:[Internal Corrosion rate]],4,FALSE)="",0,100)</f>
        <v>100</v>
      </c>
      <c r="EX4" s="19">
        <f>IF(VLOOKUP(EX$2,Table1[[#All],[RC]:[Internal Corrosion rate]],4,FALSE)="",0,100)</f>
        <v>100</v>
      </c>
      <c r="EY4" s="19" t="e">
        <f>IF(VLOOKUP(EY$2,Table1[[#All],[RC]:[Internal Corrosion rate]],4,FALSE)="",0,100)</f>
        <v>#N/A</v>
      </c>
      <c r="EZ4" s="19" t="e">
        <f>IF(VLOOKUP(EZ$2,Table1[[#All],[RC]:[Internal Corrosion rate]],4,FALSE)="",0,100)</f>
        <v>#N/A</v>
      </c>
      <c r="FA4" s="19" t="e">
        <f>IF(VLOOKUP(FA$2,Table1[[#All],[RC]:[Internal Corrosion rate]],4,FALSE)="",0,100)</f>
        <v>#N/A</v>
      </c>
      <c r="FB4" s="19">
        <f>IF(VLOOKUP(FB$2,Table1[[#All],[RC]:[Internal Corrosion rate]],4,FALSE)="",0,100)</f>
        <v>100</v>
      </c>
      <c r="FC4" s="19" t="e">
        <f>IF(VLOOKUP(FC$2,Table1[[#All],[RC]:[Internal Corrosion rate]],4,FALSE)="",0,100)</f>
        <v>#N/A</v>
      </c>
      <c r="FD4" s="19">
        <f>IF(VLOOKUP(FD$2,Table1[[#All],[RC]:[Internal Corrosion rate]],4,FALSE)="",0,100)</f>
        <v>100</v>
      </c>
      <c r="FE4" s="19">
        <f>IF(VLOOKUP(FE$2,Table1[[#All],[RC]:[Internal Corrosion rate]],4,FALSE)="",0,100)</f>
        <v>100</v>
      </c>
      <c r="FF4" s="19">
        <f>IF(VLOOKUP(FF$2,Table1[[#All],[RC]:[Internal Corrosion rate]],4,FALSE)="",0,100)</f>
        <v>100</v>
      </c>
      <c r="FG4" s="19">
        <f>IF(VLOOKUP(FG$2,Table1[[#All],[RC]:[Internal Corrosion rate]],4,FALSE)="",0,100)</f>
        <v>100</v>
      </c>
      <c r="FH4" s="19" t="e">
        <f>IF(VLOOKUP(FH$2,Table1[[#All],[RC]:[Internal Corrosion rate]],4,FALSE)="",0,100)</f>
        <v>#N/A</v>
      </c>
      <c r="FI4" s="19" t="e">
        <f>IF(VLOOKUP(FI$2,Table1[[#All],[RC]:[Internal Corrosion rate]],4,FALSE)="",0,100)</f>
        <v>#N/A</v>
      </c>
      <c r="FJ4" s="19">
        <f>IF(VLOOKUP(FJ$2,Table1[[#All],[RC]:[Internal Corrosion rate]],4,FALSE)="",0,100)</f>
        <v>100</v>
      </c>
      <c r="FK4" s="19">
        <f>IF(VLOOKUP(FK$2,Table1[[#All],[RC]:[Internal Corrosion rate]],4,FALSE)="",0,100)</f>
        <v>100</v>
      </c>
      <c r="FL4" s="19" t="e">
        <f>IF(VLOOKUP(FL$2,Table1[[#All],[RC]:[Internal Corrosion rate]],4,FALSE)="",0,100)</f>
        <v>#N/A</v>
      </c>
      <c r="FM4" s="19" t="e">
        <f>IF(VLOOKUP(FM$2,Table1[[#All],[RC]:[Internal Corrosion rate]],4,FALSE)="",0,100)</f>
        <v>#N/A</v>
      </c>
      <c r="FN4" s="19" t="e">
        <f>IF(VLOOKUP(FN$2,Table1[[#All],[RC]:[Internal Corrosion rate]],4,FALSE)="",0,100)</f>
        <v>#N/A</v>
      </c>
      <c r="FO4" s="19">
        <f>IF(VLOOKUP(FO$2,Table1[[#All],[RC]:[Internal Corrosion rate]],4,FALSE)="",0,100)</f>
        <v>100</v>
      </c>
      <c r="FP4" s="19">
        <f>IF(VLOOKUP(FP$2,Table1[[#All],[RC]:[Internal Corrosion rate]],4,FALSE)="",0,100)</f>
        <v>100</v>
      </c>
      <c r="FQ4" s="19">
        <f>IF(VLOOKUP(FQ$2,Table1[[#All],[RC]:[Internal Corrosion rate]],4,FALSE)="",0,100)</f>
        <v>100</v>
      </c>
      <c r="FR4" s="19">
        <f>IF(VLOOKUP(FR$2,Table1[[#All],[RC]:[Internal Corrosion rate]],4,FALSE)="",0,100)</f>
        <v>100</v>
      </c>
      <c r="FS4" s="19" t="e">
        <f>IF(VLOOKUP(FS$2,Table1[[#All],[RC]:[Internal Corrosion rate]],4,FALSE)="",0,100)</f>
        <v>#N/A</v>
      </c>
      <c r="FT4" s="19" t="e">
        <f>IF(VLOOKUP(FT$2,Table1[[#All],[RC]:[Internal Corrosion rate]],4,FALSE)="",0,100)</f>
        <v>#N/A</v>
      </c>
      <c r="FU4" s="19" t="e">
        <f>IF(VLOOKUP(FU$2,Table1[[#All],[RC]:[Internal Corrosion rate]],4,FALSE)="",0,100)</f>
        <v>#N/A</v>
      </c>
      <c r="FV4" s="19" t="e">
        <f>IF(VLOOKUP(FV$2,Table1[[#All],[RC]:[Internal Corrosion rate]],4,FALSE)="",0,100)</f>
        <v>#N/A</v>
      </c>
    </row>
    <row r="5" spans="1:178">
      <c r="A5" s="60" t="s">
        <v>11</v>
      </c>
      <c r="B5" s="19" t="e">
        <f>IF(VLOOKUP(B$2,Table1[[#All],[RC]:[Internal Corrosion rate]],5,FALSE)="",0,100)</f>
        <v>#N/A</v>
      </c>
      <c r="C5" s="19" t="e">
        <f>IF(VLOOKUP(C$2,Table1[[#All],[RC]:[Internal Corrosion rate]],5,FALSE)="",0,100)</f>
        <v>#N/A</v>
      </c>
      <c r="D5" s="19">
        <f>IF(VLOOKUP(D$2,Table1[[#All],[RC]:[Internal Corrosion rate]],5,FALSE)="",0,100)</f>
        <v>100</v>
      </c>
      <c r="E5" s="19">
        <f>IF(VLOOKUP(E$2,Table1[[#All],[RC]:[Internal Corrosion rate]],5,FALSE)="",0,100)</f>
        <v>100</v>
      </c>
      <c r="F5" s="19">
        <f>IF(VLOOKUP(F$2,Table1[[#All],[RC]:[Internal Corrosion rate]],5,FALSE)="",0,100)</f>
        <v>100</v>
      </c>
      <c r="G5" s="19">
        <f>IF(VLOOKUP(G$2,Table1[[#All],[RC]:[Internal Corrosion rate]],5,FALSE)="",0,100)</f>
        <v>100</v>
      </c>
      <c r="H5" s="19">
        <f>IF(VLOOKUP(H$2,Table1[[#All],[RC]:[Internal Corrosion rate]],5,FALSE)="",0,100)</f>
        <v>100</v>
      </c>
      <c r="I5" s="19">
        <f>IF(VLOOKUP(I$2,Table1[[#All],[RC]:[Internal Corrosion rate]],5,FALSE)="",0,100)</f>
        <v>100</v>
      </c>
      <c r="J5" s="19">
        <f>IF(VLOOKUP(J$2,Table1[[#All],[RC]:[Internal Corrosion rate]],5,FALSE)="",0,100)</f>
        <v>100</v>
      </c>
      <c r="K5" s="19">
        <f>IF(VLOOKUP(K$2,Table1[[#All],[RC]:[Internal Corrosion rate]],5,FALSE)="",0,100)</f>
        <v>100</v>
      </c>
      <c r="L5" s="19">
        <f>IF(VLOOKUP(L$2,Table1[[#All],[RC]:[Internal Corrosion rate]],5,FALSE)="",0,100)</f>
        <v>100</v>
      </c>
      <c r="M5" s="19" t="e">
        <f>IF(VLOOKUP(M$2,Table1[[#All],[RC]:[Internal Corrosion rate]],5,FALSE)="",0,100)</f>
        <v>#N/A</v>
      </c>
      <c r="N5" s="19">
        <f>IF(VLOOKUP(N$2,Table1[[#All],[RC]:[Internal Corrosion rate]],5,FALSE)="",0,100)</f>
        <v>100</v>
      </c>
      <c r="O5" s="19">
        <f>IF(VLOOKUP(O$2,Table1[[#All],[RC]:[Internal Corrosion rate]],5,FALSE)="",0,100)</f>
        <v>100</v>
      </c>
      <c r="P5" s="19">
        <f>IF(VLOOKUP(P$2,Table1[[#All],[RC]:[Internal Corrosion rate]],5,FALSE)="",0,100)</f>
        <v>100</v>
      </c>
      <c r="Q5" s="19">
        <f>IF(VLOOKUP(Q$2,Table1[[#All],[RC]:[Internal Corrosion rate]],5,FALSE)="",0,100)</f>
        <v>100</v>
      </c>
      <c r="R5" s="19">
        <f>IF(VLOOKUP(R$2,Table1[[#All],[RC]:[Internal Corrosion rate]],5,FALSE)="",0,100)</f>
        <v>100</v>
      </c>
      <c r="S5" s="19">
        <f>IF(VLOOKUP(S$2,Table1[[#All],[RC]:[Internal Corrosion rate]],5,FALSE)="",0,100)</f>
        <v>100</v>
      </c>
      <c r="T5" s="19">
        <f>IF(VLOOKUP(T$2,Table1[[#All],[RC]:[Internal Corrosion rate]],5,FALSE)="",0,100)</f>
        <v>100</v>
      </c>
      <c r="U5" s="19">
        <f>IF(VLOOKUP(U$2,Table1[[#All],[RC]:[Internal Corrosion rate]],5,FALSE)="",0,100)</f>
        <v>100</v>
      </c>
      <c r="V5" s="19">
        <f>IF(VLOOKUP(V$2,Table1[[#All],[RC]:[Internal Corrosion rate]],5,FALSE)="",0,100)</f>
        <v>100</v>
      </c>
      <c r="W5" s="19">
        <f>IF(VLOOKUP(W$2,Table1[[#All],[RC]:[Internal Corrosion rate]],5,FALSE)="",0,100)</f>
        <v>100</v>
      </c>
      <c r="X5" s="19">
        <f>IF(VLOOKUP(X$2,Table1[[#All],[RC]:[Internal Corrosion rate]],5,FALSE)="",0,100)</f>
        <v>100</v>
      </c>
      <c r="Y5" s="19" t="e">
        <f>IF(VLOOKUP(Y$2,Table1[[#All],[RC]:[Internal Corrosion rate]],5,FALSE)="",0,100)</f>
        <v>#N/A</v>
      </c>
      <c r="Z5" s="19" t="e">
        <f>IF(VLOOKUP(Z$2,Table1[[#All],[RC]:[Internal Corrosion rate]],5,FALSE)="",0,100)</f>
        <v>#N/A</v>
      </c>
      <c r="AA5" s="19">
        <f>IF(VLOOKUP(AA$2,Table1[[#All],[RC]:[Internal Corrosion rate]],5,FALSE)="",0,100)</f>
        <v>100</v>
      </c>
      <c r="AB5" s="19">
        <f>IF(VLOOKUP(AB$2,Table1[[#All],[RC]:[Internal Corrosion rate]],5,FALSE)="",0,100)</f>
        <v>100</v>
      </c>
      <c r="AC5" s="19">
        <f>IF(VLOOKUP(AC$2,Table1[[#All],[RC]:[Internal Corrosion rate]],5,FALSE)="",0,100)</f>
        <v>100</v>
      </c>
      <c r="AD5" s="19">
        <f>IF(VLOOKUP(AD$2,Table1[[#All],[RC]:[Internal Corrosion rate]],5,FALSE)="",0,100)</f>
        <v>100</v>
      </c>
      <c r="AE5" s="19" t="e">
        <f>IF(VLOOKUP(AE$2,Table1[[#All],[RC]:[Internal Corrosion rate]],5,FALSE)="",0,100)</f>
        <v>#N/A</v>
      </c>
      <c r="AF5" s="19">
        <f>IF(VLOOKUP(AF$2,Table1[[#All],[RC]:[Internal Corrosion rate]],5,FALSE)="",0,100)</f>
        <v>100</v>
      </c>
      <c r="AG5" s="19">
        <f>IF(VLOOKUP(AG$2,Table1[[#All],[RC]:[Internal Corrosion rate]],5,FALSE)="",0,100)</f>
        <v>100</v>
      </c>
      <c r="AH5" s="19">
        <f>IF(VLOOKUP(AH$2,Table1[[#All],[RC]:[Internal Corrosion rate]],5,FALSE)="",0,100)</f>
        <v>100</v>
      </c>
      <c r="AI5" s="19">
        <f>IF(VLOOKUP(AI$2,Table1[[#All],[RC]:[Internal Corrosion rate]],5,FALSE)="",0,100)</f>
        <v>100</v>
      </c>
      <c r="AJ5" s="19">
        <f>IF(VLOOKUP(AJ$2,Table1[[#All],[RC]:[Internal Corrosion rate]],5,FALSE)="",0,100)</f>
        <v>100</v>
      </c>
      <c r="AK5" s="19">
        <f>IF(VLOOKUP(AK$2,Table1[[#All],[RC]:[Internal Corrosion rate]],5,FALSE)="",0,100)</f>
        <v>100</v>
      </c>
      <c r="AL5" s="19" t="e">
        <f>IF(VLOOKUP(AL$2,Table1[[#All],[RC]:[Internal Corrosion rate]],5,FALSE)="",0,100)</f>
        <v>#N/A</v>
      </c>
      <c r="AM5" s="19" t="e">
        <f>IF(VLOOKUP(AM$2,Table1[[#All],[RC]:[Internal Corrosion rate]],5,FALSE)="",0,100)</f>
        <v>#N/A</v>
      </c>
      <c r="AN5" s="19" t="e">
        <f>IF(VLOOKUP(AN$2,Table1[[#All],[RC]:[Internal Corrosion rate]],5,FALSE)="",0,100)</f>
        <v>#N/A</v>
      </c>
      <c r="AO5" s="19">
        <f>IF(VLOOKUP(AO$2,Table1[[#All],[RC]:[Internal Corrosion rate]],5,FALSE)="",0,100)</f>
        <v>100</v>
      </c>
      <c r="AP5" s="19">
        <f>IF(VLOOKUP(AP$2,Table1[[#All],[RC]:[Internal Corrosion rate]],5,FALSE)="",0,100)</f>
        <v>100</v>
      </c>
      <c r="AQ5" s="19" t="e">
        <f>IF(VLOOKUP(AQ$2,Table1[[#All],[RC]:[Internal Corrosion rate]],5,FALSE)="",0,100)</f>
        <v>#N/A</v>
      </c>
      <c r="AR5" s="19" t="e">
        <f>IF(VLOOKUP(AR$2,Table1[[#All],[RC]:[Internal Corrosion rate]],5,FALSE)="",0,100)</f>
        <v>#N/A</v>
      </c>
      <c r="AS5" s="19" t="e">
        <f>IF(VLOOKUP(AS$2,Table1[[#All],[RC]:[Internal Corrosion rate]],5,FALSE)="",0,100)</f>
        <v>#N/A</v>
      </c>
      <c r="AT5" s="19">
        <f>IF(VLOOKUP(AT$2,Table1[[#All],[RC]:[Internal Corrosion rate]],5,FALSE)="",0,100)</f>
        <v>100</v>
      </c>
      <c r="AU5" s="19">
        <f>IF(VLOOKUP(AU$2,Table1[[#All],[RC]:[Internal Corrosion rate]],5,FALSE)="",0,100)</f>
        <v>100</v>
      </c>
      <c r="AV5" s="19">
        <f>IF(VLOOKUP(AV$2,Table1[[#All],[RC]:[Internal Corrosion rate]],5,FALSE)="",0,100)</f>
        <v>100</v>
      </c>
      <c r="AW5" s="19" t="e">
        <f>IF(VLOOKUP(AW$2,Table1[[#All],[RC]:[Internal Corrosion rate]],5,FALSE)="",0,100)</f>
        <v>#N/A</v>
      </c>
      <c r="AX5" s="19">
        <f>IF(VLOOKUP(AX$2,Table1[[#All],[RC]:[Internal Corrosion rate]],5,FALSE)="",0,100)</f>
        <v>100</v>
      </c>
      <c r="AY5" s="19">
        <f>IF(VLOOKUP(AY$2,Table1[[#All],[RC]:[Internal Corrosion rate]],5,FALSE)="",0,100)</f>
        <v>100</v>
      </c>
      <c r="AZ5" s="19">
        <f>IF(VLOOKUP(AZ$2,Table1[[#All],[RC]:[Internal Corrosion rate]],5,FALSE)="",0,100)</f>
        <v>100</v>
      </c>
      <c r="BA5" s="19" t="e">
        <f>IF(VLOOKUP(BA$2,Table1[[#All],[RC]:[Internal Corrosion rate]],5,FALSE)="",0,100)</f>
        <v>#N/A</v>
      </c>
      <c r="BB5" s="19">
        <f>IF(VLOOKUP(BB$2,Table1[[#All],[RC]:[Internal Corrosion rate]],5,FALSE)="",0,100)</f>
        <v>100</v>
      </c>
      <c r="BC5" s="19">
        <f>IF(VLOOKUP(BC$2,Table1[[#All],[RC]:[Internal Corrosion rate]],5,FALSE)="",0,100)</f>
        <v>100</v>
      </c>
      <c r="BD5" s="19" t="e">
        <f>IF(VLOOKUP(BD$2,Table1[[#All],[RC]:[Internal Corrosion rate]],5,FALSE)="",0,100)</f>
        <v>#N/A</v>
      </c>
      <c r="BE5" s="19">
        <f>IF(VLOOKUP(BE$2,Table1[[#All],[RC]:[Internal Corrosion rate]],5,FALSE)="",0,100)</f>
        <v>100</v>
      </c>
      <c r="BF5" s="19">
        <f>IF(VLOOKUP(BF$2,Table1[[#All],[RC]:[Internal Corrosion rate]],5,FALSE)="",0,100)</f>
        <v>100</v>
      </c>
      <c r="BG5" s="19">
        <f>IF(VLOOKUP(BG$2,Table1[[#All],[RC]:[Internal Corrosion rate]],5,FALSE)="",0,100)</f>
        <v>100</v>
      </c>
      <c r="BH5" s="19" t="e">
        <f>IF(VLOOKUP(BH$2,Table1[[#All],[RC]:[Internal Corrosion rate]],5,FALSE)="",0,100)</f>
        <v>#N/A</v>
      </c>
      <c r="BI5" s="19" t="e">
        <f>IF(VLOOKUP(BI$2,Table1[[#All],[RC]:[Internal Corrosion rate]],5,FALSE)="",0,100)</f>
        <v>#N/A</v>
      </c>
      <c r="BJ5" s="19" t="e">
        <f>IF(VLOOKUP(BJ$2,Table1[[#All],[RC]:[Internal Corrosion rate]],5,FALSE)="",0,100)</f>
        <v>#N/A</v>
      </c>
      <c r="BK5" s="19">
        <f>IF(VLOOKUP(BK$2,Table1[[#All],[RC]:[Internal Corrosion rate]],5,FALSE)="",0,100)</f>
        <v>100</v>
      </c>
      <c r="BL5" s="19">
        <f>IF(VLOOKUP(BL$2,Table1[[#All],[RC]:[Internal Corrosion rate]],5,FALSE)="",0,100)</f>
        <v>100</v>
      </c>
      <c r="BM5" s="19" t="e">
        <f>IF(VLOOKUP(BM$2,Table1[[#All],[RC]:[Internal Corrosion rate]],5,FALSE)="",0,100)</f>
        <v>#N/A</v>
      </c>
      <c r="BN5" s="19">
        <f>IF(VLOOKUP(BN$2,Table1[[#All],[RC]:[Internal Corrosion rate]],5,FALSE)="",0,100)</f>
        <v>100</v>
      </c>
      <c r="BO5" s="19">
        <f>IF(VLOOKUP(BO$2,Table1[[#All],[RC]:[Internal Corrosion rate]],5,FALSE)="",0,100)</f>
        <v>100</v>
      </c>
      <c r="BP5" s="19">
        <f>IF(VLOOKUP(BP$2,Table1[[#All],[RC]:[Internal Corrosion rate]],5,FALSE)="",0,100)</f>
        <v>100</v>
      </c>
      <c r="BQ5" s="19">
        <f>IF(VLOOKUP(BQ$2,Table1[[#All],[RC]:[Internal Corrosion rate]],5,FALSE)="",0,100)</f>
        <v>100</v>
      </c>
      <c r="BR5" s="19">
        <f>IF(VLOOKUP(BR$2,Table1[[#All],[RC]:[Internal Corrosion rate]],5,FALSE)="",0,100)</f>
        <v>100</v>
      </c>
      <c r="BS5" s="19">
        <f>IF(VLOOKUP(BS$2,Table1[[#All],[RC]:[Internal Corrosion rate]],5,FALSE)="",0,100)</f>
        <v>100</v>
      </c>
      <c r="BT5" s="19" t="e">
        <f>IF(VLOOKUP(BT$2,Table1[[#All],[RC]:[Internal Corrosion rate]],5,FALSE)="",0,100)</f>
        <v>#N/A</v>
      </c>
      <c r="BU5" s="19">
        <f>IF(VLOOKUP(BU$2,Table1[[#All],[RC]:[Internal Corrosion rate]],5,FALSE)="",0,100)</f>
        <v>100</v>
      </c>
      <c r="BV5" s="19" t="e">
        <f>IF(VLOOKUP(BV$2,Table1[[#All],[RC]:[Internal Corrosion rate]],5,FALSE)="",0,100)</f>
        <v>#N/A</v>
      </c>
      <c r="BW5" s="19">
        <f>IF(VLOOKUP(BW$2,Table1[[#All],[RC]:[Internal Corrosion rate]],5,FALSE)="",0,100)</f>
        <v>100</v>
      </c>
      <c r="BX5" s="19">
        <f>IF(VLOOKUP(BX$2,Table1[[#All],[RC]:[Internal Corrosion rate]],5,FALSE)="",0,100)</f>
        <v>100</v>
      </c>
      <c r="BY5" s="19">
        <f>IF(VLOOKUP(BY$2,Table1[[#All],[RC]:[Internal Corrosion rate]],5,FALSE)="",0,100)</f>
        <v>100</v>
      </c>
      <c r="BZ5" s="19">
        <f>IF(VLOOKUP(BZ$2,Table1[[#All],[RC]:[Internal Corrosion rate]],5,FALSE)="",0,100)</f>
        <v>100</v>
      </c>
      <c r="CA5" s="19">
        <f>IF(VLOOKUP(CA$2,Table1[[#All],[RC]:[Internal Corrosion rate]],5,FALSE)="",0,100)</f>
        <v>100</v>
      </c>
      <c r="CB5" s="19" t="e">
        <f>IF(VLOOKUP(CB$2,Table1[[#All],[RC]:[Internal Corrosion rate]],5,FALSE)="",0,100)</f>
        <v>#N/A</v>
      </c>
      <c r="CC5" s="19" t="e">
        <f>IF(VLOOKUP(CC$2,Table1[[#All],[RC]:[Internal Corrosion rate]],5,FALSE)="",0,100)</f>
        <v>#N/A</v>
      </c>
      <c r="CD5" s="19">
        <f>IF(VLOOKUP(CD$2,Table1[[#All],[RC]:[Internal Corrosion rate]],5,FALSE)="",0,100)</f>
        <v>100</v>
      </c>
      <c r="CE5" s="19">
        <f>IF(VLOOKUP(CE$2,Table1[[#All],[RC]:[Internal Corrosion rate]],5,FALSE)="",0,100)</f>
        <v>100</v>
      </c>
      <c r="CF5" s="19">
        <f>IF(VLOOKUP(CF$2,Table1[[#All],[RC]:[Internal Corrosion rate]],5,FALSE)="",0,100)</f>
        <v>100</v>
      </c>
      <c r="CG5" s="19">
        <f>IF(VLOOKUP(CG$2,Table1[[#All],[RC]:[Internal Corrosion rate]],5,FALSE)="",0,100)</f>
        <v>100</v>
      </c>
      <c r="CH5" s="19">
        <f>IF(VLOOKUP(CH$2,Table1[[#All],[RC]:[Internal Corrosion rate]],5,FALSE)="",0,100)</f>
        <v>100</v>
      </c>
      <c r="CI5" s="19">
        <f>IF(VLOOKUP(CI$2,Table1[[#All],[RC]:[Internal Corrosion rate]],5,FALSE)="",0,100)</f>
        <v>100</v>
      </c>
      <c r="CJ5" s="19">
        <f>IF(VLOOKUP(CJ$2,Table1[[#All],[RC]:[Internal Corrosion rate]],5,FALSE)="",0,100)</f>
        <v>100</v>
      </c>
      <c r="CK5" s="19">
        <f>IF(VLOOKUP(CK$2,Table1[[#All],[RC]:[Internal Corrosion rate]],5,FALSE)="",0,100)</f>
        <v>100</v>
      </c>
      <c r="CL5" s="19">
        <f>IF(VLOOKUP(CL$2,Table1[[#All],[RC]:[Internal Corrosion rate]],5,FALSE)="",0,100)</f>
        <v>100</v>
      </c>
      <c r="CM5" s="19">
        <f>IF(VLOOKUP(CM$2,Table1[[#All],[RC]:[Internal Corrosion rate]],5,FALSE)="",0,100)</f>
        <v>100</v>
      </c>
      <c r="CN5" s="19">
        <f>IF(VLOOKUP(CN$2,Table1[[#All],[RC]:[Internal Corrosion rate]],5,FALSE)="",0,100)</f>
        <v>100</v>
      </c>
      <c r="CO5" s="19">
        <f>IF(VLOOKUP(CO$2,Table1[[#All],[RC]:[Internal Corrosion rate]],5,FALSE)="",0,100)</f>
        <v>100</v>
      </c>
      <c r="CP5" s="19">
        <f>IF(VLOOKUP(CP$2,Table1[[#All],[RC]:[Internal Corrosion rate]],5,FALSE)="",0,100)</f>
        <v>100</v>
      </c>
      <c r="CQ5" s="19">
        <f>IF(VLOOKUP(CQ$2,Table1[[#All],[RC]:[Internal Corrosion rate]],5,FALSE)="",0,100)</f>
        <v>100</v>
      </c>
      <c r="CR5" s="19">
        <f>IF(VLOOKUP(CR$2,Table1[[#All],[RC]:[Internal Corrosion rate]],5,FALSE)="",0,100)</f>
        <v>100</v>
      </c>
      <c r="CS5" s="19">
        <f>IF(VLOOKUP(CS$2,Table1[[#All],[RC]:[Internal Corrosion rate]],5,FALSE)="",0,100)</f>
        <v>100</v>
      </c>
      <c r="CT5" s="19">
        <f>IF(VLOOKUP(CT$2,Table1[[#All],[RC]:[Internal Corrosion rate]],5,FALSE)="",0,100)</f>
        <v>100</v>
      </c>
      <c r="CU5" s="19">
        <f>IF(VLOOKUP(CU$2,Table1[[#All],[RC]:[Internal Corrosion rate]],5,FALSE)="",0,100)</f>
        <v>100</v>
      </c>
      <c r="CV5" s="19">
        <f>IF(VLOOKUP(CV$2,Table1[[#All],[RC]:[Internal Corrosion rate]],5,FALSE)="",0,100)</f>
        <v>100</v>
      </c>
      <c r="CW5" s="19">
        <f>IF(VLOOKUP(CW$2,Table1[[#All],[RC]:[Internal Corrosion rate]],5,FALSE)="",0,100)</f>
        <v>100</v>
      </c>
      <c r="CX5" s="19">
        <f>IF(VLOOKUP(CX$2,Table1[[#All],[RC]:[Internal Corrosion rate]],5,FALSE)="",0,100)</f>
        <v>100</v>
      </c>
      <c r="CY5" s="19">
        <f>IF(VLOOKUP(CY$2,Table1[[#All],[RC]:[Internal Corrosion rate]],5,FALSE)="",0,100)</f>
        <v>100</v>
      </c>
      <c r="CZ5" s="19">
        <f>IF(VLOOKUP(CZ$2,Table1[[#All],[RC]:[Internal Corrosion rate]],5,FALSE)="",0,100)</f>
        <v>100</v>
      </c>
      <c r="DA5" s="19">
        <f>IF(VLOOKUP(DA$2,Table1[[#All],[RC]:[Internal Corrosion rate]],5,FALSE)="",0,100)</f>
        <v>100</v>
      </c>
      <c r="DB5" s="19">
        <f>IF(VLOOKUP(DB$2,Table1[[#All],[RC]:[Internal Corrosion rate]],5,FALSE)="",0,100)</f>
        <v>100</v>
      </c>
      <c r="DC5" s="19">
        <f>IF(VLOOKUP(DC$2,Table1[[#All],[RC]:[Internal Corrosion rate]],5,FALSE)="",0,100)</f>
        <v>100</v>
      </c>
      <c r="DD5" s="19">
        <f>IF(VLOOKUP(DD$2,Table1[[#All],[RC]:[Internal Corrosion rate]],5,FALSE)="",0,100)</f>
        <v>100</v>
      </c>
      <c r="DE5" s="19">
        <f>IF(VLOOKUP(DE$2,Table1[[#All],[RC]:[Internal Corrosion rate]],5,FALSE)="",0,100)</f>
        <v>100</v>
      </c>
      <c r="DF5" s="19">
        <f>IF(VLOOKUP(DF$2,Table1[[#All],[RC]:[Internal Corrosion rate]],5,FALSE)="",0,100)</f>
        <v>100</v>
      </c>
      <c r="DG5" s="19" t="e">
        <f>IF(VLOOKUP(DG$2,Table1[[#All],[RC]:[Internal Corrosion rate]],5,FALSE)="",0,100)</f>
        <v>#N/A</v>
      </c>
      <c r="DH5" s="19" t="e">
        <f>IF(VLOOKUP(DH$2,Table1[[#All],[RC]:[Internal Corrosion rate]],5,FALSE)="",0,100)</f>
        <v>#N/A</v>
      </c>
      <c r="DI5" s="19" t="e">
        <f>IF(VLOOKUP(DI$2,Table1[[#All],[RC]:[Internal Corrosion rate]],5,FALSE)="",0,100)</f>
        <v>#N/A</v>
      </c>
      <c r="DJ5" s="19">
        <f>IF(VLOOKUP(DJ$2,Table1[[#All],[RC]:[Internal Corrosion rate]],5,FALSE)="",0,100)</f>
        <v>100</v>
      </c>
      <c r="DK5" s="19">
        <f>IF(VLOOKUP(DK$2,Table1[[#All],[RC]:[Internal Corrosion rate]],5,FALSE)="",0,100)</f>
        <v>100</v>
      </c>
      <c r="DL5" s="19">
        <f>IF(VLOOKUP(DL$2,Table1[[#All],[RC]:[Internal Corrosion rate]],5,FALSE)="",0,100)</f>
        <v>100</v>
      </c>
      <c r="DM5" s="19">
        <f>IF(VLOOKUP(DM$2,Table1[[#All],[RC]:[Internal Corrosion rate]],5,FALSE)="",0,100)</f>
        <v>100</v>
      </c>
      <c r="DN5" s="19">
        <f>IF(VLOOKUP(DN$2,Table1[[#All],[RC]:[Internal Corrosion rate]],5,FALSE)="",0,100)</f>
        <v>100</v>
      </c>
      <c r="DO5" s="19">
        <f>IF(VLOOKUP(DO$2,Table1[[#All],[RC]:[Internal Corrosion rate]],5,FALSE)="",0,100)</f>
        <v>100</v>
      </c>
      <c r="DP5" s="19" t="e">
        <f>IF(VLOOKUP(DP$2,Table1[[#All],[RC]:[Internal Corrosion rate]],5,FALSE)="",0,100)</f>
        <v>#N/A</v>
      </c>
      <c r="DQ5" s="19" t="e">
        <f>IF(VLOOKUP(DQ$2,Table1[[#All],[RC]:[Internal Corrosion rate]],5,FALSE)="",0,100)</f>
        <v>#N/A</v>
      </c>
      <c r="DR5" s="19" t="e">
        <f>IF(VLOOKUP(DR$2,Table1[[#All],[RC]:[Internal Corrosion rate]],5,FALSE)="",0,100)</f>
        <v>#N/A</v>
      </c>
      <c r="DS5" s="19" t="e">
        <f>IF(VLOOKUP(DS$2,Table1[[#All],[RC]:[Internal Corrosion rate]],5,FALSE)="",0,100)</f>
        <v>#N/A</v>
      </c>
      <c r="DT5" s="19">
        <f>IF(VLOOKUP(DT$2,Table1[[#All],[RC]:[Internal Corrosion rate]],5,FALSE)="",0,100)</f>
        <v>100</v>
      </c>
      <c r="DU5" s="19" t="e">
        <f>IF(VLOOKUP(DU$2,Table1[[#All],[RC]:[Internal Corrosion rate]],5,FALSE)="",0,100)</f>
        <v>#N/A</v>
      </c>
      <c r="DV5" s="19" t="e">
        <f>IF(VLOOKUP(DV$2,Table1[[#All],[RC]:[Internal Corrosion rate]],5,FALSE)="",0,100)</f>
        <v>#N/A</v>
      </c>
      <c r="DW5" s="19">
        <f>IF(VLOOKUP(DW$2,Table1[[#All],[RC]:[Internal Corrosion rate]],5,FALSE)="",0,100)</f>
        <v>100</v>
      </c>
      <c r="DX5" s="19">
        <f>IF(VLOOKUP(DX$2,Table1[[#All],[RC]:[Internal Corrosion rate]],5,FALSE)="",0,100)</f>
        <v>100</v>
      </c>
      <c r="DY5" s="19">
        <f>IF(VLOOKUP(DY$2,Table1[[#All],[RC]:[Internal Corrosion rate]],5,FALSE)="",0,100)</f>
        <v>100</v>
      </c>
      <c r="DZ5" s="19">
        <f>IF(VLOOKUP(DZ$2,Table1[[#All],[RC]:[Internal Corrosion rate]],5,FALSE)="",0,100)</f>
        <v>100</v>
      </c>
      <c r="EA5" s="19" t="e">
        <f>IF(VLOOKUP(EA$2,Table1[[#All],[RC]:[Internal Corrosion rate]],5,FALSE)="",0,100)</f>
        <v>#N/A</v>
      </c>
      <c r="EB5" s="19" t="e">
        <f>IF(VLOOKUP(EB$2,Table1[[#All],[RC]:[Internal Corrosion rate]],5,FALSE)="",0,100)</f>
        <v>#N/A</v>
      </c>
      <c r="EC5" s="19">
        <f>IF(VLOOKUP(EC$2,Table1[[#All],[RC]:[Internal Corrosion rate]],5,FALSE)="",0,100)</f>
        <v>100</v>
      </c>
      <c r="ED5" s="19">
        <f>IF(VLOOKUP(ED$2,Table1[[#All],[RC]:[Internal Corrosion rate]],5,FALSE)="",0,100)</f>
        <v>100</v>
      </c>
      <c r="EE5" s="19" t="e">
        <f>IF(VLOOKUP(EE$2,Table1[[#All],[RC]:[Internal Corrosion rate]],5,FALSE)="",0,100)</f>
        <v>#N/A</v>
      </c>
      <c r="EF5" s="19">
        <f>IF(VLOOKUP(EF$2,Table1[[#All],[RC]:[Internal Corrosion rate]],5,FALSE)="",0,100)</f>
        <v>100</v>
      </c>
      <c r="EG5" s="19">
        <f>IF(VLOOKUP(EG$2,Table1[[#All],[RC]:[Internal Corrosion rate]],5,FALSE)="",0,100)</f>
        <v>100</v>
      </c>
      <c r="EH5" s="19">
        <f>IF(VLOOKUP(EH$2,Table1[[#All],[RC]:[Internal Corrosion rate]],5,FALSE)="",0,100)</f>
        <v>100</v>
      </c>
      <c r="EI5" s="19">
        <f>IF(VLOOKUP(EI$2,Table1[[#All],[RC]:[Internal Corrosion rate]],5,FALSE)="",0,100)</f>
        <v>100</v>
      </c>
      <c r="EJ5" s="19">
        <f>IF(VLOOKUP(EJ$2,Table1[[#All],[RC]:[Internal Corrosion rate]],5,FALSE)="",0,100)</f>
        <v>100</v>
      </c>
      <c r="EK5" s="19" t="e">
        <f>IF(VLOOKUP(EK$2,Table1[[#All],[RC]:[Internal Corrosion rate]],5,FALSE)="",0,100)</f>
        <v>#N/A</v>
      </c>
      <c r="EL5" s="19" t="e">
        <f>IF(VLOOKUP(EL$2,Table1[[#All],[RC]:[Internal Corrosion rate]],5,FALSE)="",0,100)</f>
        <v>#N/A</v>
      </c>
      <c r="EM5" s="19" t="e">
        <f>IF(VLOOKUP(EM$2,Table1[[#All],[RC]:[Internal Corrosion rate]],5,FALSE)="",0,100)</f>
        <v>#N/A</v>
      </c>
      <c r="EN5" s="19" t="e">
        <f>IF(VLOOKUP(EN$2,Table1[[#All],[RC]:[Internal Corrosion rate]],5,FALSE)="",0,100)</f>
        <v>#N/A</v>
      </c>
      <c r="EO5" s="19" t="e">
        <f>IF(VLOOKUP(EO$2,Table1[[#All],[RC]:[Internal Corrosion rate]],5,FALSE)="",0,100)</f>
        <v>#N/A</v>
      </c>
      <c r="EP5" s="19" t="e">
        <f>IF(VLOOKUP(EP$2,Table1[[#All],[RC]:[Internal Corrosion rate]],5,FALSE)="",0,100)</f>
        <v>#N/A</v>
      </c>
      <c r="EQ5" s="19" t="e">
        <f>IF(VLOOKUP(EQ$2,Table1[[#All],[RC]:[Internal Corrosion rate]],5,FALSE)="",0,100)</f>
        <v>#N/A</v>
      </c>
      <c r="ER5" s="19" t="e">
        <f>IF(VLOOKUP(ER$2,Table1[[#All],[RC]:[Internal Corrosion rate]],5,FALSE)="",0,100)</f>
        <v>#N/A</v>
      </c>
      <c r="ES5" s="19">
        <f>IF(VLOOKUP(ES$2,Table1[[#All],[RC]:[Internal Corrosion rate]],5,FALSE)="",0,100)</f>
        <v>100</v>
      </c>
      <c r="ET5" s="19">
        <f>IF(VLOOKUP(ET$2,Table1[[#All],[RC]:[Internal Corrosion rate]],5,FALSE)="",0,100)</f>
        <v>100</v>
      </c>
      <c r="EU5" s="19">
        <f>IF(VLOOKUP(EU$2,Table1[[#All],[RC]:[Internal Corrosion rate]],5,FALSE)="",0,100)</f>
        <v>100</v>
      </c>
      <c r="EV5" s="19">
        <f>IF(VLOOKUP(EV$2,Table1[[#All],[RC]:[Internal Corrosion rate]],5,FALSE)="",0,100)</f>
        <v>100</v>
      </c>
      <c r="EW5" s="19">
        <f>IF(VLOOKUP(EW$2,Table1[[#All],[RC]:[Internal Corrosion rate]],5,FALSE)="",0,100)</f>
        <v>100</v>
      </c>
      <c r="EX5" s="19">
        <f>IF(VLOOKUP(EX$2,Table1[[#All],[RC]:[Internal Corrosion rate]],5,FALSE)="",0,100)</f>
        <v>100</v>
      </c>
      <c r="EY5" s="19" t="e">
        <f>IF(VLOOKUP(EY$2,Table1[[#All],[RC]:[Internal Corrosion rate]],5,FALSE)="",0,100)</f>
        <v>#N/A</v>
      </c>
      <c r="EZ5" s="19" t="e">
        <f>IF(VLOOKUP(EZ$2,Table1[[#All],[RC]:[Internal Corrosion rate]],5,FALSE)="",0,100)</f>
        <v>#N/A</v>
      </c>
      <c r="FA5" s="19" t="e">
        <f>IF(VLOOKUP(FA$2,Table1[[#All],[RC]:[Internal Corrosion rate]],5,FALSE)="",0,100)</f>
        <v>#N/A</v>
      </c>
      <c r="FB5" s="19">
        <f>IF(VLOOKUP(FB$2,Table1[[#All],[RC]:[Internal Corrosion rate]],5,FALSE)="",0,100)</f>
        <v>100</v>
      </c>
      <c r="FC5" s="19" t="e">
        <f>IF(VLOOKUP(FC$2,Table1[[#All],[RC]:[Internal Corrosion rate]],5,FALSE)="",0,100)</f>
        <v>#N/A</v>
      </c>
      <c r="FD5" s="19">
        <f>IF(VLOOKUP(FD$2,Table1[[#All],[RC]:[Internal Corrosion rate]],5,FALSE)="",0,100)</f>
        <v>100</v>
      </c>
      <c r="FE5" s="19">
        <f>IF(VLOOKUP(FE$2,Table1[[#All],[RC]:[Internal Corrosion rate]],5,FALSE)="",0,100)</f>
        <v>100</v>
      </c>
      <c r="FF5" s="19">
        <f>IF(VLOOKUP(FF$2,Table1[[#All],[RC]:[Internal Corrosion rate]],5,FALSE)="",0,100)</f>
        <v>100</v>
      </c>
      <c r="FG5" s="19">
        <f>IF(VLOOKUP(FG$2,Table1[[#All],[RC]:[Internal Corrosion rate]],5,FALSE)="",0,100)</f>
        <v>100</v>
      </c>
      <c r="FH5" s="19" t="e">
        <f>IF(VLOOKUP(FH$2,Table1[[#All],[RC]:[Internal Corrosion rate]],5,FALSE)="",0,100)</f>
        <v>#N/A</v>
      </c>
      <c r="FI5" s="19" t="e">
        <f>IF(VLOOKUP(FI$2,Table1[[#All],[RC]:[Internal Corrosion rate]],5,FALSE)="",0,100)</f>
        <v>#N/A</v>
      </c>
      <c r="FJ5" s="19">
        <f>IF(VLOOKUP(FJ$2,Table1[[#All],[RC]:[Internal Corrosion rate]],5,FALSE)="",0,100)</f>
        <v>100</v>
      </c>
      <c r="FK5" s="19">
        <f>IF(VLOOKUP(FK$2,Table1[[#All],[RC]:[Internal Corrosion rate]],5,FALSE)="",0,100)</f>
        <v>100</v>
      </c>
      <c r="FL5" s="19" t="e">
        <f>IF(VLOOKUP(FL$2,Table1[[#All],[RC]:[Internal Corrosion rate]],5,FALSE)="",0,100)</f>
        <v>#N/A</v>
      </c>
      <c r="FM5" s="19" t="e">
        <f>IF(VLOOKUP(FM$2,Table1[[#All],[RC]:[Internal Corrosion rate]],5,FALSE)="",0,100)</f>
        <v>#N/A</v>
      </c>
      <c r="FN5" s="19" t="e">
        <f>IF(VLOOKUP(FN$2,Table1[[#All],[RC]:[Internal Corrosion rate]],5,FALSE)="",0,100)</f>
        <v>#N/A</v>
      </c>
      <c r="FO5" s="19">
        <f>IF(VLOOKUP(FO$2,Table1[[#All],[RC]:[Internal Corrosion rate]],5,FALSE)="",0,100)</f>
        <v>100</v>
      </c>
      <c r="FP5" s="19">
        <f>IF(VLOOKUP(FP$2,Table1[[#All],[RC]:[Internal Corrosion rate]],5,FALSE)="",0,100)</f>
        <v>100</v>
      </c>
      <c r="FQ5" s="19">
        <f>IF(VLOOKUP(FQ$2,Table1[[#All],[RC]:[Internal Corrosion rate]],5,FALSE)="",0,100)</f>
        <v>100</v>
      </c>
      <c r="FR5" s="19">
        <f>IF(VLOOKUP(FR$2,Table1[[#All],[RC]:[Internal Corrosion rate]],5,FALSE)="",0,100)</f>
        <v>100</v>
      </c>
      <c r="FS5" s="19" t="e">
        <f>IF(VLOOKUP(FS$2,Table1[[#All],[RC]:[Internal Corrosion rate]],5,FALSE)="",0,100)</f>
        <v>#N/A</v>
      </c>
      <c r="FT5" s="19" t="e">
        <f>IF(VLOOKUP(FT$2,Table1[[#All],[RC]:[Internal Corrosion rate]],5,FALSE)="",0,100)</f>
        <v>#N/A</v>
      </c>
      <c r="FU5" s="19" t="e">
        <f>IF(VLOOKUP(FU$2,Table1[[#All],[RC]:[Internal Corrosion rate]],5,FALSE)="",0,100)</f>
        <v>#N/A</v>
      </c>
      <c r="FV5" s="19" t="e">
        <f>IF(VLOOKUP(FV$2,Table1[[#All],[RC]:[Internal Corrosion rate]],5,FALSE)="",0,100)</f>
        <v>#N/A</v>
      </c>
    </row>
    <row r="6" spans="1:178">
      <c r="A6" s="60" t="s">
        <v>12</v>
      </c>
      <c r="B6" s="19" t="e">
        <f>IF(VLOOKUP(B$2,Table1[[#All],[RC]:[Internal Corrosion rate]],6,FALSE)="",0,100)</f>
        <v>#N/A</v>
      </c>
      <c r="C6" s="19" t="e">
        <f>IF(VLOOKUP(C$2,Table1[[#All],[RC]:[Internal Corrosion rate]],6,FALSE)="",0,100)</f>
        <v>#N/A</v>
      </c>
      <c r="D6" s="19">
        <f>IF(VLOOKUP(D$2,Table1[[#All],[RC]:[Internal Corrosion rate]],6,FALSE)="",0,100)</f>
        <v>100</v>
      </c>
      <c r="E6" s="19">
        <f>IF(VLOOKUP(E$2,Table1[[#All],[RC]:[Internal Corrosion rate]],6,FALSE)="",0,100)</f>
        <v>100</v>
      </c>
      <c r="F6" s="19">
        <f>IF(VLOOKUP(F$2,Table1[[#All],[RC]:[Internal Corrosion rate]],6,FALSE)="",0,100)</f>
        <v>100</v>
      </c>
      <c r="G6" s="19">
        <f>IF(VLOOKUP(G$2,Table1[[#All],[RC]:[Internal Corrosion rate]],6,FALSE)="",0,100)</f>
        <v>100</v>
      </c>
      <c r="H6" s="19">
        <f>IF(VLOOKUP(H$2,Table1[[#All],[RC]:[Internal Corrosion rate]],6,FALSE)="",0,100)</f>
        <v>100</v>
      </c>
      <c r="I6" s="19">
        <f>IF(VLOOKUP(I$2,Table1[[#All],[RC]:[Internal Corrosion rate]],6,FALSE)="",0,100)</f>
        <v>100</v>
      </c>
      <c r="J6" s="19">
        <f>IF(VLOOKUP(J$2,Table1[[#All],[RC]:[Internal Corrosion rate]],6,FALSE)="",0,100)</f>
        <v>100</v>
      </c>
      <c r="K6" s="19">
        <f>IF(VLOOKUP(K$2,Table1[[#All],[RC]:[Internal Corrosion rate]],6,FALSE)="",0,100)</f>
        <v>100</v>
      </c>
      <c r="L6" s="19">
        <f>IF(VLOOKUP(L$2,Table1[[#All],[RC]:[Internal Corrosion rate]],6,FALSE)="",0,100)</f>
        <v>100</v>
      </c>
      <c r="M6" s="19" t="e">
        <f>IF(VLOOKUP(M$2,Table1[[#All],[RC]:[Internal Corrosion rate]],6,FALSE)="",0,100)</f>
        <v>#N/A</v>
      </c>
      <c r="N6" s="19">
        <f>IF(VLOOKUP(N$2,Table1[[#All],[RC]:[Internal Corrosion rate]],6,FALSE)="",0,100)</f>
        <v>100</v>
      </c>
      <c r="O6" s="19">
        <f>IF(VLOOKUP(O$2,Table1[[#All],[RC]:[Internal Corrosion rate]],6,FALSE)="",0,100)</f>
        <v>100</v>
      </c>
      <c r="P6" s="19">
        <f>IF(VLOOKUP(P$2,Table1[[#All],[RC]:[Internal Corrosion rate]],6,FALSE)="",0,100)</f>
        <v>100</v>
      </c>
      <c r="Q6" s="19">
        <f>IF(VLOOKUP(Q$2,Table1[[#All],[RC]:[Internal Corrosion rate]],6,FALSE)="",0,100)</f>
        <v>100</v>
      </c>
      <c r="R6" s="19">
        <f>IF(VLOOKUP(R$2,Table1[[#All],[RC]:[Internal Corrosion rate]],6,FALSE)="",0,100)</f>
        <v>100</v>
      </c>
      <c r="S6" s="19">
        <f>IF(VLOOKUP(S$2,Table1[[#All],[RC]:[Internal Corrosion rate]],6,FALSE)="",0,100)</f>
        <v>100</v>
      </c>
      <c r="T6" s="19">
        <f>IF(VLOOKUP(T$2,Table1[[#All],[RC]:[Internal Corrosion rate]],6,FALSE)="",0,100)</f>
        <v>100</v>
      </c>
      <c r="U6" s="19">
        <f>IF(VLOOKUP(U$2,Table1[[#All],[RC]:[Internal Corrosion rate]],6,FALSE)="",0,100)</f>
        <v>100</v>
      </c>
      <c r="V6" s="19">
        <f>IF(VLOOKUP(V$2,Table1[[#All],[RC]:[Internal Corrosion rate]],6,FALSE)="",0,100)</f>
        <v>100</v>
      </c>
      <c r="W6" s="19">
        <f>IF(VLOOKUP(W$2,Table1[[#All],[RC]:[Internal Corrosion rate]],6,FALSE)="",0,100)</f>
        <v>100</v>
      </c>
      <c r="X6" s="19">
        <f>IF(VLOOKUP(X$2,Table1[[#All],[RC]:[Internal Corrosion rate]],6,FALSE)="",0,100)</f>
        <v>100</v>
      </c>
      <c r="Y6" s="19" t="e">
        <f>IF(VLOOKUP(Y$2,Table1[[#All],[RC]:[Internal Corrosion rate]],6,FALSE)="",0,100)</f>
        <v>#N/A</v>
      </c>
      <c r="Z6" s="19" t="e">
        <f>IF(VLOOKUP(Z$2,Table1[[#All],[RC]:[Internal Corrosion rate]],6,FALSE)="",0,100)</f>
        <v>#N/A</v>
      </c>
      <c r="AA6" s="19">
        <f>IF(VLOOKUP(AA$2,Table1[[#All],[RC]:[Internal Corrosion rate]],6,FALSE)="",0,100)</f>
        <v>100</v>
      </c>
      <c r="AB6" s="19">
        <f>IF(VLOOKUP(AB$2,Table1[[#All],[RC]:[Internal Corrosion rate]],6,FALSE)="",0,100)</f>
        <v>100</v>
      </c>
      <c r="AC6" s="19">
        <f>IF(VLOOKUP(AC$2,Table1[[#All],[RC]:[Internal Corrosion rate]],6,FALSE)="",0,100)</f>
        <v>100</v>
      </c>
      <c r="AD6" s="19">
        <f>IF(VLOOKUP(AD$2,Table1[[#All],[RC]:[Internal Corrosion rate]],6,FALSE)="",0,100)</f>
        <v>100</v>
      </c>
      <c r="AE6" s="19" t="e">
        <f>IF(VLOOKUP(AE$2,Table1[[#All],[RC]:[Internal Corrosion rate]],6,FALSE)="",0,100)</f>
        <v>#N/A</v>
      </c>
      <c r="AF6" s="19">
        <f>IF(VLOOKUP(AF$2,Table1[[#All],[RC]:[Internal Corrosion rate]],6,FALSE)="",0,100)</f>
        <v>100</v>
      </c>
      <c r="AG6" s="19">
        <f>IF(VLOOKUP(AG$2,Table1[[#All],[RC]:[Internal Corrosion rate]],6,FALSE)="",0,100)</f>
        <v>100</v>
      </c>
      <c r="AH6" s="19">
        <f>IF(VLOOKUP(AH$2,Table1[[#All],[RC]:[Internal Corrosion rate]],6,FALSE)="",0,100)</f>
        <v>100</v>
      </c>
      <c r="AI6" s="19">
        <f>IF(VLOOKUP(AI$2,Table1[[#All],[RC]:[Internal Corrosion rate]],6,FALSE)="",0,100)</f>
        <v>100</v>
      </c>
      <c r="AJ6" s="19">
        <f>IF(VLOOKUP(AJ$2,Table1[[#All],[RC]:[Internal Corrosion rate]],6,FALSE)="",0,100)</f>
        <v>100</v>
      </c>
      <c r="AK6" s="19">
        <f>IF(VLOOKUP(AK$2,Table1[[#All],[RC]:[Internal Corrosion rate]],6,FALSE)="",0,100)</f>
        <v>100</v>
      </c>
      <c r="AL6" s="19" t="e">
        <f>IF(VLOOKUP(AL$2,Table1[[#All],[RC]:[Internal Corrosion rate]],6,FALSE)="",0,100)</f>
        <v>#N/A</v>
      </c>
      <c r="AM6" s="19" t="e">
        <f>IF(VLOOKUP(AM$2,Table1[[#All],[RC]:[Internal Corrosion rate]],6,FALSE)="",0,100)</f>
        <v>#N/A</v>
      </c>
      <c r="AN6" s="19" t="e">
        <f>IF(VLOOKUP(AN$2,Table1[[#All],[RC]:[Internal Corrosion rate]],6,FALSE)="",0,100)</f>
        <v>#N/A</v>
      </c>
      <c r="AO6" s="19">
        <f>IF(VLOOKUP(AO$2,Table1[[#All],[RC]:[Internal Corrosion rate]],6,FALSE)="",0,100)</f>
        <v>100</v>
      </c>
      <c r="AP6" s="19">
        <f>IF(VLOOKUP(AP$2,Table1[[#All],[RC]:[Internal Corrosion rate]],6,FALSE)="",0,100)</f>
        <v>100</v>
      </c>
      <c r="AQ6" s="19" t="e">
        <f>IF(VLOOKUP(AQ$2,Table1[[#All],[RC]:[Internal Corrosion rate]],6,FALSE)="",0,100)</f>
        <v>#N/A</v>
      </c>
      <c r="AR6" s="19" t="e">
        <f>IF(VLOOKUP(AR$2,Table1[[#All],[RC]:[Internal Corrosion rate]],6,FALSE)="",0,100)</f>
        <v>#N/A</v>
      </c>
      <c r="AS6" s="19" t="e">
        <f>IF(VLOOKUP(AS$2,Table1[[#All],[RC]:[Internal Corrosion rate]],6,FALSE)="",0,100)</f>
        <v>#N/A</v>
      </c>
      <c r="AT6" s="19">
        <f>IF(VLOOKUP(AT$2,Table1[[#All],[RC]:[Internal Corrosion rate]],6,FALSE)="",0,100)</f>
        <v>100</v>
      </c>
      <c r="AU6" s="19">
        <f>IF(VLOOKUP(AU$2,Table1[[#All],[RC]:[Internal Corrosion rate]],6,FALSE)="",0,100)</f>
        <v>100</v>
      </c>
      <c r="AV6" s="19">
        <f>IF(VLOOKUP(AV$2,Table1[[#All],[RC]:[Internal Corrosion rate]],6,FALSE)="",0,100)</f>
        <v>100</v>
      </c>
      <c r="AW6" s="19" t="e">
        <f>IF(VLOOKUP(AW$2,Table1[[#All],[RC]:[Internal Corrosion rate]],6,FALSE)="",0,100)</f>
        <v>#N/A</v>
      </c>
      <c r="AX6" s="19">
        <f>IF(VLOOKUP(AX$2,Table1[[#All],[RC]:[Internal Corrosion rate]],6,FALSE)="",0,100)</f>
        <v>100</v>
      </c>
      <c r="AY6" s="19">
        <f>IF(VLOOKUP(AY$2,Table1[[#All],[RC]:[Internal Corrosion rate]],6,FALSE)="",0,100)</f>
        <v>100</v>
      </c>
      <c r="AZ6" s="19">
        <f>IF(VLOOKUP(AZ$2,Table1[[#All],[RC]:[Internal Corrosion rate]],6,FALSE)="",0,100)</f>
        <v>100</v>
      </c>
      <c r="BA6" s="19" t="e">
        <f>IF(VLOOKUP(BA$2,Table1[[#All],[RC]:[Internal Corrosion rate]],6,FALSE)="",0,100)</f>
        <v>#N/A</v>
      </c>
      <c r="BB6" s="19">
        <f>IF(VLOOKUP(BB$2,Table1[[#All],[RC]:[Internal Corrosion rate]],6,FALSE)="",0,100)</f>
        <v>100</v>
      </c>
      <c r="BC6" s="19">
        <f>IF(VLOOKUP(BC$2,Table1[[#All],[RC]:[Internal Corrosion rate]],6,FALSE)="",0,100)</f>
        <v>100</v>
      </c>
      <c r="BD6" s="19" t="e">
        <f>IF(VLOOKUP(BD$2,Table1[[#All],[RC]:[Internal Corrosion rate]],6,FALSE)="",0,100)</f>
        <v>#N/A</v>
      </c>
      <c r="BE6" s="19">
        <f>IF(VLOOKUP(BE$2,Table1[[#All],[RC]:[Internal Corrosion rate]],6,FALSE)="",0,100)</f>
        <v>100</v>
      </c>
      <c r="BF6" s="19">
        <f>IF(VLOOKUP(BF$2,Table1[[#All],[RC]:[Internal Corrosion rate]],6,FALSE)="",0,100)</f>
        <v>100</v>
      </c>
      <c r="BG6" s="19">
        <f>IF(VLOOKUP(BG$2,Table1[[#All],[RC]:[Internal Corrosion rate]],6,FALSE)="",0,100)</f>
        <v>100</v>
      </c>
      <c r="BH6" s="19" t="e">
        <f>IF(VLOOKUP(BH$2,Table1[[#All],[RC]:[Internal Corrosion rate]],6,FALSE)="",0,100)</f>
        <v>#N/A</v>
      </c>
      <c r="BI6" s="19" t="e">
        <f>IF(VLOOKUP(BI$2,Table1[[#All],[RC]:[Internal Corrosion rate]],6,FALSE)="",0,100)</f>
        <v>#N/A</v>
      </c>
      <c r="BJ6" s="19" t="e">
        <f>IF(VLOOKUP(BJ$2,Table1[[#All],[RC]:[Internal Corrosion rate]],6,FALSE)="",0,100)</f>
        <v>#N/A</v>
      </c>
      <c r="BK6" s="19">
        <f>IF(VLOOKUP(BK$2,Table1[[#All],[RC]:[Internal Corrosion rate]],6,FALSE)="",0,100)</f>
        <v>100</v>
      </c>
      <c r="BL6" s="19">
        <f>IF(VLOOKUP(BL$2,Table1[[#All],[RC]:[Internal Corrosion rate]],6,FALSE)="",0,100)</f>
        <v>100</v>
      </c>
      <c r="BM6" s="19" t="e">
        <f>IF(VLOOKUP(BM$2,Table1[[#All],[RC]:[Internal Corrosion rate]],6,FALSE)="",0,100)</f>
        <v>#N/A</v>
      </c>
      <c r="BN6" s="19">
        <f>IF(VLOOKUP(BN$2,Table1[[#All],[RC]:[Internal Corrosion rate]],6,FALSE)="",0,100)</f>
        <v>100</v>
      </c>
      <c r="BO6" s="19">
        <f>IF(VLOOKUP(BO$2,Table1[[#All],[RC]:[Internal Corrosion rate]],6,FALSE)="",0,100)</f>
        <v>100</v>
      </c>
      <c r="BP6" s="19">
        <f>IF(VLOOKUP(BP$2,Table1[[#All],[RC]:[Internal Corrosion rate]],6,FALSE)="",0,100)</f>
        <v>100</v>
      </c>
      <c r="BQ6" s="19">
        <f>IF(VLOOKUP(BQ$2,Table1[[#All],[RC]:[Internal Corrosion rate]],6,FALSE)="",0,100)</f>
        <v>100</v>
      </c>
      <c r="BR6" s="19">
        <f>IF(VLOOKUP(BR$2,Table1[[#All],[RC]:[Internal Corrosion rate]],6,FALSE)="",0,100)</f>
        <v>100</v>
      </c>
      <c r="BS6" s="19">
        <f>IF(VLOOKUP(BS$2,Table1[[#All],[RC]:[Internal Corrosion rate]],6,FALSE)="",0,100)</f>
        <v>100</v>
      </c>
      <c r="BT6" s="19" t="e">
        <f>IF(VLOOKUP(BT$2,Table1[[#All],[RC]:[Internal Corrosion rate]],6,FALSE)="",0,100)</f>
        <v>#N/A</v>
      </c>
      <c r="BU6" s="19">
        <f>IF(VLOOKUP(BU$2,Table1[[#All],[RC]:[Internal Corrosion rate]],6,FALSE)="",0,100)</f>
        <v>100</v>
      </c>
      <c r="BV6" s="19" t="e">
        <f>IF(VLOOKUP(BV$2,Table1[[#All],[RC]:[Internal Corrosion rate]],6,FALSE)="",0,100)</f>
        <v>#N/A</v>
      </c>
      <c r="BW6" s="19">
        <f>IF(VLOOKUP(BW$2,Table1[[#All],[RC]:[Internal Corrosion rate]],6,FALSE)="",0,100)</f>
        <v>100</v>
      </c>
      <c r="BX6" s="19">
        <f>IF(VLOOKUP(BX$2,Table1[[#All],[RC]:[Internal Corrosion rate]],6,FALSE)="",0,100)</f>
        <v>100</v>
      </c>
      <c r="BY6" s="19">
        <f>IF(VLOOKUP(BY$2,Table1[[#All],[RC]:[Internal Corrosion rate]],6,FALSE)="",0,100)</f>
        <v>100</v>
      </c>
      <c r="BZ6" s="19">
        <f>IF(VLOOKUP(BZ$2,Table1[[#All],[RC]:[Internal Corrosion rate]],6,FALSE)="",0,100)</f>
        <v>100</v>
      </c>
      <c r="CA6" s="19">
        <f>IF(VLOOKUP(CA$2,Table1[[#All],[RC]:[Internal Corrosion rate]],6,FALSE)="",0,100)</f>
        <v>100</v>
      </c>
      <c r="CB6" s="19" t="e">
        <f>IF(VLOOKUP(CB$2,Table1[[#All],[RC]:[Internal Corrosion rate]],6,FALSE)="",0,100)</f>
        <v>#N/A</v>
      </c>
      <c r="CC6" s="19" t="e">
        <f>IF(VLOOKUP(CC$2,Table1[[#All],[RC]:[Internal Corrosion rate]],6,FALSE)="",0,100)</f>
        <v>#N/A</v>
      </c>
      <c r="CD6" s="19">
        <f>IF(VLOOKUP(CD$2,Table1[[#All],[RC]:[Internal Corrosion rate]],6,FALSE)="",0,100)</f>
        <v>100</v>
      </c>
      <c r="CE6" s="19">
        <f>IF(VLOOKUP(CE$2,Table1[[#All],[RC]:[Internal Corrosion rate]],6,FALSE)="",0,100)</f>
        <v>100</v>
      </c>
      <c r="CF6" s="19">
        <f>IF(VLOOKUP(CF$2,Table1[[#All],[RC]:[Internal Corrosion rate]],6,FALSE)="",0,100)</f>
        <v>100</v>
      </c>
      <c r="CG6" s="19">
        <f>IF(VLOOKUP(CG$2,Table1[[#All],[RC]:[Internal Corrosion rate]],6,FALSE)="",0,100)</f>
        <v>100</v>
      </c>
      <c r="CH6" s="19">
        <f>IF(VLOOKUP(CH$2,Table1[[#All],[RC]:[Internal Corrosion rate]],6,FALSE)="",0,100)</f>
        <v>100</v>
      </c>
      <c r="CI6" s="19">
        <f>IF(VLOOKUP(CI$2,Table1[[#All],[RC]:[Internal Corrosion rate]],6,FALSE)="",0,100)</f>
        <v>100</v>
      </c>
      <c r="CJ6" s="19">
        <f>IF(VLOOKUP(CJ$2,Table1[[#All],[RC]:[Internal Corrosion rate]],6,FALSE)="",0,100)</f>
        <v>100</v>
      </c>
      <c r="CK6" s="19">
        <f>IF(VLOOKUP(CK$2,Table1[[#All],[RC]:[Internal Corrosion rate]],6,FALSE)="",0,100)</f>
        <v>100</v>
      </c>
      <c r="CL6" s="19">
        <f>IF(VLOOKUP(CL$2,Table1[[#All],[RC]:[Internal Corrosion rate]],6,FALSE)="",0,100)</f>
        <v>100</v>
      </c>
      <c r="CM6" s="19">
        <f>IF(VLOOKUP(CM$2,Table1[[#All],[RC]:[Internal Corrosion rate]],6,FALSE)="",0,100)</f>
        <v>100</v>
      </c>
      <c r="CN6" s="19">
        <f>IF(VLOOKUP(CN$2,Table1[[#All],[RC]:[Internal Corrosion rate]],6,FALSE)="",0,100)</f>
        <v>100</v>
      </c>
      <c r="CO6" s="19">
        <f>IF(VLOOKUP(CO$2,Table1[[#All],[RC]:[Internal Corrosion rate]],6,FALSE)="",0,100)</f>
        <v>100</v>
      </c>
      <c r="CP6" s="19">
        <f>IF(VLOOKUP(CP$2,Table1[[#All],[RC]:[Internal Corrosion rate]],6,FALSE)="",0,100)</f>
        <v>100</v>
      </c>
      <c r="CQ6" s="19">
        <f>IF(VLOOKUP(CQ$2,Table1[[#All],[RC]:[Internal Corrosion rate]],6,FALSE)="",0,100)</f>
        <v>100</v>
      </c>
      <c r="CR6" s="19">
        <f>IF(VLOOKUP(CR$2,Table1[[#All],[RC]:[Internal Corrosion rate]],6,FALSE)="",0,100)</f>
        <v>100</v>
      </c>
      <c r="CS6" s="19">
        <f>IF(VLOOKUP(CS$2,Table1[[#All],[RC]:[Internal Corrosion rate]],6,FALSE)="",0,100)</f>
        <v>100</v>
      </c>
      <c r="CT6" s="19">
        <f>IF(VLOOKUP(CT$2,Table1[[#All],[RC]:[Internal Corrosion rate]],6,FALSE)="",0,100)</f>
        <v>100</v>
      </c>
      <c r="CU6" s="19">
        <f>IF(VLOOKUP(CU$2,Table1[[#All],[RC]:[Internal Corrosion rate]],6,FALSE)="",0,100)</f>
        <v>100</v>
      </c>
      <c r="CV6" s="19">
        <f>IF(VLOOKUP(CV$2,Table1[[#All],[RC]:[Internal Corrosion rate]],6,FALSE)="",0,100)</f>
        <v>100</v>
      </c>
      <c r="CW6" s="19">
        <f>IF(VLOOKUP(CW$2,Table1[[#All],[RC]:[Internal Corrosion rate]],6,FALSE)="",0,100)</f>
        <v>100</v>
      </c>
      <c r="CX6" s="19">
        <f>IF(VLOOKUP(CX$2,Table1[[#All],[RC]:[Internal Corrosion rate]],6,FALSE)="",0,100)</f>
        <v>100</v>
      </c>
      <c r="CY6" s="19">
        <f>IF(VLOOKUP(CY$2,Table1[[#All],[RC]:[Internal Corrosion rate]],6,FALSE)="",0,100)</f>
        <v>100</v>
      </c>
      <c r="CZ6" s="19">
        <f>IF(VLOOKUP(CZ$2,Table1[[#All],[RC]:[Internal Corrosion rate]],6,FALSE)="",0,100)</f>
        <v>100</v>
      </c>
      <c r="DA6" s="19">
        <f>IF(VLOOKUP(DA$2,Table1[[#All],[RC]:[Internal Corrosion rate]],6,FALSE)="",0,100)</f>
        <v>100</v>
      </c>
      <c r="DB6" s="19">
        <f>IF(VLOOKUP(DB$2,Table1[[#All],[RC]:[Internal Corrosion rate]],6,FALSE)="",0,100)</f>
        <v>100</v>
      </c>
      <c r="DC6" s="19">
        <f>IF(VLOOKUP(DC$2,Table1[[#All],[RC]:[Internal Corrosion rate]],6,FALSE)="",0,100)</f>
        <v>100</v>
      </c>
      <c r="DD6" s="19">
        <f>IF(VLOOKUP(DD$2,Table1[[#All],[RC]:[Internal Corrosion rate]],6,FALSE)="",0,100)</f>
        <v>100</v>
      </c>
      <c r="DE6" s="19">
        <f>IF(VLOOKUP(DE$2,Table1[[#All],[RC]:[Internal Corrosion rate]],6,FALSE)="",0,100)</f>
        <v>100</v>
      </c>
      <c r="DF6" s="19">
        <f>IF(VLOOKUP(DF$2,Table1[[#All],[RC]:[Internal Corrosion rate]],6,FALSE)="",0,100)</f>
        <v>100</v>
      </c>
      <c r="DG6" s="19" t="e">
        <f>IF(VLOOKUP(DG$2,Table1[[#All],[RC]:[Internal Corrosion rate]],6,FALSE)="",0,100)</f>
        <v>#N/A</v>
      </c>
      <c r="DH6" s="19" t="e">
        <f>IF(VLOOKUP(DH$2,Table1[[#All],[RC]:[Internal Corrosion rate]],6,FALSE)="",0,100)</f>
        <v>#N/A</v>
      </c>
      <c r="DI6" s="19" t="e">
        <f>IF(VLOOKUP(DI$2,Table1[[#All],[RC]:[Internal Corrosion rate]],6,FALSE)="",0,100)</f>
        <v>#N/A</v>
      </c>
      <c r="DJ6" s="19">
        <f>IF(VLOOKUP(DJ$2,Table1[[#All],[RC]:[Internal Corrosion rate]],6,FALSE)="",0,100)</f>
        <v>100</v>
      </c>
      <c r="DK6" s="19">
        <f>IF(VLOOKUP(DK$2,Table1[[#All],[RC]:[Internal Corrosion rate]],6,FALSE)="",0,100)</f>
        <v>100</v>
      </c>
      <c r="DL6" s="19">
        <f>IF(VLOOKUP(DL$2,Table1[[#All],[RC]:[Internal Corrosion rate]],6,FALSE)="",0,100)</f>
        <v>100</v>
      </c>
      <c r="DM6" s="19">
        <f>IF(VLOOKUP(DM$2,Table1[[#All],[RC]:[Internal Corrosion rate]],6,FALSE)="",0,100)</f>
        <v>100</v>
      </c>
      <c r="DN6" s="19">
        <f>IF(VLOOKUP(DN$2,Table1[[#All],[RC]:[Internal Corrosion rate]],6,FALSE)="",0,100)</f>
        <v>100</v>
      </c>
      <c r="DO6" s="19">
        <f>IF(VLOOKUP(DO$2,Table1[[#All],[RC]:[Internal Corrosion rate]],6,FALSE)="",0,100)</f>
        <v>100</v>
      </c>
      <c r="DP6" s="19" t="e">
        <f>IF(VLOOKUP(DP$2,Table1[[#All],[RC]:[Internal Corrosion rate]],6,FALSE)="",0,100)</f>
        <v>#N/A</v>
      </c>
      <c r="DQ6" s="19" t="e">
        <f>IF(VLOOKUP(DQ$2,Table1[[#All],[RC]:[Internal Corrosion rate]],6,FALSE)="",0,100)</f>
        <v>#N/A</v>
      </c>
      <c r="DR6" s="19" t="e">
        <f>IF(VLOOKUP(DR$2,Table1[[#All],[RC]:[Internal Corrosion rate]],6,FALSE)="",0,100)</f>
        <v>#N/A</v>
      </c>
      <c r="DS6" s="19" t="e">
        <f>IF(VLOOKUP(DS$2,Table1[[#All],[RC]:[Internal Corrosion rate]],6,FALSE)="",0,100)</f>
        <v>#N/A</v>
      </c>
      <c r="DT6" s="19">
        <f>IF(VLOOKUP(DT$2,Table1[[#All],[RC]:[Internal Corrosion rate]],6,FALSE)="",0,100)</f>
        <v>100</v>
      </c>
      <c r="DU6" s="19" t="e">
        <f>IF(VLOOKUP(DU$2,Table1[[#All],[RC]:[Internal Corrosion rate]],6,FALSE)="",0,100)</f>
        <v>#N/A</v>
      </c>
      <c r="DV6" s="19" t="e">
        <f>IF(VLOOKUP(DV$2,Table1[[#All],[RC]:[Internal Corrosion rate]],6,FALSE)="",0,100)</f>
        <v>#N/A</v>
      </c>
      <c r="DW6" s="19">
        <f>IF(VLOOKUP(DW$2,Table1[[#All],[RC]:[Internal Corrosion rate]],6,FALSE)="",0,100)</f>
        <v>100</v>
      </c>
      <c r="DX6" s="19">
        <f>IF(VLOOKUP(DX$2,Table1[[#All],[RC]:[Internal Corrosion rate]],6,FALSE)="",0,100)</f>
        <v>100</v>
      </c>
      <c r="DY6" s="19">
        <f>IF(VLOOKUP(DY$2,Table1[[#All],[RC]:[Internal Corrosion rate]],6,FALSE)="",0,100)</f>
        <v>100</v>
      </c>
      <c r="DZ6" s="19">
        <f>IF(VLOOKUP(DZ$2,Table1[[#All],[RC]:[Internal Corrosion rate]],6,FALSE)="",0,100)</f>
        <v>100</v>
      </c>
      <c r="EA6" s="19" t="e">
        <f>IF(VLOOKUP(EA$2,Table1[[#All],[RC]:[Internal Corrosion rate]],6,FALSE)="",0,100)</f>
        <v>#N/A</v>
      </c>
      <c r="EB6" s="19" t="e">
        <f>IF(VLOOKUP(EB$2,Table1[[#All],[RC]:[Internal Corrosion rate]],6,FALSE)="",0,100)</f>
        <v>#N/A</v>
      </c>
      <c r="EC6" s="19">
        <f>IF(VLOOKUP(EC$2,Table1[[#All],[RC]:[Internal Corrosion rate]],6,FALSE)="",0,100)</f>
        <v>100</v>
      </c>
      <c r="ED6" s="19">
        <f>IF(VLOOKUP(ED$2,Table1[[#All],[RC]:[Internal Corrosion rate]],6,FALSE)="",0,100)</f>
        <v>100</v>
      </c>
      <c r="EE6" s="19" t="e">
        <f>IF(VLOOKUP(EE$2,Table1[[#All],[RC]:[Internal Corrosion rate]],6,FALSE)="",0,100)</f>
        <v>#N/A</v>
      </c>
      <c r="EF6" s="19">
        <f>IF(VLOOKUP(EF$2,Table1[[#All],[RC]:[Internal Corrosion rate]],6,FALSE)="",0,100)</f>
        <v>100</v>
      </c>
      <c r="EG6" s="19">
        <f>IF(VLOOKUP(EG$2,Table1[[#All],[RC]:[Internal Corrosion rate]],6,FALSE)="",0,100)</f>
        <v>100</v>
      </c>
      <c r="EH6" s="19">
        <f>IF(VLOOKUP(EH$2,Table1[[#All],[RC]:[Internal Corrosion rate]],6,FALSE)="",0,100)</f>
        <v>100</v>
      </c>
      <c r="EI6" s="19">
        <f>IF(VLOOKUP(EI$2,Table1[[#All],[RC]:[Internal Corrosion rate]],6,FALSE)="",0,100)</f>
        <v>100</v>
      </c>
      <c r="EJ6" s="19">
        <f>IF(VLOOKUP(EJ$2,Table1[[#All],[RC]:[Internal Corrosion rate]],6,FALSE)="",0,100)</f>
        <v>100</v>
      </c>
      <c r="EK6" s="19" t="e">
        <f>IF(VLOOKUP(EK$2,Table1[[#All],[RC]:[Internal Corrosion rate]],6,FALSE)="",0,100)</f>
        <v>#N/A</v>
      </c>
      <c r="EL6" s="19" t="e">
        <f>IF(VLOOKUP(EL$2,Table1[[#All],[RC]:[Internal Corrosion rate]],6,FALSE)="",0,100)</f>
        <v>#N/A</v>
      </c>
      <c r="EM6" s="19" t="e">
        <f>IF(VLOOKUP(EM$2,Table1[[#All],[RC]:[Internal Corrosion rate]],6,FALSE)="",0,100)</f>
        <v>#N/A</v>
      </c>
      <c r="EN6" s="19" t="e">
        <f>IF(VLOOKUP(EN$2,Table1[[#All],[RC]:[Internal Corrosion rate]],6,FALSE)="",0,100)</f>
        <v>#N/A</v>
      </c>
      <c r="EO6" s="19" t="e">
        <f>IF(VLOOKUP(EO$2,Table1[[#All],[RC]:[Internal Corrosion rate]],6,FALSE)="",0,100)</f>
        <v>#N/A</v>
      </c>
      <c r="EP6" s="19" t="e">
        <f>IF(VLOOKUP(EP$2,Table1[[#All],[RC]:[Internal Corrosion rate]],6,FALSE)="",0,100)</f>
        <v>#N/A</v>
      </c>
      <c r="EQ6" s="19" t="e">
        <f>IF(VLOOKUP(EQ$2,Table1[[#All],[RC]:[Internal Corrosion rate]],6,FALSE)="",0,100)</f>
        <v>#N/A</v>
      </c>
      <c r="ER6" s="19" t="e">
        <f>IF(VLOOKUP(ER$2,Table1[[#All],[RC]:[Internal Corrosion rate]],6,FALSE)="",0,100)</f>
        <v>#N/A</v>
      </c>
      <c r="ES6" s="19">
        <f>IF(VLOOKUP(ES$2,Table1[[#All],[RC]:[Internal Corrosion rate]],6,FALSE)="",0,100)</f>
        <v>100</v>
      </c>
      <c r="ET6" s="19">
        <f>IF(VLOOKUP(ET$2,Table1[[#All],[RC]:[Internal Corrosion rate]],6,FALSE)="",0,100)</f>
        <v>100</v>
      </c>
      <c r="EU6" s="19">
        <f>IF(VLOOKUP(EU$2,Table1[[#All],[RC]:[Internal Corrosion rate]],6,FALSE)="",0,100)</f>
        <v>100</v>
      </c>
      <c r="EV6" s="19">
        <f>IF(VLOOKUP(EV$2,Table1[[#All],[RC]:[Internal Corrosion rate]],6,FALSE)="",0,100)</f>
        <v>100</v>
      </c>
      <c r="EW6" s="19">
        <f>IF(VLOOKUP(EW$2,Table1[[#All],[RC]:[Internal Corrosion rate]],6,FALSE)="",0,100)</f>
        <v>100</v>
      </c>
      <c r="EX6" s="19">
        <f>IF(VLOOKUP(EX$2,Table1[[#All],[RC]:[Internal Corrosion rate]],6,FALSE)="",0,100)</f>
        <v>100</v>
      </c>
      <c r="EY6" s="19" t="e">
        <f>IF(VLOOKUP(EY$2,Table1[[#All],[RC]:[Internal Corrosion rate]],6,FALSE)="",0,100)</f>
        <v>#N/A</v>
      </c>
      <c r="EZ6" s="19" t="e">
        <f>IF(VLOOKUP(EZ$2,Table1[[#All],[RC]:[Internal Corrosion rate]],6,FALSE)="",0,100)</f>
        <v>#N/A</v>
      </c>
      <c r="FA6" s="19" t="e">
        <f>IF(VLOOKUP(FA$2,Table1[[#All],[RC]:[Internal Corrosion rate]],6,FALSE)="",0,100)</f>
        <v>#N/A</v>
      </c>
      <c r="FB6" s="19">
        <f>IF(VLOOKUP(FB$2,Table1[[#All],[RC]:[Internal Corrosion rate]],6,FALSE)="",0,100)</f>
        <v>100</v>
      </c>
      <c r="FC6" s="19" t="e">
        <f>IF(VLOOKUP(FC$2,Table1[[#All],[RC]:[Internal Corrosion rate]],6,FALSE)="",0,100)</f>
        <v>#N/A</v>
      </c>
      <c r="FD6" s="19">
        <f>IF(VLOOKUP(FD$2,Table1[[#All],[RC]:[Internal Corrosion rate]],6,FALSE)="",0,100)</f>
        <v>100</v>
      </c>
      <c r="FE6" s="19">
        <f>IF(VLOOKUP(FE$2,Table1[[#All],[RC]:[Internal Corrosion rate]],6,FALSE)="",0,100)</f>
        <v>100</v>
      </c>
      <c r="FF6" s="19">
        <f>IF(VLOOKUP(FF$2,Table1[[#All],[RC]:[Internal Corrosion rate]],6,FALSE)="",0,100)</f>
        <v>100</v>
      </c>
      <c r="FG6" s="19">
        <f>IF(VLOOKUP(FG$2,Table1[[#All],[RC]:[Internal Corrosion rate]],6,FALSE)="",0,100)</f>
        <v>100</v>
      </c>
      <c r="FH6" s="19" t="e">
        <f>IF(VLOOKUP(FH$2,Table1[[#All],[RC]:[Internal Corrosion rate]],6,FALSE)="",0,100)</f>
        <v>#N/A</v>
      </c>
      <c r="FI6" s="19" t="e">
        <f>IF(VLOOKUP(FI$2,Table1[[#All],[RC]:[Internal Corrosion rate]],6,FALSE)="",0,100)</f>
        <v>#N/A</v>
      </c>
      <c r="FJ6" s="19">
        <f>IF(VLOOKUP(FJ$2,Table1[[#All],[RC]:[Internal Corrosion rate]],6,FALSE)="",0,100)</f>
        <v>100</v>
      </c>
      <c r="FK6" s="19">
        <f>IF(VLOOKUP(FK$2,Table1[[#All],[RC]:[Internal Corrosion rate]],6,FALSE)="",0,100)</f>
        <v>100</v>
      </c>
      <c r="FL6" s="19" t="e">
        <f>IF(VLOOKUP(FL$2,Table1[[#All],[RC]:[Internal Corrosion rate]],6,FALSE)="",0,100)</f>
        <v>#N/A</v>
      </c>
      <c r="FM6" s="19" t="e">
        <f>IF(VLOOKUP(FM$2,Table1[[#All],[RC]:[Internal Corrosion rate]],6,FALSE)="",0,100)</f>
        <v>#N/A</v>
      </c>
      <c r="FN6" s="19" t="e">
        <f>IF(VLOOKUP(FN$2,Table1[[#All],[RC]:[Internal Corrosion rate]],6,FALSE)="",0,100)</f>
        <v>#N/A</v>
      </c>
      <c r="FO6" s="19">
        <f>IF(VLOOKUP(FO$2,Table1[[#All],[RC]:[Internal Corrosion rate]],6,FALSE)="",0,100)</f>
        <v>100</v>
      </c>
      <c r="FP6" s="19">
        <f>IF(VLOOKUP(FP$2,Table1[[#All],[RC]:[Internal Corrosion rate]],6,FALSE)="",0,100)</f>
        <v>100</v>
      </c>
      <c r="FQ6" s="19">
        <f>IF(VLOOKUP(FQ$2,Table1[[#All],[RC]:[Internal Corrosion rate]],6,FALSE)="",0,100)</f>
        <v>100</v>
      </c>
      <c r="FR6" s="19">
        <f>IF(VLOOKUP(FR$2,Table1[[#All],[RC]:[Internal Corrosion rate]],6,FALSE)="",0,100)</f>
        <v>100</v>
      </c>
      <c r="FS6" s="19" t="e">
        <f>IF(VLOOKUP(FS$2,Table1[[#All],[RC]:[Internal Corrosion rate]],6,FALSE)="",0,100)</f>
        <v>#N/A</v>
      </c>
      <c r="FT6" s="19" t="e">
        <f>IF(VLOOKUP(FT$2,Table1[[#All],[RC]:[Internal Corrosion rate]],6,FALSE)="",0,100)</f>
        <v>#N/A</v>
      </c>
      <c r="FU6" s="19" t="e">
        <f>IF(VLOOKUP(FU$2,Table1[[#All],[RC]:[Internal Corrosion rate]],6,FALSE)="",0,100)</f>
        <v>#N/A</v>
      </c>
      <c r="FV6" s="19" t="e">
        <f>IF(VLOOKUP(FV$2,Table1[[#All],[RC]:[Internal Corrosion rate]],6,FALSE)="",0,100)</f>
        <v>#N/A</v>
      </c>
    </row>
    <row r="7" spans="1:178">
      <c r="A7" s="60" t="s">
        <v>14</v>
      </c>
      <c r="B7" s="19" t="e">
        <f>IF(VLOOKUP(B$2,Table1[[#All],[RC]:[Internal Corrosion rate]],7,FALSE)="",0,100)</f>
        <v>#N/A</v>
      </c>
      <c r="C7" s="19" t="e">
        <f>IF(VLOOKUP(C$2,Table1[[#All],[RC]:[Internal Corrosion rate]],7,FALSE)="",0,100)</f>
        <v>#N/A</v>
      </c>
      <c r="D7" s="19">
        <f>IF(VLOOKUP(D$2,Table1[[#All],[RC]:[Internal Corrosion rate]],7,FALSE)="",0,100)</f>
        <v>100</v>
      </c>
      <c r="E7" s="19">
        <f>IF(VLOOKUP(E$2,Table1[[#All],[RC]:[Internal Corrosion rate]],7,FALSE)="",0,100)</f>
        <v>100</v>
      </c>
      <c r="F7" s="19">
        <f>IF(VLOOKUP(F$2,Table1[[#All],[RC]:[Internal Corrosion rate]],7,FALSE)="",0,100)</f>
        <v>100</v>
      </c>
      <c r="G7" s="19">
        <f>IF(VLOOKUP(G$2,Table1[[#All],[RC]:[Internal Corrosion rate]],7,FALSE)="",0,100)</f>
        <v>100</v>
      </c>
      <c r="H7" s="19">
        <f>IF(VLOOKUP(H$2,Table1[[#All],[RC]:[Internal Corrosion rate]],7,FALSE)="",0,100)</f>
        <v>100</v>
      </c>
      <c r="I7" s="19">
        <f>IF(VLOOKUP(I$2,Table1[[#All],[RC]:[Internal Corrosion rate]],7,FALSE)="",0,100)</f>
        <v>100</v>
      </c>
      <c r="J7" s="19">
        <f>IF(VLOOKUP(J$2,Table1[[#All],[RC]:[Internal Corrosion rate]],7,FALSE)="",0,100)</f>
        <v>100</v>
      </c>
      <c r="K7" s="19">
        <f>IF(VLOOKUP(K$2,Table1[[#All],[RC]:[Internal Corrosion rate]],7,FALSE)="",0,100)</f>
        <v>100</v>
      </c>
      <c r="L7" s="19">
        <f>IF(VLOOKUP(L$2,Table1[[#All],[RC]:[Internal Corrosion rate]],7,FALSE)="",0,100)</f>
        <v>100</v>
      </c>
      <c r="M7" s="19" t="e">
        <f>IF(VLOOKUP(M$2,Table1[[#All],[RC]:[Internal Corrosion rate]],7,FALSE)="",0,100)</f>
        <v>#N/A</v>
      </c>
      <c r="N7" s="19">
        <f>IF(VLOOKUP(N$2,Table1[[#All],[RC]:[Internal Corrosion rate]],7,FALSE)="",0,100)</f>
        <v>100</v>
      </c>
      <c r="O7" s="19">
        <f>IF(VLOOKUP(O$2,Table1[[#All],[RC]:[Internal Corrosion rate]],7,FALSE)="",0,100)</f>
        <v>100</v>
      </c>
      <c r="P7" s="19">
        <f>IF(VLOOKUP(P$2,Table1[[#All],[RC]:[Internal Corrosion rate]],7,FALSE)="",0,100)</f>
        <v>100</v>
      </c>
      <c r="Q7" s="19">
        <f>IF(VLOOKUP(Q$2,Table1[[#All],[RC]:[Internal Corrosion rate]],7,FALSE)="",0,100)</f>
        <v>100</v>
      </c>
      <c r="R7" s="19">
        <f>IF(VLOOKUP(R$2,Table1[[#All],[RC]:[Internal Corrosion rate]],7,FALSE)="",0,100)</f>
        <v>100</v>
      </c>
      <c r="S7" s="19">
        <f>IF(VLOOKUP(S$2,Table1[[#All],[RC]:[Internal Corrosion rate]],7,FALSE)="",0,100)</f>
        <v>100</v>
      </c>
      <c r="T7" s="19">
        <f>IF(VLOOKUP(T$2,Table1[[#All],[RC]:[Internal Corrosion rate]],7,FALSE)="",0,100)</f>
        <v>100</v>
      </c>
      <c r="U7" s="19">
        <f>IF(VLOOKUP(U$2,Table1[[#All],[RC]:[Internal Corrosion rate]],7,FALSE)="",0,100)</f>
        <v>100</v>
      </c>
      <c r="V7" s="19">
        <f>IF(VLOOKUP(V$2,Table1[[#All],[RC]:[Internal Corrosion rate]],7,FALSE)="",0,100)</f>
        <v>100</v>
      </c>
      <c r="W7" s="19">
        <f>IF(VLOOKUP(W$2,Table1[[#All],[RC]:[Internal Corrosion rate]],7,FALSE)="",0,100)</f>
        <v>100</v>
      </c>
      <c r="X7" s="19">
        <f>IF(VLOOKUP(X$2,Table1[[#All],[RC]:[Internal Corrosion rate]],7,FALSE)="",0,100)</f>
        <v>100</v>
      </c>
      <c r="Y7" s="19" t="e">
        <f>IF(VLOOKUP(Y$2,Table1[[#All],[RC]:[Internal Corrosion rate]],7,FALSE)="",0,100)</f>
        <v>#N/A</v>
      </c>
      <c r="Z7" s="19" t="e">
        <f>IF(VLOOKUP(Z$2,Table1[[#All],[RC]:[Internal Corrosion rate]],7,FALSE)="",0,100)</f>
        <v>#N/A</v>
      </c>
      <c r="AA7" s="19">
        <f>IF(VLOOKUP(AA$2,Table1[[#All],[RC]:[Internal Corrosion rate]],7,FALSE)="",0,100)</f>
        <v>100</v>
      </c>
      <c r="AB7" s="19">
        <f>IF(VLOOKUP(AB$2,Table1[[#All],[RC]:[Internal Corrosion rate]],7,FALSE)="",0,100)</f>
        <v>100</v>
      </c>
      <c r="AC7" s="19">
        <f>IF(VLOOKUP(AC$2,Table1[[#All],[RC]:[Internal Corrosion rate]],7,FALSE)="",0,100)</f>
        <v>100</v>
      </c>
      <c r="AD7" s="19">
        <f>IF(VLOOKUP(AD$2,Table1[[#All],[RC]:[Internal Corrosion rate]],7,FALSE)="",0,100)</f>
        <v>100</v>
      </c>
      <c r="AE7" s="19" t="e">
        <f>IF(VLOOKUP(AE$2,Table1[[#All],[RC]:[Internal Corrosion rate]],7,FALSE)="",0,100)</f>
        <v>#N/A</v>
      </c>
      <c r="AF7" s="19">
        <f>IF(VLOOKUP(AF$2,Table1[[#All],[RC]:[Internal Corrosion rate]],7,FALSE)="",0,100)</f>
        <v>100</v>
      </c>
      <c r="AG7" s="19">
        <f>IF(VLOOKUP(AG$2,Table1[[#All],[RC]:[Internal Corrosion rate]],7,FALSE)="",0,100)</f>
        <v>100</v>
      </c>
      <c r="AH7" s="19">
        <f>IF(VLOOKUP(AH$2,Table1[[#All],[RC]:[Internal Corrosion rate]],7,FALSE)="",0,100)</f>
        <v>100</v>
      </c>
      <c r="AI7" s="19">
        <f>IF(VLOOKUP(AI$2,Table1[[#All],[RC]:[Internal Corrosion rate]],7,FALSE)="",0,100)</f>
        <v>100</v>
      </c>
      <c r="AJ7" s="19">
        <f>IF(VLOOKUP(AJ$2,Table1[[#All],[RC]:[Internal Corrosion rate]],7,FALSE)="",0,100)</f>
        <v>100</v>
      </c>
      <c r="AK7" s="19">
        <f>IF(VLOOKUP(AK$2,Table1[[#All],[RC]:[Internal Corrosion rate]],7,FALSE)="",0,100)</f>
        <v>100</v>
      </c>
      <c r="AL7" s="19" t="e">
        <f>IF(VLOOKUP(AL$2,Table1[[#All],[RC]:[Internal Corrosion rate]],7,FALSE)="",0,100)</f>
        <v>#N/A</v>
      </c>
      <c r="AM7" s="19" t="e">
        <f>IF(VLOOKUP(AM$2,Table1[[#All],[RC]:[Internal Corrosion rate]],7,FALSE)="",0,100)</f>
        <v>#N/A</v>
      </c>
      <c r="AN7" s="19" t="e">
        <f>IF(VLOOKUP(AN$2,Table1[[#All],[RC]:[Internal Corrosion rate]],7,FALSE)="",0,100)</f>
        <v>#N/A</v>
      </c>
      <c r="AO7" s="19">
        <f>IF(VLOOKUP(AO$2,Table1[[#All],[RC]:[Internal Corrosion rate]],7,FALSE)="",0,100)</f>
        <v>100</v>
      </c>
      <c r="AP7" s="19">
        <f>IF(VLOOKUP(AP$2,Table1[[#All],[RC]:[Internal Corrosion rate]],7,FALSE)="",0,100)</f>
        <v>100</v>
      </c>
      <c r="AQ7" s="19" t="e">
        <f>IF(VLOOKUP(AQ$2,Table1[[#All],[RC]:[Internal Corrosion rate]],7,FALSE)="",0,100)</f>
        <v>#N/A</v>
      </c>
      <c r="AR7" s="19" t="e">
        <f>IF(VLOOKUP(AR$2,Table1[[#All],[RC]:[Internal Corrosion rate]],7,FALSE)="",0,100)</f>
        <v>#N/A</v>
      </c>
      <c r="AS7" s="19" t="e">
        <f>IF(VLOOKUP(AS$2,Table1[[#All],[RC]:[Internal Corrosion rate]],7,FALSE)="",0,100)</f>
        <v>#N/A</v>
      </c>
      <c r="AT7" s="19">
        <f>IF(VLOOKUP(AT$2,Table1[[#All],[RC]:[Internal Corrosion rate]],7,FALSE)="",0,100)</f>
        <v>100</v>
      </c>
      <c r="AU7" s="19">
        <f>IF(VLOOKUP(AU$2,Table1[[#All],[RC]:[Internal Corrosion rate]],7,FALSE)="",0,100)</f>
        <v>100</v>
      </c>
      <c r="AV7" s="19">
        <f>IF(VLOOKUP(AV$2,Table1[[#All],[RC]:[Internal Corrosion rate]],7,FALSE)="",0,100)</f>
        <v>100</v>
      </c>
      <c r="AW7" s="19" t="e">
        <f>IF(VLOOKUP(AW$2,Table1[[#All],[RC]:[Internal Corrosion rate]],7,FALSE)="",0,100)</f>
        <v>#N/A</v>
      </c>
      <c r="AX7" s="19">
        <f>IF(VLOOKUP(AX$2,Table1[[#All],[RC]:[Internal Corrosion rate]],7,FALSE)="",0,100)</f>
        <v>100</v>
      </c>
      <c r="AY7" s="19">
        <f>IF(VLOOKUP(AY$2,Table1[[#All],[RC]:[Internal Corrosion rate]],7,FALSE)="",0,100)</f>
        <v>100</v>
      </c>
      <c r="AZ7" s="19">
        <f>IF(VLOOKUP(AZ$2,Table1[[#All],[RC]:[Internal Corrosion rate]],7,FALSE)="",0,100)</f>
        <v>100</v>
      </c>
      <c r="BA7" s="19" t="e">
        <f>IF(VLOOKUP(BA$2,Table1[[#All],[RC]:[Internal Corrosion rate]],7,FALSE)="",0,100)</f>
        <v>#N/A</v>
      </c>
      <c r="BB7" s="19">
        <f>IF(VLOOKUP(BB$2,Table1[[#All],[RC]:[Internal Corrosion rate]],7,FALSE)="",0,100)</f>
        <v>100</v>
      </c>
      <c r="BC7" s="19">
        <f>IF(VLOOKUP(BC$2,Table1[[#All],[RC]:[Internal Corrosion rate]],7,FALSE)="",0,100)</f>
        <v>100</v>
      </c>
      <c r="BD7" s="19" t="e">
        <f>IF(VLOOKUP(BD$2,Table1[[#All],[RC]:[Internal Corrosion rate]],7,FALSE)="",0,100)</f>
        <v>#N/A</v>
      </c>
      <c r="BE7" s="19">
        <f>IF(VLOOKUP(BE$2,Table1[[#All],[RC]:[Internal Corrosion rate]],7,FALSE)="",0,100)</f>
        <v>100</v>
      </c>
      <c r="BF7" s="19">
        <f>IF(VLOOKUP(BF$2,Table1[[#All],[RC]:[Internal Corrosion rate]],7,FALSE)="",0,100)</f>
        <v>100</v>
      </c>
      <c r="BG7" s="19">
        <f>IF(VLOOKUP(BG$2,Table1[[#All],[RC]:[Internal Corrosion rate]],7,FALSE)="",0,100)</f>
        <v>100</v>
      </c>
      <c r="BH7" s="19" t="e">
        <f>IF(VLOOKUP(BH$2,Table1[[#All],[RC]:[Internal Corrosion rate]],7,FALSE)="",0,100)</f>
        <v>#N/A</v>
      </c>
      <c r="BI7" s="19" t="e">
        <f>IF(VLOOKUP(BI$2,Table1[[#All],[RC]:[Internal Corrosion rate]],7,FALSE)="",0,100)</f>
        <v>#N/A</v>
      </c>
      <c r="BJ7" s="19" t="e">
        <f>IF(VLOOKUP(BJ$2,Table1[[#All],[RC]:[Internal Corrosion rate]],7,FALSE)="",0,100)</f>
        <v>#N/A</v>
      </c>
      <c r="BK7" s="19">
        <f>IF(VLOOKUP(BK$2,Table1[[#All],[RC]:[Internal Corrosion rate]],7,FALSE)="",0,100)</f>
        <v>100</v>
      </c>
      <c r="BL7" s="19">
        <f>IF(VLOOKUP(BL$2,Table1[[#All],[RC]:[Internal Corrosion rate]],7,FALSE)="",0,100)</f>
        <v>100</v>
      </c>
      <c r="BM7" s="19" t="e">
        <f>IF(VLOOKUP(BM$2,Table1[[#All],[RC]:[Internal Corrosion rate]],7,FALSE)="",0,100)</f>
        <v>#N/A</v>
      </c>
      <c r="BN7" s="19">
        <f>IF(VLOOKUP(BN$2,Table1[[#All],[RC]:[Internal Corrosion rate]],7,FALSE)="",0,100)</f>
        <v>100</v>
      </c>
      <c r="BO7" s="19">
        <f>IF(VLOOKUP(BO$2,Table1[[#All],[RC]:[Internal Corrosion rate]],7,FALSE)="",0,100)</f>
        <v>100</v>
      </c>
      <c r="BP7" s="19">
        <f>IF(VLOOKUP(BP$2,Table1[[#All],[RC]:[Internal Corrosion rate]],7,FALSE)="",0,100)</f>
        <v>100</v>
      </c>
      <c r="BQ7" s="19">
        <f>IF(VLOOKUP(BQ$2,Table1[[#All],[RC]:[Internal Corrosion rate]],7,FALSE)="",0,100)</f>
        <v>100</v>
      </c>
      <c r="BR7" s="19">
        <f>IF(VLOOKUP(BR$2,Table1[[#All],[RC]:[Internal Corrosion rate]],7,FALSE)="",0,100)</f>
        <v>100</v>
      </c>
      <c r="BS7" s="19">
        <f>IF(VLOOKUP(BS$2,Table1[[#All],[RC]:[Internal Corrosion rate]],7,FALSE)="",0,100)</f>
        <v>100</v>
      </c>
      <c r="BT7" s="19" t="e">
        <f>IF(VLOOKUP(BT$2,Table1[[#All],[RC]:[Internal Corrosion rate]],7,FALSE)="",0,100)</f>
        <v>#N/A</v>
      </c>
      <c r="BU7" s="19">
        <f>IF(VLOOKUP(BU$2,Table1[[#All],[RC]:[Internal Corrosion rate]],7,FALSE)="",0,100)</f>
        <v>100</v>
      </c>
      <c r="BV7" s="19" t="e">
        <f>IF(VLOOKUP(BV$2,Table1[[#All],[RC]:[Internal Corrosion rate]],7,FALSE)="",0,100)</f>
        <v>#N/A</v>
      </c>
      <c r="BW7" s="19">
        <f>IF(VLOOKUP(BW$2,Table1[[#All],[RC]:[Internal Corrosion rate]],7,FALSE)="",0,100)</f>
        <v>100</v>
      </c>
      <c r="BX7" s="19">
        <f>IF(VLOOKUP(BX$2,Table1[[#All],[RC]:[Internal Corrosion rate]],7,FALSE)="",0,100)</f>
        <v>100</v>
      </c>
      <c r="BY7" s="19">
        <f>IF(VLOOKUP(BY$2,Table1[[#All],[RC]:[Internal Corrosion rate]],7,FALSE)="",0,100)</f>
        <v>100</v>
      </c>
      <c r="BZ7" s="19">
        <f>IF(VLOOKUP(BZ$2,Table1[[#All],[RC]:[Internal Corrosion rate]],7,FALSE)="",0,100)</f>
        <v>100</v>
      </c>
      <c r="CA7" s="19">
        <f>IF(VLOOKUP(CA$2,Table1[[#All],[RC]:[Internal Corrosion rate]],7,FALSE)="",0,100)</f>
        <v>100</v>
      </c>
      <c r="CB7" s="19" t="e">
        <f>IF(VLOOKUP(CB$2,Table1[[#All],[RC]:[Internal Corrosion rate]],7,FALSE)="",0,100)</f>
        <v>#N/A</v>
      </c>
      <c r="CC7" s="19" t="e">
        <f>IF(VLOOKUP(CC$2,Table1[[#All],[RC]:[Internal Corrosion rate]],7,FALSE)="",0,100)</f>
        <v>#N/A</v>
      </c>
      <c r="CD7" s="19">
        <f>IF(VLOOKUP(CD$2,Table1[[#All],[RC]:[Internal Corrosion rate]],7,FALSE)="",0,100)</f>
        <v>100</v>
      </c>
      <c r="CE7" s="19">
        <f>IF(VLOOKUP(CE$2,Table1[[#All],[RC]:[Internal Corrosion rate]],7,FALSE)="",0,100)</f>
        <v>100</v>
      </c>
      <c r="CF7" s="19">
        <f>IF(VLOOKUP(CF$2,Table1[[#All],[RC]:[Internal Corrosion rate]],7,FALSE)="",0,100)</f>
        <v>100</v>
      </c>
      <c r="CG7" s="19">
        <f>IF(VLOOKUP(CG$2,Table1[[#All],[RC]:[Internal Corrosion rate]],7,FALSE)="",0,100)</f>
        <v>100</v>
      </c>
      <c r="CH7" s="19">
        <f>IF(VLOOKUP(CH$2,Table1[[#All],[RC]:[Internal Corrosion rate]],7,FALSE)="",0,100)</f>
        <v>100</v>
      </c>
      <c r="CI7" s="19">
        <f>IF(VLOOKUP(CI$2,Table1[[#All],[RC]:[Internal Corrosion rate]],7,FALSE)="",0,100)</f>
        <v>100</v>
      </c>
      <c r="CJ7" s="19">
        <f>IF(VLOOKUP(CJ$2,Table1[[#All],[RC]:[Internal Corrosion rate]],7,FALSE)="",0,100)</f>
        <v>100</v>
      </c>
      <c r="CK7" s="19">
        <f>IF(VLOOKUP(CK$2,Table1[[#All],[RC]:[Internal Corrosion rate]],7,FALSE)="",0,100)</f>
        <v>100</v>
      </c>
      <c r="CL7" s="19">
        <f>IF(VLOOKUP(CL$2,Table1[[#All],[RC]:[Internal Corrosion rate]],7,FALSE)="",0,100)</f>
        <v>100</v>
      </c>
      <c r="CM7" s="19">
        <f>IF(VLOOKUP(CM$2,Table1[[#All],[RC]:[Internal Corrosion rate]],7,FALSE)="",0,100)</f>
        <v>100</v>
      </c>
      <c r="CN7" s="19">
        <f>IF(VLOOKUP(CN$2,Table1[[#All],[RC]:[Internal Corrosion rate]],7,FALSE)="",0,100)</f>
        <v>100</v>
      </c>
      <c r="CO7" s="19">
        <f>IF(VLOOKUP(CO$2,Table1[[#All],[RC]:[Internal Corrosion rate]],7,FALSE)="",0,100)</f>
        <v>100</v>
      </c>
      <c r="CP7" s="19">
        <f>IF(VLOOKUP(CP$2,Table1[[#All],[RC]:[Internal Corrosion rate]],7,FALSE)="",0,100)</f>
        <v>100</v>
      </c>
      <c r="CQ7" s="19">
        <f>IF(VLOOKUP(CQ$2,Table1[[#All],[RC]:[Internal Corrosion rate]],7,FALSE)="",0,100)</f>
        <v>100</v>
      </c>
      <c r="CR7" s="19">
        <f>IF(VLOOKUP(CR$2,Table1[[#All],[RC]:[Internal Corrosion rate]],7,FALSE)="",0,100)</f>
        <v>100</v>
      </c>
      <c r="CS7" s="19">
        <f>IF(VLOOKUP(CS$2,Table1[[#All],[RC]:[Internal Corrosion rate]],7,FALSE)="",0,100)</f>
        <v>100</v>
      </c>
      <c r="CT7" s="19">
        <f>IF(VLOOKUP(CT$2,Table1[[#All],[RC]:[Internal Corrosion rate]],7,FALSE)="",0,100)</f>
        <v>100</v>
      </c>
      <c r="CU7" s="19">
        <f>IF(VLOOKUP(CU$2,Table1[[#All],[RC]:[Internal Corrosion rate]],7,FALSE)="",0,100)</f>
        <v>100</v>
      </c>
      <c r="CV7" s="19">
        <f>IF(VLOOKUP(CV$2,Table1[[#All],[RC]:[Internal Corrosion rate]],7,FALSE)="",0,100)</f>
        <v>100</v>
      </c>
      <c r="CW7" s="19">
        <f>IF(VLOOKUP(CW$2,Table1[[#All],[RC]:[Internal Corrosion rate]],7,FALSE)="",0,100)</f>
        <v>100</v>
      </c>
      <c r="CX7" s="19">
        <f>IF(VLOOKUP(CX$2,Table1[[#All],[RC]:[Internal Corrosion rate]],7,FALSE)="",0,100)</f>
        <v>100</v>
      </c>
      <c r="CY7" s="19">
        <f>IF(VLOOKUP(CY$2,Table1[[#All],[RC]:[Internal Corrosion rate]],7,FALSE)="",0,100)</f>
        <v>100</v>
      </c>
      <c r="CZ7" s="19">
        <f>IF(VLOOKUP(CZ$2,Table1[[#All],[RC]:[Internal Corrosion rate]],7,FALSE)="",0,100)</f>
        <v>100</v>
      </c>
      <c r="DA7" s="19">
        <f>IF(VLOOKUP(DA$2,Table1[[#All],[RC]:[Internal Corrosion rate]],7,FALSE)="",0,100)</f>
        <v>100</v>
      </c>
      <c r="DB7" s="19">
        <f>IF(VLOOKUP(DB$2,Table1[[#All],[RC]:[Internal Corrosion rate]],7,FALSE)="",0,100)</f>
        <v>100</v>
      </c>
      <c r="DC7" s="19">
        <f>IF(VLOOKUP(DC$2,Table1[[#All],[RC]:[Internal Corrosion rate]],7,FALSE)="",0,100)</f>
        <v>100</v>
      </c>
      <c r="DD7" s="19">
        <f>IF(VLOOKUP(DD$2,Table1[[#All],[RC]:[Internal Corrosion rate]],7,FALSE)="",0,100)</f>
        <v>100</v>
      </c>
      <c r="DE7" s="19">
        <f>IF(VLOOKUP(DE$2,Table1[[#All],[RC]:[Internal Corrosion rate]],7,FALSE)="",0,100)</f>
        <v>100</v>
      </c>
      <c r="DF7" s="19">
        <f>IF(VLOOKUP(DF$2,Table1[[#All],[RC]:[Internal Corrosion rate]],7,FALSE)="",0,100)</f>
        <v>100</v>
      </c>
      <c r="DG7" s="19" t="e">
        <f>IF(VLOOKUP(DG$2,Table1[[#All],[RC]:[Internal Corrosion rate]],7,FALSE)="",0,100)</f>
        <v>#N/A</v>
      </c>
      <c r="DH7" s="19" t="e">
        <f>IF(VLOOKUP(DH$2,Table1[[#All],[RC]:[Internal Corrosion rate]],7,FALSE)="",0,100)</f>
        <v>#N/A</v>
      </c>
      <c r="DI7" s="19" t="e">
        <f>IF(VLOOKUP(DI$2,Table1[[#All],[RC]:[Internal Corrosion rate]],7,FALSE)="",0,100)</f>
        <v>#N/A</v>
      </c>
      <c r="DJ7" s="19">
        <f>IF(VLOOKUP(DJ$2,Table1[[#All],[RC]:[Internal Corrosion rate]],7,FALSE)="",0,100)</f>
        <v>100</v>
      </c>
      <c r="DK7" s="19">
        <f>IF(VLOOKUP(DK$2,Table1[[#All],[RC]:[Internal Corrosion rate]],7,FALSE)="",0,100)</f>
        <v>100</v>
      </c>
      <c r="DL7" s="19">
        <f>IF(VLOOKUP(DL$2,Table1[[#All],[RC]:[Internal Corrosion rate]],7,FALSE)="",0,100)</f>
        <v>100</v>
      </c>
      <c r="DM7" s="19">
        <f>IF(VLOOKUP(DM$2,Table1[[#All],[RC]:[Internal Corrosion rate]],7,FALSE)="",0,100)</f>
        <v>100</v>
      </c>
      <c r="DN7" s="19">
        <f>IF(VLOOKUP(DN$2,Table1[[#All],[RC]:[Internal Corrosion rate]],7,FALSE)="",0,100)</f>
        <v>100</v>
      </c>
      <c r="DO7" s="19">
        <f>IF(VLOOKUP(DO$2,Table1[[#All],[RC]:[Internal Corrosion rate]],7,FALSE)="",0,100)</f>
        <v>100</v>
      </c>
      <c r="DP7" s="19" t="e">
        <f>IF(VLOOKUP(DP$2,Table1[[#All],[RC]:[Internal Corrosion rate]],7,FALSE)="",0,100)</f>
        <v>#N/A</v>
      </c>
      <c r="DQ7" s="19" t="e">
        <f>IF(VLOOKUP(DQ$2,Table1[[#All],[RC]:[Internal Corrosion rate]],7,FALSE)="",0,100)</f>
        <v>#N/A</v>
      </c>
      <c r="DR7" s="19" t="e">
        <f>IF(VLOOKUP(DR$2,Table1[[#All],[RC]:[Internal Corrosion rate]],7,FALSE)="",0,100)</f>
        <v>#N/A</v>
      </c>
      <c r="DS7" s="19" t="e">
        <f>IF(VLOOKUP(DS$2,Table1[[#All],[RC]:[Internal Corrosion rate]],7,FALSE)="",0,100)</f>
        <v>#N/A</v>
      </c>
      <c r="DT7" s="19">
        <f>IF(VLOOKUP(DT$2,Table1[[#All],[RC]:[Internal Corrosion rate]],7,FALSE)="",0,100)</f>
        <v>100</v>
      </c>
      <c r="DU7" s="19" t="e">
        <f>IF(VLOOKUP(DU$2,Table1[[#All],[RC]:[Internal Corrosion rate]],7,FALSE)="",0,100)</f>
        <v>#N/A</v>
      </c>
      <c r="DV7" s="19" t="e">
        <f>IF(VLOOKUP(DV$2,Table1[[#All],[RC]:[Internal Corrosion rate]],7,FALSE)="",0,100)</f>
        <v>#N/A</v>
      </c>
      <c r="DW7" s="19">
        <f>IF(VLOOKUP(DW$2,Table1[[#All],[RC]:[Internal Corrosion rate]],7,FALSE)="",0,100)</f>
        <v>100</v>
      </c>
      <c r="DX7" s="19">
        <f>IF(VLOOKUP(DX$2,Table1[[#All],[RC]:[Internal Corrosion rate]],7,FALSE)="",0,100)</f>
        <v>100</v>
      </c>
      <c r="DY7" s="19">
        <f>IF(VLOOKUP(DY$2,Table1[[#All],[RC]:[Internal Corrosion rate]],7,FALSE)="",0,100)</f>
        <v>100</v>
      </c>
      <c r="DZ7" s="19">
        <f>IF(VLOOKUP(DZ$2,Table1[[#All],[RC]:[Internal Corrosion rate]],7,FALSE)="",0,100)</f>
        <v>100</v>
      </c>
      <c r="EA7" s="19" t="e">
        <f>IF(VLOOKUP(EA$2,Table1[[#All],[RC]:[Internal Corrosion rate]],7,FALSE)="",0,100)</f>
        <v>#N/A</v>
      </c>
      <c r="EB7" s="19" t="e">
        <f>IF(VLOOKUP(EB$2,Table1[[#All],[RC]:[Internal Corrosion rate]],7,FALSE)="",0,100)</f>
        <v>#N/A</v>
      </c>
      <c r="EC7" s="19">
        <f>IF(VLOOKUP(EC$2,Table1[[#All],[RC]:[Internal Corrosion rate]],7,FALSE)="",0,100)</f>
        <v>100</v>
      </c>
      <c r="ED7" s="19">
        <f>IF(VLOOKUP(ED$2,Table1[[#All],[RC]:[Internal Corrosion rate]],7,FALSE)="",0,100)</f>
        <v>100</v>
      </c>
      <c r="EE7" s="19" t="e">
        <f>IF(VLOOKUP(EE$2,Table1[[#All],[RC]:[Internal Corrosion rate]],7,FALSE)="",0,100)</f>
        <v>#N/A</v>
      </c>
      <c r="EF7" s="19">
        <f>IF(VLOOKUP(EF$2,Table1[[#All],[RC]:[Internal Corrosion rate]],7,FALSE)="",0,100)</f>
        <v>100</v>
      </c>
      <c r="EG7" s="19">
        <f>IF(VLOOKUP(EG$2,Table1[[#All],[RC]:[Internal Corrosion rate]],7,FALSE)="",0,100)</f>
        <v>100</v>
      </c>
      <c r="EH7" s="19">
        <f>IF(VLOOKUP(EH$2,Table1[[#All],[RC]:[Internal Corrosion rate]],7,FALSE)="",0,100)</f>
        <v>100</v>
      </c>
      <c r="EI7" s="19">
        <f>IF(VLOOKUP(EI$2,Table1[[#All],[RC]:[Internal Corrosion rate]],7,FALSE)="",0,100)</f>
        <v>100</v>
      </c>
      <c r="EJ7" s="19">
        <f>IF(VLOOKUP(EJ$2,Table1[[#All],[RC]:[Internal Corrosion rate]],7,FALSE)="",0,100)</f>
        <v>100</v>
      </c>
      <c r="EK7" s="19" t="e">
        <f>IF(VLOOKUP(EK$2,Table1[[#All],[RC]:[Internal Corrosion rate]],7,FALSE)="",0,100)</f>
        <v>#N/A</v>
      </c>
      <c r="EL7" s="19" t="e">
        <f>IF(VLOOKUP(EL$2,Table1[[#All],[RC]:[Internal Corrosion rate]],7,FALSE)="",0,100)</f>
        <v>#N/A</v>
      </c>
      <c r="EM7" s="19" t="e">
        <f>IF(VLOOKUP(EM$2,Table1[[#All],[RC]:[Internal Corrosion rate]],7,FALSE)="",0,100)</f>
        <v>#N/A</v>
      </c>
      <c r="EN7" s="19" t="e">
        <f>IF(VLOOKUP(EN$2,Table1[[#All],[RC]:[Internal Corrosion rate]],7,FALSE)="",0,100)</f>
        <v>#N/A</v>
      </c>
      <c r="EO7" s="19" t="e">
        <f>IF(VLOOKUP(EO$2,Table1[[#All],[RC]:[Internal Corrosion rate]],7,FALSE)="",0,100)</f>
        <v>#N/A</v>
      </c>
      <c r="EP7" s="19" t="e">
        <f>IF(VLOOKUP(EP$2,Table1[[#All],[RC]:[Internal Corrosion rate]],7,FALSE)="",0,100)</f>
        <v>#N/A</v>
      </c>
      <c r="EQ7" s="19" t="e">
        <f>IF(VLOOKUP(EQ$2,Table1[[#All],[RC]:[Internal Corrosion rate]],7,FALSE)="",0,100)</f>
        <v>#N/A</v>
      </c>
      <c r="ER7" s="19" t="e">
        <f>IF(VLOOKUP(ER$2,Table1[[#All],[RC]:[Internal Corrosion rate]],7,FALSE)="",0,100)</f>
        <v>#N/A</v>
      </c>
      <c r="ES7" s="19">
        <f>IF(VLOOKUP(ES$2,Table1[[#All],[RC]:[Internal Corrosion rate]],7,FALSE)="",0,100)</f>
        <v>100</v>
      </c>
      <c r="ET7" s="19">
        <f>IF(VLOOKUP(ET$2,Table1[[#All],[RC]:[Internal Corrosion rate]],7,FALSE)="",0,100)</f>
        <v>100</v>
      </c>
      <c r="EU7" s="19">
        <f>IF(VLOOKUP(EU$2,Table1[[#All],[RC]:[Internal Corrosion rate]],7,FALSE)="",0,100)</f>
        <v>100</v>
      </c>
      <c r="EV7" s="19">
        <f>IF(VLOOKUP(EV$2,Table1[[#All],[RC]:[Internal Corrosion rate]],7,FALSE)="",0,100)</f>
        <v>100</v>
      </c>
      <c r="EW7" s="19">
        <f>IF(VLOOKUP(EW$2,Table1[[#All],[RC]:[Internal Corrosion rate]],7,FALSE)="",0,100)</f>
        <v>100</v>
      </c>
      <c r="EX7" s="19">
        <f>IF(VLOOKUP(EX$2,Table1[[#All],[RC]:[Internal Corrosion rate]],7,FALSE)="",0,100)</f>
        <v>100</v>
      </c>
      <c r="EY7" s="19" t="e">
        <f>IF(VLOOKUP(EY$2,Table1[[#All],[RC]:[Internal Corrosion rate]],7,FALSE)="",0,100)</f>
        <v>#N/A</v>
      </c>
      <c r="EZ7" s="19" t="e">
        <f>IF(VLOOKUP(EZ$2,Table1[[#All],[RC]:[Internal Corrosion rate]],7,FALSE)="",0,100)</f>
        <v>#N/A</v>
      </c>
      <c r="FA7" s="19" t="e">
        <f>IF(VLOOKUP(FA$2,Table1[[#All],[RC]:[Internal Corrosion rate]],7,FALSE)="",0,100)</f>
        <v>#N/A</v>
      </c>
      <c r="FB7" s="19">
        <f>IF(VLOOKUP(FB$2,Table1[[#All],[RC]:[Internal Corrosion rate]],7,FALSE)="",0,100)</f>
        <v>100</v>
      </c>
      <c r="FC7" s="19" t="e">
        <f>IF(VLOOKUP(FC$2,Table1[[#All],[RC]:[Internal Corrosion rate]],7,FALSE)="",0,100)</f>
        <v>#N/A</v>
      </c>
      <c r="FD7" s="19">
        <f>IF(VLOOKUP(FD$2,Table1[[#All],[RC]:[Internal Corrosion rate]],7,FALSE)="",0,100)</f>
        <v>100</v>
      </c>
      <c r="FE7" s="19">
        <f>IF(VLOOKUP(FE$2,Table1[[#All],[RC]:[Internal Corrosion rate]],7,FALSE)="",0,100)</f>
        <v>100</v>
      </c>
      <c r="FF7" s="19">
        <f>IF(VLOOKUP(FF$2,Table1[[#All],[RC]:[Internal Corrosion rate]],7,FALSE)="",0,100)</f>
        <v>100</v>
      </c>
      <c r="FG7" s="19">
        <f>IF(VLOOKUP(FG$2,Table1[[#All],[RC]:[Internal Corrosion rate]],7,FALSE)="",0,100)</f>
        <v>100</v>
      </c>
      <c r="FH7" s="19" t="e">
        <f>IF(VLOOKUP(FH$2,Table1[[#All],[RC]:[Internal Corrosion rate]],7,FALSE)="",0,100)</f>
        <v>#N/A</v>
      </c>
      <c r="FI7" s="19" t="e">
        <f>IF(VLOOKUP(FI$2,Table1[[#All],[RC]:[Internal Corrosion rate]],7,FALSE)="",0,100)</f>
        <v>#N/A</v>
      </c>
      <c r="FJ7" s="19">
        <f>IF(VLOOKUP(FJ$2,Table1[[#All],[RC]:[Internal Corrosion rate]],7,FALSE)="",0,100)</f>
        <v>100</v>
      </c>
      <c r="FK7" s="19">
        <f>IF(VLOOKUP(FK$2,Table1[[#All],[RC]:[Internal Corrosion rate]],7,FALSE)="",0,100)</f>
        <v>100</v>
      </c>
      <c r="FL7" s="19" t="e">
        <f>IF(VLOOKUP(FL$2,Table1[[#All],[RC]:[Internal Corrosion rate]],7,FALSE)="",0,100)</f>
        <v>#N/A</v>
      </c>
      <c r="FM7" s="19" t="e">
        <f>IF(VLOOKUP(FM$2,Table1[[#All],[RC]:[Internal Corrosion rate]],7,FALSE)="",0,100)</f>
        <v>#N/A</v>
      </c>
      <c r="FN7" s="19" t="e">
        <f>IF(VLOOKUP(FN$2,Table1[[#All],[RC]:[Internal Corrosion rate]],7,FALSE)="",0,100)</f>
        <v>#N/A</v>
      </c>
      <c r="FO7" s="19">
        <f>IF(VLOOKUP(FO$2,Table1[[#All],[RC]:[Internal Corrosion rate]],7,FALSE)="",0,100)</f>
        <v>100</v>
      </c>
      <c r="FP7" s="19">
        <f>IF(VLOOKUP(FP$2,Table1[[#All],[RC]:[Internal Corrosion rate]],7,FALSE)="",0,100)</f>
        <v>100</v>
      </c>
      <c r="FQ7" s="19">
        <f>IF(VLOOKUP(FQ$2,Table1[[#All],[RC]:[Internal Corrosion rate]],7,FALSE)="",0,100)</f>
        <v>100</v>
      </c>
      <c r="FR7" s="19">
        <f>IF(VLOOKUP(FR$2,Table1[[#All],[RC]:[Internal Corrosion rate]],7,FALSE)="",0,100)</f>
        <v>100</v>
      </c>
      <c r="FS7" s="19" t="e">
        <f>IF(VLOOKUP(FS$2,Table1[[#All],[RC]:[Internal Corrosion rate]],7,FALSE)="",0,100)</f>
        <v>#N/A</v>
      </c>
      <c r="FT7" s="19" t="e">
        <f>IF(VLOOKUP(FT$2,Table1[[#All],[RC]:[Internal Corrosion rate]],7,FALSE)="",0,100)</f>
        <v>#N/A</v>
      </c>
      <c r="FU7" s="19" t="e">
        <f>IF(VLOOKUP(FU$2,Table1[[#All],[RC]:[Internal Corrosion rate]],7,FALSE)="",0,100)</f>
        <v>#N/A</v>
      </c>
      <c r="FV7" s="19" t="e">
        <f>IF(VLOOKUP(FV$2,Table1[[#All],[RC]:[Internal Corrosion rate]],7,FALSE)="",0,100)</f>
        <v>#N/A</v>
      </c>
    </row>
    <row r="8" spans="1:178">
      <c r="A8" s="60" t="s">
        <v>23</v>
      </c>
      <c r="B8" s="19" t="e">
        <f>IF(VLOOKUP(B$2,Table1[[#All],[RC]:[Internal Corrosion rate]],8,FALSE)="",0,100)</f>
        <v>#N/A</v>
      </c>
      <c r="C8" s="19" t="e">
        <f>IF(VLOOKUP(C$2,Table1[[#All],[RC]:[Internal Corrosion rate]],8,FALSE)="",0,100)</f>
        <v>#N/A</v>
      </c>
      <c r="D8" s="19">
        <f>IF(VLOOKUP(D$2,Table1[[#All],[RC]:[Internal Corrosion rate]],8,FALSE)="",0,100)</f>
        <v>100</v>
      </c>
      <c r="E8" s="19">
        <f>IF(VLOOKUP(E$2,Table1[[#All],[RC]:[Internal Corrosion rate]],8,FALSE)="",0,100)</f>
        <v>100</v>
      </c>
      <c r="F8" s="19">
        <f>IF(VLOOKUP(F$2,Table1[[#All],[RC]:[Internal Corrosion rate]],8,FALSE)="",0,100)</f>
        <v>100</v>
      </c>
      <c r="G8" s="19">
        <f>IF(VLOOKUP(G$2,Table1[[#All],[RC]:[Internal Corrosion rate]],8,FALSE)="",0,100)</f>
        <v>100</v>
      </c>
      <c r="H8" s="19">
        <f>IF(VLOOKUP(H$2,Table1[[#All],[RC]:[Internal Corrosion rate]],8,FALSE)="",0,100)</f>
        <v>100</v>
      </c>
      <c r="I8" s="19">
        <f>IF(VLOOKUP(I$2,Table1[[#All],[RC]:[Internal Corrosion rate]],8,FALSE)="",0,100)</f>
        <v>100</v>
      </c>
      <c r="J8" s="19">
        <f>IF(VLOOKUP(J$2,Table1[[#All],[RC]:[Internal Corrosion rate]],8,FALSE)="",0,100)</f>
        <v>100</v>
      </c>
      <c r="K8" s="19">
        <f>IF(VLOOKUP(K$2,Table1[[#All],[RC]:[Internal Corrosion rate]],8,FALSE)="",0,100)</f>
        <v>100</v>
      </c>
      <c r="L8" s="19">
        <f>IF(VLOOKUP(L$2,Table1[[#All],[RC]:[Internal Corrosion rate]],8,FALSE)="",0,100)</f>
        <v>100</v>
      </c>
      <c r="M8" s="19" t="e">
        <f>IF(VLOOKUP(M$2,Table1[[#All],[RC]:[Internal Corrosion rate]],8,FALSE)="",0,100)</f>
        <v>#N/A</v>
      </c>
      <c r="N8" s="19">
        <f>IF(VLOOKUP(N$2,Table1[[#All],[RC]:[Internal Corrosion rate]],8,FALSE)="",0,100)</f>
        <v>100</v>
      </c>
      <c r="O8" s="19">
        <f>IF(VLOOKUP(O$2,Table1[[#All],[RC]:[Internal Corrosion rate]],8,FALSE)="",0,100)</f>
        <v>100</v>
      </c>
      <c r="P8" s="19">
        <f>IF(VLOOKUP(P$2,Table1[[#All],[RC]:[Internal Corrosion rate]],8,FALSE)="",0,100)</f>
        <v>100</v>
      </c>
      <c r="Q8" s="19">
        <f>IF(VLOOKUP(Q$2,Table1[[#All],[RC]:[Internal Corrosion rate]],8,FALSE)="",0,100)</f>
        <v>100</v>
      </c>
      <c r="R8" s="19">
        <f>IF(VLOOKUP(R$2,Table1[[#All],[RC]:[Internal Corrosion rate]],8,FALSE)="",0,100)</f>
        <v>100</v>
      </c>
      <c r="S8" s="19">
        <f>IF(VLOOKUP(S$2,Table1[[#All],[RC]:[Internal Corrosion rate]],8,FALSE)="",0,100)</f>
        <v>100</v>
      </c>
      <c r="T8" s="19">
        <f>IF(VLOOKUP(T$2,Table1[[#All],[RC]:[Internal Corrosion rate]],8,FALSE)="",0,100)</f>
        <v>100</v>
      </c>
      <c r="U8" s="19">
        <f>IF(VLOOKUP(U$2,Table1[[#All],[RC]:[Internal Corrosion rate]],8,FALSE)="",0,100)</f>
        <v>100</v>
      </c>
      <c r="V8" s="19">
        <f>IF(VLOOKUP(V$2,Table1[[#All],[RC]:[Internal Corrosion rate]],8,FALSE)="",0,100)</f>
        <v>100</v>
      </c>
      <c r="W8" s="19">
        <f>IF(VLOOKUP(W$2,Table1[[#All],[RC]:[Internal Corrosion rate]],8,FALSE)="",0,100)</f>
        <v>100</v>
      </c>
      <c r="X8" s="19">
        <f>IF(VLOOKUP(X$2,Table1[[#All],[RC]:[Internal Corrosion rate]],8,FALSE)="",0,100)</f>
        <v>100</v>
      </c>
      <c r="Y8" s="19" t="e">
        <f>IF(VLOOKUP(Y$2,Table1[[#All],[RC]:[Internal Corrosion rate]],8,FALSE)="",0,100)</f>
        <v>#N/A</v>
      </c>
      <c r="Z8" s="19" t="e">
        <f>IF(VLOOKUP(Z$2,Table1[[#All],[RC]:[Internal Corrosion rate]],8,FALSE)="",0,100)</f>
        <v>#N/A</v>
      </c>
      <c r="AA8" s="19">
        <f>IF(VLOOKUP(AA$2,Table1[[#All],[RC]:[Internal Corrosion rate]],8,FALSE)="",0,100)</f>
        <v>100</v>
      </c>
      <c r="AB8" s="19">
        <f>IF(VLOOKUP(AB$2,Table1[[#All],[RC]:[Internal Corrosion rate]],8,FALSE)="",0,100)</f>
        <v>100</v>
      </c>
      <c r="AC8" s="19">
        <f>IF(VLOOKUP(AC$2,Table1[[#All],[RC]:[Internal Corrosion rate]],8,FALSE)="",0,100)</f>
        <v>100</v>
      </c>
      <c r="AD8" s="19">
        <f>IF(VLOOKUP(AD$2,Table1[[#All],[RC]:[Internal Corrosion rate]],8,FALSE)="",0,100)</f>
        <v>100</v>
      </c>
      <c r="AE8" s="19" t="e">
        <f>IF(VLOOKUP(AE$2,Table1[[#All],[RC]:[Internal Corrosion rate]],8,FALSE)="",0,100)</f>
        <v>#N/A</v>
      </c>
      <c r="AF8" s="19">
        <f>IF(VLOOKUP(AF$2,Table1[[#All],[RC]:[Internal Corrosion rate]],8,FALSE)="",0,100)</f>
        <v>100</v>
      </c>
      <c r="AG8" s="19">
        <f>IF(VLOOKUP(AG$2,Table1[[#All],[RC]:[Internal Corrosion rate]],8,FALSE)="",0,100)</f>
        <v>100</v>
      </c>
      <c r="AH8" s="19">
        <f>IF(VLOOKUP(AH$2,Table1[[#All],[RC]:[Internal Corrosion rate]],8,FALSE)="",0,100)</f>
        <v>100</v>
      </c>
      <c r="AI8" s="19">
        <f>IF(VLOOKUP(AI$2,Table1[[#All],[RC]:[Internal Corrosion rate]],8,FALSE)="",0,100)</f>
        <v>100</v>
      </c>
      <c r="AJ8" s="19">
        <f>IF(VLOOKUP(AJ$2,Table1[[#All],[RC]:[Internal Corrosion rate]],8,FALSE)="",0,100)</f>
        <v>100</v>
      </c>
      <c r="AK8" s="19">
        <f>IF(VLOOKUP(AK$2,Table1[[#All],[RC]:[Internal Corrosion rate]],8,FALSE)="",0,100)</f>
        <v>100</v>
      </c>
      <c r="AL8" s="19" t="e">
        <f>IF(VLOOKUP(AL$2,Table1[[#All],[RC]:[Internal Corrosion rate]],8,FALSE)="",0,100)</f>
        <v>#N/A</v>
      </c>
      <c r="AM8" s="19" t="e">
        <f>IF(VLOOKUP(AM$2,Table1[[#All],[RC]:[Internal Corrosion rate]],8,FALSE)="",0,100)</f>
        <v>#N/A</v>
      </c>
      <c r="AN8" s="19" t="e">
        <f>IF(VLOOKUP(AN$2,Table1[[#All],[RC]:[Internal Corrosion rate]],8,FALSE)="",0,100)</f>
        <v>#N/A</v>
      </c>
      <c r="AO8" s="19">
        <f>IF(VLOOKUP(AO$2,Table1[[#All],[RC]:[Internal Corrosion rate]],8,FALSE)="",0,100)</f>
        <v>100</v>
      </c>
      <c r="AP8" s="19">
        <f>IF(VLOOKUP(AP$2,Table1[[#All],[RC]:[Internal Corrosion rate]],8,FALSE)="",0,100)</f>
        <v>100</v>
      </c>
      <c r="AQ8" s="19" t="e">
        <f>IF(VLOOKUP(AQ$2,Table1[[#All],[RC]:[Internal Corrosion rate]],8,FALSE)="",0,100)</f>
        <v>#N/A</v>
      </c>
      <c r="AR8" s="19" t="e">
        <f>IF(VLOOKUP(AR$2,Table1[[#All],[RC]:[Internal Corrosion rate]],8,FALSE)="",0,100)</f>
        <v>#N/A</v>
      </c>
      <c r="AS8" s="19" t="e">
        <f>IF(VLOOKUP(AS$2,Table1[[#All],[RC]:[Internal Corrosion rate]],8,FALSE)="",0,100)</f>
        <v>#N/A</v>
      </c>
      <c r="AT8" s="19">
        <f>IF(VLOOKUP(AT$2,Table1[[#All],[RC]:[Internal Corrosion rate]],8,FALSE)="",0,100)</f>
        <v>100</v>
      </c>
      <c r="AU8" s="19">
        <f>IF(VLOOKUP(AU$2,Table1[[#All],[RC]:[Internal Corrosion rate]],8,FALSE)="",0,100)</f>
        <v>100</v>
      </c>
      <c r="AV8" s="19">
        <f>IF(VLOOKUP(AV$2,Table1[[#All],[RC]:[Internal Corrosion rate]],8,FALSE)="",0,100)</f>
        <v>100</v>
      </c>
      <c r="AW8" s="19" t="e">
        <f>IF(VLOOKUP(AW$2,Table1[[#All],[RC]:[Internal Corrosion rate]],8,FALSE)="",0,100)</f>
        <v>#N/A</v>
      </c>
      <c r="AX8" s="19">
        <f>IF(VLOOKUP(AX$2,Table1[[#All],[RC]:[Internal Corrosion rate]],8,FALSE)="",0,100)</f>
        <v>100</v>
      </c>
      <c r="AY8" s="19">
        <f>IF(VLOOKUP(AY$2,Table1[[#All],[RC]:[Internal Corrosion rate]],8,FALSE)="",0,100)</f>
        <v>100</v>
      </c>
      <c r="AZ8" s="19">
        <f>IF(VLOOKUP(AZ$2,Table1[[#All],[RC]:[Internal Corrosion rate]],8,FALSE)="",0,100)</f>
        <v>100</v>
      </c>
      <c r="BA8" s="19" t="e">
        <f>IF(VLOOKUP(BA$2,Table1[[#All],[RC]:[Internal Corrosion rate]],8,FALSE)="",0,100)</f>
        <v>#N/A</v>
      </c>
      <c r="BB8" s="19">
        <f>IF(VLOOKUP(BB$2,Table1[[#All],[RC]:[Internal Corrosion rate]],8,FALSE)="",0,100)</f>
        <v>100</v>
      </c>
      <c r="BC8" s="19">
        <f>IF(VLOOKUP(BC$2,Table1[[#All],[RC]:[Internal Corrosion rate]],8,FALSE)="",0,100)</f>
        <v>100</v>
      </c>
      <c r="BD8" s="19" t="e">
        <f>IF(VLOOKUP(BD$2,Table1[[#All],[RC]:[Internal Corrosion rate]],8,FALSE)="",0,100)</f>
        <v>#N/A</v>
      </c>
      <c r="BE8" s="19">
        <f>IF(VLOOKUP(BE$2,Table1[[#All],[RC]:[Internal Corrosion rate]],8,FALSE)="",0,100)</f>
        <v>100</v>
      </c>
      <c r="BF8" s="19">
        <f>IF(VLOOKUP(BF$2,Table1[[#All],[RC]:[Internal Corrosion rate]],8,FALSE)="",0,100)</f>
        <v>100</v>
      </c>
      <c r="BG8" s="19">
        <f>IF(VLOOKUP(BG$2,Table1[[#All],[RC]:[Internal Corrosion rate]],8,FALSE)="",0,100)</f>
        <v>100</v>
      </c>
      <c r="BH8" s="19" t="e">
        <f>IF(VLOOKUP(BH$2,Table1[[#All],[RC]:[Internal Corrosion rate]],8,FALSE)="",0,100)</f>
        <v>#N/A</v>
      </c>
      <c r="BI8" s="19" t="e">
        <f>IF(VLOOKUP(BI$2,Table1[[#All],[RC]:[Internal Corrosion rate]],8,FALSE)="",0,100)</f>
        <v>#N/A</v>
      </c>
      <c r="BJ8" s="19" t="e">
        <f>IF(VLOOKUP(BJ$2,Table1[[#All],[RC]:[Internal Corrosion rate]],8,FALSE)="",0,100)</f>
        <v>#N/A</v>
      </c>
      <c r="BK8" s="19">
        <f>IF(VLOOKUP(BK$2,Table1[[#All],[RC]:[Internal Corrosion rate]],8,FALSE)="",0,100)</f>
        <v>100</v>
      </c>
      <c r="BL8" s="19">
        <f>IF(VLOOKUP(BL$2,Table1[[#All],[RC]:[Internal Corrosion rate]],8,FALSE)="",0,100)</f>
        <v>100</v>
      </c>
      <c r="BM8" s="19" t="e">
        <f>IF(VLOOKUP(BM$2,Table1[[#All],[RC]:[Internal Corrosion rate]],8,FALSE)="",0,100)</f>
        <v>#N/A</v>
      </c>
      <c r="BN8" s="19">
        <f>IF(VLOOKUP(BN$2,Table1[[#All],[RC]:[Internal Corrosion rate]],8,FALSE)="",0,100)</f>
        <v>100</v>
      </c>
      <c r="BO8" s="19">
        <f>IF(VLOOKUP(BO$2,Table1[[#All],[RC]:[Internal Corrosion rate]],8,FALSE)="",0,100)</f>
        <v>100</v>
      </c>
      <c r="BP8" s="19">
        <f>IF(VLOOKUP(BP$2,Table1[[#All],[RC]:[Internal Corrosion rate]],8,FALSE)="",0,100)</f>
        <v>100</v>
      </c>
      <c r="BQ8" s="19">
        <f>IF(VLOOKUP(BQ$2,Table1[[#All],[RC]:[Internal Corrosion rate]],8,FALSE)="",0,100)</f>
        <v>100</v>
      </c>
      <c r="BR8" s="19">
        <f>IF(VLOOKUP(BR$2,Table1[[#All],[RC]:[Internal Corrosion rate]],8,FALSE)="",0,100)</f>
        <v>100</v>
      </c>
      <c r="BS8" s="19">
        <f>IF(VLOOKUP(BS$2,Table1[[#All],[RC]:[Internal Corrosion rate]],8,FALSE)="",0,100)</f>
        <v>100</v>
      </c>
      <c r="BT8" s="19" t="e">
        <f>IF(VLOOKUP(BT$2,Table1[[#All],[RC]:[Internal Corrosion rate]],8,FALSE)="",0,100)</f>
        <v>#N/A</v>
      </c>
      <c r="BU8" s="19">
        <f>IF(VLOOKUP(BU$2,Table1[[#All],[RC]:[Internal Corrosion rate]],8,FALSE)="",0,100)</f>
        <v>100</v>
      </c>
      <c r="BV8" s="19" t="e">
        <f>IF(VLOOKUP(BV$2,Table1[[#All],[RC]:[Internal Corrosion rate]],8,FALSE)="",0,100)</f>
        <v>#N/A</v>
      </c>
      <c r="BW8" s="19">
        <f>IF(VLOOKUP(BW$2,Table1[[#All],[RC]:[Internal Corrosion rate]],8,FALSE)="",0,100)</f>
        <v>100</v>
      </c>
      <c r="BX8" s="19">
        <f>IF(VLOOKUP(BX$2,Table1[[#All],[RC]:[Internal Corrosion rate]],8,FALSE)="",0,100)</f>
        <v>100</v>
      </c>
      <c r="BY8" s="19">
        <f>IF(VLOOKUP(BY$2,Table1[[#All],[RC]:[Internal Corrosion rate]],8,FALSE)="",0,100)</f>
        <v>100</v>
      </c>
      <c r="BZ8" s="19">
        <f>IF(VLOOKUP(BZ$2,Table1[[#All],[RC]:[Internal Corrosion rate]],8,FALSE)="",0,100)</f>
        <v>100</v>
      </c>
      <c r="CA8" s="19">
        <f>IF(VLOOKUP(CA$2,Table1[[#All],[RC]:[Internal Corrosion rate]],8,FALSE)="",0,100)</f>
        <v>100</v>
      </c>
      <c r="CB8" s="19" t="e">
        <f>IF(VLOOKUP(CB$2,Table1[[#All],[RC]:[Internal Corrosion rate]],8,FALSE)="",0,100)</f>
        <v>#N/A</v>
      </c>
      <c r="CC8" s="19" t="e">
        <f>IF(VLOOKUP(CC$2,Table1[[#All],[RC]:[Internal Corrosion rate]],8,FALSE)="",0,100)</f>
        <v>#N/A</v>
      </c>
      <c r="CD8" s="19">
        <f>IF(VLOOKUP(CD$2,Table1[[#All],[RC]:[Internal Corrosion rate]],8,FALSE)="",0,100)</f>
        <v>100</v>
      </c>
      <c r="CE8" s="19">
        <f>IF(VLOOKUP(CE$2,Table1[[#All],[RC]:[Internal Corrosion rate]],8,FALSE)="",0,100)</f>
        <v>100</v>
      </c>
      <c r="CF8" s="19">
        <f>IF(VLOOKUP(CF$2,Table1[[#All],[RC]:[Internal Corrosion rate]],8,FALSE)="",0,100)</f>
        <v>100</v>
      </c>
      <c r="CG8" s="19">
        <f>IF(VLOOKUP(CG$2,Table1[[#All],[RC]:[Internal Corrosion rate]],8,FALSE)="",0,100)</f>
        <v>100</v>
      </c>
      <c r="CH8" s="19">
        <f>IF(VLOOKUP(CH$2,Table1[[#All],[RC]:[Internal Corrosion rate]],8,FALSE)="",0,100)</f>
        <v>100</v>
      </c>
      <c r="CI8" s="19">
        <f>IF(VLOOKUP(CI$2,Table1[[#All],[RC]:[Internal Corrosion rate]],8,FALSE)="",0,100)</f>
        <v>100</v>
      </c>
      <c r="CJ8" s="19">
        <f>IF(VLOOKUP(CJ$2,Table1[[#All],[RC]:[Internal Corrosion rate]],8,FALSE)="",0,100)</f>
        <v>100</v>
      </c>
      <c r="CK8" s="19">
        <f>IF(VLOOKUP(CK$2,Table1[[#All],[RC]:[Internal Corrosion rate]],8,FALSE)="",0,100)</f>
        <v>100</v>
      </c>
      <c r="CL8" s="19">
        <f>IF(VLOOKUP(CL$2,Table1[[#All],[RC]:[Internal Corrosion rate]],8,FALSE)="",0,100)</f>
        <v>100</v>
      </c>
      <c r="CM8" s="19">
        <f>IF(VLOOKUP(CM$2,Table1[[#All],[RC]:[Internal Corrosion rate]],8,FALSE)="",0,100)</f>
        <v>100</v>
      </c>
      <c r="CN8" s="19">
        <f>IF(VLOOKUP(CN$2,Table1[[#All],[RC]:[Internal Corrosion rate]],8,FALSE)="",0,100)</f>
        <v>100</v>
      </c>
      <c r="CO8" s="19">
        <f>IF(VLOOKUP(CO$2,Table1[[#All],[RC]:[Internal Corrosion rate]],8,FALSE)="",0,100)</f>
        <v>100</v>
      </c>
      <c r="CP8" s="19">
        <f>IF(VLOOKUP(CP$2,Table1[[#All],[RC]:[Internal Corrosion rate]],8,FALSE)="",0,100)</f>
        <v>100</v>
      </c>
      <c r="CQ8" s="19">
        <f>IF(VLOOKUP(CQ$2,Table1[[#All],[RC]:[Internal Corrosion rate]],8,FALSE)="",0,100)</f>
        <v>100</v>
      </c>
      <c r="CR8" s="19">
        <f>IF(VLOOKUP(CR$2,Table1[[#All],[RC]:[Internal Corrosion rate]],8,FALSE)="",0,100)</f>
        <v>100</v>
      </c>
      <c r="CS8" s="19">
        <f>IF(VLOOKUP(CS$2,Table1[[#All],[RC]:[Internal Corrosion rate]],8,FALSE)="",0,100)</f>
        <v>100</v>
      </c>
      <c r="CT8" s="19">
        <f>IF(VLOOKUP(CT$2,Table1[[#All],[RC]:[Internal Corrosion rate]],8,FALSE)="",0,100)</f>
        <v>100</v>
      </c>
      <c r="CU8" s="19">
        <f>IF(VLOOKUP(CU$2,Table1[[#All],[RC]:[Internal Corrosion rate]],8,FALSE)="",0,100)</f>
        <v>100</v>
      </c>
      <c r="CV8" s="19">
        <f>IF(VLOOKUP(CV$2,Table1[[#All],[RC]:[Internal Corrosion rate]],8,FALSE)="",0,100)</f>
        <v>100</v>
      </c>
      <c r="CW8" s="19">
        <f>IF(VLOOKUP(CW$2,Table1[[#All],[RC]:[Internal Corrosion rate]],8,FALSE)="",0,100)</f>
        <v>100</v>
      </c>
      <c r="CX8" s="19">
        <f>IF(VLOOKUP(CX$2,Table1[[#All],[RC]:[Internal Corrosion rate]],8,FALSE)="",0,100)</f>
        <v>100</v>
      </c>
      <c r="CY8" s="19">
        <f>IF(VLOOKUP(CY$2,Table1[[#All],[RC]:[Internal Corrosion rate]],8,FALSE)="",0,100)</f>
        <v>100</v>
      </c>
      <c r="CZ8" s="19">
        <f>IF(VLOOKUP(CZ$2,Table1[[#All],[RC]:[Internal Corrosion rate]],8,FALSE)="",0,100)</f>
        <v>100</v>
      </c>
      <c r="DA8" s="19">
        <f>IF(VLOOKUP(DA$2,Table1[[#All],[RC]:[Internal Corrosion rate]],8,FALSE)="",0,100)</f>
        <v>100</v>
      </c>
      <c r="DB8" s="19">
        <f>IF(VLOOKUP(DB$2,Table1[[#All],[RC]:[Internal Corrosion rate]],8,FALSE)="",0,100)</f>
        <v>100</v>
      </c>
      <c r="DC8" s="19">
        <f>IF(VLOOKUP(DC$2,Table1[[#All],[RC]:[Internal Corrosion rate]],8,FALSE)="",0,100)</f>
        <v>100</v>
      </c>
      <c r="DD8" s="19">
        <f>IF(VLOOKUP(DD$2,Table1[[#All],[RC]:[Internal Corrosion rate]],8,FALSE)="",0,100)</f>
        <v>100</v>
      </c>
      <c r="DE8" s="19">
        <f>IF(VLOOKUP(DE$2,Table1[[#All],[RC]:[Internal Corrosion rate]],8,FALSE)="",0,100)</f>
        <v>100</v>
      </c>
      <c r="DF8" s="19">
        <f>IF(VLOOKUP(DF$2,Table1[[#All],[RC]:[Internal Corrosion rate]],8,FALSE)="",0,100)</f>
        <v>100</v>
      </c>
      <c r="DG8" s="19" t="e">
        <f>IF(VLOOKUP(DG$2,Table1[[#All],[RC]:[Internal Corrosion rate]],8,FALSE)="",0,100)</f>
        <v>#N/A</v>
      </c>
      <c r="DH8" s="19" t="e">
        <f>IF(VLOOKUP(DH$2,Table1[[#All],[RC]:[Internal Corrosion rate]],8,FALSE)="",0,100)</f>
        <v>#N/A</v>
      </c>
      <c r="DI8" s="19" t="e">
        <f>IF(VLOOKUP(DI$2,Table1[[#All],[RC]:[Internal Corrosion rate]],8,FALSE)="",0,100)</f>
        <v>#N/A</v>
      </c>
      <c r="DJ8" s="19">
        <f>IF(VLOOKUP(DJ$2,Table1[[#All],[RC]:[Internal Corrosion rate]],8,FALSE)="",0,100)</f>
        <v>100</v>
      </c>
      <c r="DK8" s="19">
        <f>IF(VLOOKUP(DK$2,Table1[[#All],[RC]:[Internal Corrosion rate]],8,FALSE)="",0,100)</f>
        <v>100</v>
      </c>
      <c r="DL8" s="19">
        <f>IF(VLOOKUP(DL$2,Table1[[#All],[RC]:[Internal Corrosion rate]],8,FALSE)="",0,100)</f>
        <v>100</v>
      </c>
      <c r="DM8" s="19">
        <f>IF(VLOOKUP(DM$2,Table1[[#All],[RC]:[Internal Corrosion rate]],8,FALSE)="",0,100)</f>
        <v>100</v>
      </c>
      <c r="DN8" s="19">
        <f>IF(VLOOKUP(DN$2,Table1[[#All],[RC]:[Internal Corrosion rate]],8,FALSE)="",0,100)</f>
        <v>100</v>
      </c>
      <c r="DO8" s="19">
        <f>IF(VLOOKUP(DO$2,Table1[[#All],[RC]:[Internal Corrosion rate]],8,FALSE)="",0,100)</f>
        <v>100</v>
      </c>
      <c r="DP8" s="19" t="e">
        <f>IF(VLOOKUP(DP$2,Table1[[#All],[RC]:[Internal Corrosion rate]],8,FALSE)="",0,100)</f>
        <v>#N/A</v>
      </c>
      <c r="DQ8" s="19" t="e">
        <f>IF(VLOOKUP(DQ$2,Table1[[#All],[RC]:[Internal Corrosion rate]],8,FALSE)="",0,100)</f>
        <v>#N/A</v>
      </c>
      <c r="DR8" s="19" t="e">
        <f>IF(VLOOKUP(DR$2,Table1[[#All],[RC]:[Internal Corrosion rate]],8,FALSE)="",0,100)</f>
        <v>#N/A</v>
      </c>
      <c r="DS8" s="19" t="e">
        <f>IF(VLOOKUP(DS$2,Table1[[#All],[RC]:[Internal Corrosion rate]],8,FALSE)="",0,100)</f>
        <v>#N/A</v>
      </c>
      <c r="DT8" s="19">
        <f>IF(VLOOKUP(DT$2,Table1[[#All],[RC]:[Internal Corrosion rate]],8,FALSE)="",0,100)</f>
        <v>100</v>
      </c>
      <c r="DU8" s="19" t="e">
        <f>IF(VLOOKUP(DU$2,Table1[[#All],[RC]:[Internal Corrosion rate]],8,FALSE)="",0,100)</f>
        <v>#N/A</v>
      </c>
      <c r="DV8" s="19" t="e">
        <f>IF(VLOOKUP(DV$2,Table1[[#All],[RC]:[Internal Corrosion rate]],8,FALSE)="",0,100)</f>
        <v>#N/A</v>
      </c>
      <c r="DW8" s="19">
        <f>IF(VLOOKUP(DW$2,Table1[[#All],[RC]:[Internal Corrosion rate]],8,FALSE)="",0,100)</f>
        <v>100</v>
      </c>
      <c r="DX8" s="19">
        <f>IF(VLOOKUP(DX$2,Table1[[#All],[RC]:[Internal Corrosion rate]],8,FALSE)="",0,100)</f>
        <v>100</v>
      </c>
      <c r="DY8" s="19">
        <f>IF(VLOOKUP(DY$2,Table1[[#All],[RC]:[Internal Corrosion rate]],8,FALSE)="",0,100)</f>
        <v>100</v>
      </c>
      <c r="DZ8" s="19">
        <f>IF(VLOOKUP(DZ$2,Table1[[#All],[RC]:[Internal Corrosion rate]],8,FALSE)="",0,100)</f>
        <v>100</v>
      </c>
      <c r="EA8" s="19" t="e">
        <f>IF(VLOOKUP(EA$2,Table1[[#All],[RC]:[Internal Corrosion rate]],8,FALSE)="",0,100)</f>
        <v>#N/A</v>
      </c>
      <c r="EB8" s="19" t="e">
        <f>IF(VLOOKUP(EB$2,Table1[[#All],[RC]:[Internal Corrosion rate]],8,FALSE)="",0,100)</f>
        <v>#N/A</v>
      </c>
      <c r="EC8" s="19">
        <f>IF(VLOOKUP(EC$2,Table1[[#All],[RC]:[Internal Corrosion rate]],8,FALSE)="",0,100)</f>
        <v>100</v>
      </c>
      <c r="ED8" s="19">
        <f>IF(VLOOKUP(ED$2,Table1[[#All],[RC]:[Internal Corrosion rate]],8,FALSE)="",0,100)</f>
        <v>100</v>
      </c>
      <c r="EE8" s="19" t="e">
        <f>IF(VLOOKUP(EE$2,Table1[[#All],[RC]:[Internal Corrosion rate]],8,FALSE)="",0,100)</f>
        <v>#N/A</v>
      </c>
      <c r="EF8" s="19">
        <f>IF(VLOOKUP(EF$2,Table1[[#All],[RC]:[Internal Corrosion rate]],8,FALSE)="",0,100)</f>
        <v>100</v>
      </c>
      <c r="EG8" s="19">
        <f>IF(VLOOKUP(EG$2,Table1[[#All],[RC]:[Internal Corrosion rate]],8,FALSE)="",0,100)</f>
        <v>100</v>
      </c>
      <c r="EH8" s="19">
        <f>IF(VLOOKUP(EH$2,Table1[[#All],[RC]:[Internal Corrosion rate]],8,FALSE)="",0,100)</f>
        <v>100</v>
      </c>
      <c r="EI8" s="19">
        <f>IF(VLOOKUP(EI$2,Table1[[#All],[RC]:[Internal Corrosion rate]],8,FALSE)="",0,100)</f>
        <v>100</v>
      </c>
      <c r="EJ8" s="19">
        <f>IF(VLOOKUP(EJ$2,Table1[[#All],[RC]:[Internal Corrosion rate]],8,FALSE)="",0,100)</f>
        <v>100</v>
      </c>
      <c r="EK8" s="19" t="e">
        <f>IF(VLOOKUP(EK$2,Table1[[#All],[RC]:[Internal Corrosion rate]],8,FALSE)="",0,100)</f>
        <v>#N/A</v>
      </c>
      <c r="EL8" s="19" t="e">
        <f>IF(VLOOKUP(EL$2,Table1[[#All],[RC]:[Internal Corrosion rate]],8,FALSE)="",0,100)</f>
        <v>#N/A</v>
      </c>
      <c r="EM8" s="19" t="e">
        <f>IF(VLOOKUP(EM$2,Table1[[#All],[RC]:[Internal Corrosion rate]],8,FALSE)="",0,100)</f>
        <v>#N/A</v>
      </c>
      <c r="EN8" s="19" t="e">
        <f>IF(VLOOKUP(EN$2,Table1[[#All],[RC]:[Internal Corrosion rate]],8,FALSE)="",0,100)</f>
        <v>#N/A</v>
      </c>
      <c r="EO8" s="19" t="e">
        <f>IF(VLOOKUP(EO$2,Table1[[#All],[RC]:[Internal Corrosion rate]],8,FALSE)="",0,100)</f>
        <v>#N/A</v>
      </c>
      <c r="EP8" s="19" t="e">
        <f>IF(VLOOKUP(EP$2,Table1[[#All],[RC]:[Internal Corrosion rate]],8,FALSE)="",0,100)</f>
        <v>#N/A</v>
      </c>
      <c r="EQ8" s="19" t="e">
        <f>IF(VLOOKUP(EQ$2,Table1[[#All],[RC]:[Internal Corrosion rate]],8,FALSE)="",0,100)</f>
        <v>#N/A</v>
      </c>
      <c r="ER8" s="19" t="e">
        <f>IF(VLOOKUP(ER$2,Table1[[#All],[RC]:[Internal Corrosion rate]],8,FALSE)="",0,100)</f>
        <v>#N/A</v>
      </c>
      <c r="ES8" s="19">
        <f>IF(VLOOKUP(ES$2,Table1[[#All],[RC]:[Internal Corrosion rate]],8,FALSE)="",0,100)</f>
        <v>100</v>
      </c>
      <c r="ET8" s="19">
        <f>IF(VLOOKUP(ET$2,Table1[[#All],[RC]:[Internal Corrosion rate]],8,FALSE)="",0,100)</f>
        <v>100</v>
      </c>
      <c r="EU8" s="19">
        <f>IF(VLOOKUP(EU$2,Table1[[#All],[RC]:[Internal Corrosion rate]],8,FALSE)="",0,100)</f>
        <v>100</v>
      </c>
      <c r="EV8" s="19">
        <f>IF(VLOOKUP(EV$2,Table1[[#All],[RC]:[Internal Corrosion rate]],8,FALSE)="",0,100)</f>
        <v>100</v>
      </c>
      <c r="EW8" s="19">
        <f>IF(VLOOKUP(EW$2,Table1[[#All],[RC]:[Internal Corrosion rate]],8,FALSE)="",0,100)</f>
        <v>100</v>
      </c>
      <c r="EX8" s="19">
        <f>IF(VLOOKUP(EX$2,Table1[[#All],[RC]:[Internal Corrosion rate]],8,FALSE)="",0,100)</f>
        <v>100</v>
      </c>
      <c r="EY8" s="19" t="e">
        <f>IF(VLOOKUP(EY$2,Table1[[#All],[RC]:[Internal Corrosion rate]],8,FALSE)="",0,100)</f>
        <v>#N/A</v>
      </c>
      <c r="EZ8" s="19" t="e">
        <f>IF(VLOOKUP(EZ$2,Table1[[#All],[RC]:[Internal Corrosion rate]],8,FALSE)="",0,100)</f>
        <v>#N/A</v>
      </c>
      <c r="FA8" s="19" t="e">
        <f>IF(VLOOKUP(FA$2,Table1[[#All],[RC]:[Internal Corrosion rate]],8,FALSE)="",0,100)</f>
        <v>#N/A</v>
      </c>
      <c r="FB8" s="19">
        <f>IF(VLOOKUP(FB$2,Table1[[#All],[RC]:[Internal Corrosion rate]],8,FALSE)="",0,100)</f>
        <v>100</v>
      </c>
      <c r="FC8" s="19" t="e">
        <f>IF(VLOOKUP(FC$2,Table1[[#All],[RC]:[Internal Corrosion rate]],8,FALSE)="",0,100)</f>
        <v>#N/A</v>
      </c>
      <c r="FD8" s="19">
        <f>IF(VLOOKUP(FD$2,Table1[[#All],[RC]:[Internal Corrosion rate]],8,FALSE)="",0,100)</f>
        <v>100</v>
      </c>
      <c r="FE8" s="19">
        <f>IF(VLOOKUP(FE$2,Table1[[#All],[RC]:[Internal Corrosion rate]],8,FALSE)="",0,100)</f>
        <v>100</v>
      </c>
      <c r="FF8" s="19">
        <f>IF(VLOOKUP(FF$2,Table1[[#All],[RC]:[Internal Corrosion rate]],8,FALSE)="",0,100)</f>
        <v>100</v>
      </c>
      <c r="FG8" s="19">
        <f>IF(VLOOKUP(FG$2,Table1[[#All],[RC]:[Internal Corrosion rate]],8,FALSE)="",0,100)</f>
        <v>100</v>
      </c>
      <c r="FH8" s="19" t="e">
        <f>IF(VLOOKUP(FH$2,Table1[[#All],[RC]:[Internal Corrosion rate]],8,FALSE)="",0,100)</f>
        <v>#N/A</v>
      </c>
      <c r="FI8" s="19" t="e">
        <f>IF(VLOOKUP(FI$2,Table1[[#All],[RC]:[Internal Corrosion rate]],8,FALSE)="",0,100)</f>
        <v>#N/A</v>
      </c>
      <c r="FJ8" s="19">
        <f>IF(VLOOKUP(FJ$2,Table1[[#All],[RC]:[Internal Corrosion rate]],8,FALSE)="",0,100)</f>
        <v>100</v>
      </c>
      <c r="FK8" s="19">
        <f>IF(VLOOKUP(FK$2,Table1[[#All],[RC]:[Internal Corrosion rate]],8,FALSE)="",0,100)</f>
        <v>100</v>
      </c>
      <c r="FL8" s="19" t="e">
        <f>IF(VLOOKUP(FL$2,Table1[[#All],[RC]:[Internal Corrosion rate]],8,FALSE)="",0,100)</f>
        <v>#N/A</v>
      </c>
      <c r="FM8" s="19" t="e">
        <f>IF(VLOOKUP(FM$2,Table1[[#All],[RC]:[Internal Corrosion rate]],8,FALSE)="",0,100)</f>
        <v>#N/A</v>
      </c>
      <c r="FN8" s="19" t="e">
        <f>IF(VLOOKUP(FN$2,Table1[[#All],[RC]:[Internal Corrosion rate]],8,FALSE)="",0,100)</f>
        <v>#N/A</v>
      </c>
      <c r="FO8" s="19">
        <f>IF(VLOOKUP(FO$2,Table1[[#All],[RC]:[Internal Corrosion rate]],8,FALSE)="",0,100)</f>
        <v>100</v>
      </c>
      <c r="FP8" s="19">
        <f>IF(VLOOKUP(FP$2,Table1[[#All],[RC]:[Internal Corrosion rate]],8,FALSE)="",0,100)</f>
        <v>100</v>
      </c>
      <c r="FQ8" s="19">
        <f>IF(VLOOKUP(FQ$2,Table1[[#All],[RC]:[Internal Corrosion rate]],8,FALSE)="",0,100)</f>
        <v>100</v>
      </c>
      <c r="FR8" s="19">
        <f>IF(VLOOKUP(FR$2,Table1[[#All],[RC]:[Internal Corrosion rate]],8,FALSE)="",0,100)</f>
        <v>100</v>
      </c>
      <c r="FS8" s="19" t="e">
        <f>IF(VLOOKUP(FS$2,Table1[[#All],[RC]:[Internal Corrosion rate]],8,FALSE)="",0,100)</f>
        <v>#N/A</v>
      </c>
      <c r="FT8" s="19" t="e">
        <f>IF(VLOOKUP(FT$2,Table1[[#All],[RC]:[Internal Corrosion rate]],8,FALSE)="",0,100)</f>
        <v>#N/A</v>
      </c>
      <c r="FU8" s="19" t="e">
        <f>IF(VLOOKUP(FU$2,Table1[[#All],[RC]:[Internal Corrosion rate]],8,FALSE)="",0,100)</f>
        <v>#N/A</v>
      </c>
      <c r="FV8" s="19" t="e">
        <f>IF(VLOOKUP(FV$2,Table1[[#All],[RC]:[Internal Corrosion rate]],8,FALSE)="",0,100)</f>
        <v>#N/A</v>
      </c>
    </row>
    <row r="9" spans="1:178">
      <c r="A9" s="60" t="s">
        <v>34</v>
      </c>
      <c r="B9" s="19" t="e">
        <f>IF(VLOOKUP(B$2,Table1[[#All],[RC]:[Internal Corrosion rate]],9,FALSE)="",0,100)</f>
        <v>#N/A</v>
      </c>
      <c r="C9" s="19" t="e">
        <f>IF(VLOOKUP(C$2,Table1[[#All],[RC]:[Internal Corrosion rate]],9,FALSE)="",0,100)</f>
        <v>#N/A</v>
      </c>
      <c r="D9" s="19">
        <f>IF(VLOOKUP(D$2,Table1[[#All],[RC]:[Internal Corrosion rate]],9,FALSE)="",0,100)</f>
        <v>100</v>
      </c>
      <c r="E9" s="19">
        <f>IF(VLOOKUP(E$2,Table1[[#All],[RC]:[Internal Corrosion rate]],9,FALSE)="",0,100)</f>
        <v>100</v>
      </c>
      <c r="F9" s="19">
        <f>IF(VLOOKUP(F$2,Table1[[#All],[RC]:[Internal Corrosion rate]],9,FALSE)="",0,100)</f>
        <v>100</v>
      </c>
      <c r="G9" s="19">
        <f>IF(VLOOKUP(G$2,Table1[[#All],[RC]:[Internal Corrosion rate]],9,FALSE)="",0,100)</f>
        <v>100</v>
      </c>
      <c r="H9" s="19">
        <f>IF(VLOOKUP(H$2,Table1[[#All],[RC]:[Internal Corrosion rate]],9,FALSE)="",0,100)</f>
        <v>100</v>
      </c>
      <c r="I9" s="19">
        <f>IF(VLOOKUP(I$2,Table1[[#All],[RC]:[Internal Corrosion rate]],9,FALSE)="",0,100)</f>
        <v>100</v>
      </c>
      <c r="J9" s="19">
        <f>IF(VLOOKUP(J$2,Table1[[#All],[RC]:[Internal Corrosion rate]],9,FALSE)="",0,100)</f>
        <v>100</v>
      </c>
      <c r="K9" s="19">
        <f>IF(VLOOKUP(K$2,Table1[[#All],[RC]:[Internal Corrosion rate]],9,FALSE)="",0,100)</f>
        <v>100</v>
      </c>
      <c r="L9" s="19">
        <f>IF(VLOOKUP(L$2,Table1[[#All],[RC]:[Internal Corrosion rate]],9,FALSE)="",0,100)</f>
        <v>100</v>
      </c>
      <c r="M9" s="19" t="e">
        <f>IF(VLOOKUP(M$2,Table1[[#All],[RC]:[Internal Corrosion rate]],9,FALSE)="",0,100)</f>
        <v>#N/A</v>
      </c>
      <c r="N9" s="19">
        <f>IF(VLOOKUP(N$2,Table1[[#All],[RC]:[Internal Corrosion rate]],9,FALSE)="",0,100)</f>
        <v>100</v>
      </c>
      <c r="O9" s="19">
        <f>IF(VLOOKUP(O$2,Table1[[#All],[RC]:[Internal Corrosion rate]],9,FALSE)="",0,100)</f>
        <v>100</v>
      </c>
      <c r="P9" s="19">
        <f>IF(VLOOKUP(P$2,Table1[[#All],[RC]:[Internal Corrosion rate]],9,FALSE)="",0,100)</f>
        <v>100</v>
      </c>
      <c r="Q9" s="19">
        <f>IF(VLOOKUP(Q$2,Table1[[#All],[RC]:[Internal Corrosion rate]],9,FALSE)="",0,100)</f>
        <v>100</v>
      </c>
      <c r="R9" s="19">
        <f>IF(VLOOKUP(R$2,Table1[[#All],[RC]:[Internal Corrosion rate]],9,FALSE)="",0,100)</f>
        <v>100</v>
      </c>
      <c r="S9" s="19">
        <f>IF(VLOOKUP(S$2,Table1[[#All],[RC]:[Internal Corrosion rate]],9,FALSE)="",0,100)</f>
        <v>100</v>
      </c>
      <c r="T9" s="19">
        <f>IF(VLOOKUP(T$2,Table1[[#All],[RC]:[Internal Corrosion rate]],9,FALSE)="",0,100)</f>
        <v>100</v>
      </c>
      <c r="U9" s="19">
        <f>IF(VLOOKUP(U$2,Table1[[#All],[RC]:[Internal Corrosion rate]],9,FALSE)="",0,100)</f>
        <v>100</v>
      </c>
      <c r="V9" s="19">
        <f>IF(VLOOKUP(V$2,Table1[[#All],[RC]:[Internal Corrosion rate]],9,FALSE)="",0,100)</f>
        <v>100</v>
      </c>
      <c r="W9" s="19">
        <f>IF(VLOOKUP(W$2,Table1[[#All],[RC]:[Internal Corrosion rate]],9,FALSE)="",0,100)</f>
        <v>100</v>
      </c>
      <c r="X9" s="19">
        <f>IF(VLOOKUP(X$2,Table1[[#All],[RC]:[Internal Corrosion rate]],9,FALSE)="",0,100)</f>
        <v>100</v>
      </c>
      <c r="Y9" s="19" t="e">
        <f>IF(VLOOKUP(Y$2,Table1[[#All],[RC]:[Internal Corrosion rate]],9,FALSE)="",0,100)</f>
        <v>#N/A</v>
      </c>
      <c r="Z9" s="19" t="e">
        <f>IF(VLOOKUP(Z$2,Table1[[#All],[RC]:[Internal Corrosion rate]],9,FALSE)="",0,100)</f>
        <v>#N/A</v>
      </c>
      <c r="AA9" s="19">
        <f>IF(VLOOKUP(AA$2,Table1[[#All],[RC]:[Internal Corrosion rate]],9,FALSE)="",0,100)</f>
        <v>100</v>
      </c>
      <c r="AB9" s="19">
        <f>IF(VLOOKUP(AB$2,Table1[[#All],[RC]:[Internal Corrosion rate]],9,FALSE)="",0,100)</f>
        <v>100</v>
      </c>
      <c r="AC9" s="19">
        <f>IF(VLOOKUP(AC$2,Table1[[#All],[RC]:[Internal Corrosion rate]],9,FALSE)="",0,100)</f>
        <v>100</v>
      </c>
      <c r="AD9" s="19">
        <f>IF(VLOOKUP(AD$2,Table1[[#All],[RC]:[Internal Corrosion rate]],9,FALSE)="",0,100)</f>
        <v>100</v>
      </c>
      <c r="AE9" s="19" t="e">
        <f>IF(VLOOKUP(AE$2,Table1[[#All],[RC]:[Internal Corrosion rate]],9,FALSE)="",0,100)</f>
        <v>#N/A</v>
      </c>
      <c r="AF9" s="19">
        <f>IF(VLOOKUP(AF$2,Table1[[#All],[RC]:[Internal Corrosion rate]],9,FALSE)="",0,100)</f>
        <v>100</v>
      </c>
      <c r="AG9" s="19">
        <f>IF(VLOOKUP(AG$2,Table1[[#All],[RC]:[Internal Corrosion rate]],9,FALSE)="",0,100)</f>
        <v>100</v>
      </c>
      <c r="AH9" s="19">
        <f>IF(VLOOKUP(AH$2,Table1[[#All],[RC]:[Internal Corrosion rate]],9,FALSE)="",0,100)</f>
        <v>100</v>
      </c>
      <c r="AI9" s="19">
        <f>IF(VLOOKUP(AI$2,Table1[[#All],[RC]:[Internal Corrosion rate]],9,FALSE)="",0,100)</f>
        <v>100</v>
      </c>
      <c r="AJ9" s="19">
        <f>IF(VLOOKUP(AJ$2,Table1[[#All],[RC]:[Internal Corrosion rate]],9,FALSE)="",0,100)</f>
        <v>100</v>
      </c>
      <c r="AK9" s="19">
        <f>IF(VLOOKUP(AK$2,Table1[[#All],[RC]:[Internal Corrosion rate]],9,FALSE)="",0,100)</f>
        <v>100</v>
      </c>
      <c r="AL9" s="19" t="e">
        <f>IF(VLOOKUP(AL$2,Table1[[#All],[RC]:[Internal Corrosion rate]],9,FALSE)="",0,100)</f>
        <v>#N/A</v>
      </c>
      <c r="AM9" s="19" t="e">
        <f>IF(VLOOKUP(AM$2,Table1[[#All],[RC]:[Internal Corrosion rate]],9,FALSE)="",0,100)</f>
        <v>#N/A</v>
      </c>
      <c r="AN9" s="19" t="e">
        <f>IF(VLOOKUP(AN$2,Table1[[#All],[RC]:[Internal Corrosion rate]],9,FALSE)="",0,100)</f>
        <v>#N/A</v>
      </c>
      <c r="AO9" s="19">
        <f>IF(VLOOKUP(AO$2,Table1[[#All],[RC]:[Internal Corrosion rate]],9,FALSE)="",0,100)</f>
        <v>100</v>
      </c>
      <c r="AP9" s="19">
        <f>IF(VLOOKUP(AP$2,Table1[[#All],[RC]:[Internal Corrosion rate]],9,FALSE)="",0,100)</f>
        <v>100</v>
      </c>
      <c r="AQ9" s="19" t="e">
        <f>IF(VLOOKUP(AQ$2,Table1[[#All],[RC]:[Internal Corrosion rate]],9,FALSE)="",0,100)</f>
        <v>#N/A</v>
      </c>
      <c r="AR9" s="19" t="e">
        <f>IF(VLOOKUP(AR$2,Table1[[#All],[RC]:[Internal Corrosion rate]],9,FALSE)="",0,100)</f>
        <v>#N/A</v>
      </c>
      <c r="AS9" s="19" t="e">
        <f>IF(VLOOKUP(AS$2,Table1[[#All],[RC]:[Internal Corrosion rate]],9,FALSE)="",0,100)</f>
        <v>#N/A</v>
      </c>
      <c r="AT9" s="19">
        <f>IF(VLOOKUP(AT$2,Table1[[#All],[RC]:[Internal Corrosion rate]],9,FALSE)="",0,100)</f>
        <v>100</v>
      </c>
      <c r="AU9" s="19">
        <f>IF(VLOOKUP(AU$2,Table1[[#All],[RC]:[Internal Corrosion rate]],9,FALSE)="",0,100)</f>
        <v>100</v>
      </c>
      <c r="AV9" s="19">
        <f>IF(VLOOKUP(AV$2,Table1[[#All],[RC]:[Internal Corrosion rate]],9,FALSE)="",0,100)</f>
        <v>100</v>
      </c>
      <c r="AW9" s="19" t="e">
        <f>IF(VLOOKUP(AW$2,Table1[[#All],[RC]:[Internal Corrosion rate]],9,FALSE)="",0,100)</f>
        <v>#N/A</v>
      </c>
      <c r="AX9" s="19">
        <f>IF(VLOOKUP(AX$2,Table1[[#All],[RC]:[Internal Corrosion rate]],9,FALSE)="",0,100)</f>
        <v>100</v>
      </c>
      <c r="AY9" s="19">
        <f>IF(VLOOKUP(AY$2,Table1[[#All],[RC]:[Internal Corrosion rate]],9,FALSE)="",0,100)</f>
        <v>100</v>
      </c>
      <c r="AZ9" s="19">
        <f>IF(VLOOKUP(AZ$2,Table1[[#All],[RC]:[Internal Corrosion rate]],9,FALSE)="",0,100)</f>
        <v>100</v>
      </c>
      <c r="BA9" s="19" t="e">
        <f>IF(VLOOKUP(BA$2,Table1[[#All],[RC]:[Internal Corrosion rate]],9,FALSE)="",0,100)</f>
        <v>#N/A</v>
      </c>
      <c r="BB9" s="19">
        <f>IF(VLOOKUP(BB$2,Table1[[#All],[RC]:[Internal Corrosion rate]],9,FALSE)="",0,100)</f>
        <v>100</v>
      </c>
      <c r="BC9" s="19">
        <f>IF(VLOOKUP(BC$2,Table1[[#All],[RC]:[Internal Corrosion rate]],9,FALSE)="",0,100)</f>
        <v>100</v>
      </c>
      <c r="BD9" s="19" t="e">
        <f>IF(VLOOKUP(BD$2,Table1[[#All],[RC]:[Internal Corrosion rate]],9,FALSE)="",0,100)</f>
        <v>#N/A</v>
      </c>
      <c r="BE9" s="19">
        <f>IF(VLOOKUP(BE$2,Table1[[#All],[RC]:[Internal Corrosion rate]],9,FALSE)="",0,100)</f>
        <v>100</v>
      </c>
      <c r="BF9" s="19">
        <f>IF(VLOOKUP(BF$2,Table1[[#All],[RC]:[Internal Corrosion rate]],9,FALSE)="",0,100)</f>
        <v>100</v>
      </c>
      <c r="BG9" s="19">
        <f>IF(VLOOKUP(BG$2,Table1[[#All],[RC]:[Internal Corrosion rate]],9,FALSE)="",0,100)</f>
        <v>100</v>
      </c>
      <c r="BH9" s="19" t="e">
        <f>IF(VLOOKUP(BH$2,Table1[[#All],[RC]:[Internal Corrosion rate]],9,FALSE)="",0,100)</f>
        <v>#N/A</v>
      </c>
      <c r="BI9" s="19" t="e">
        <f>IF(VLOOKUP(BI$2,Table1[[#All],[RC]:[Internal Corrosion rate]],9,FALSE)="",0,100)</f>
        <v>#N/A</v>
      </c>
      <c r="BJ9" s="19" t="e">
        <f>IF(VLOOKUP(BJ$2,Table1[[#All],[RC]:[Internal Corrosion rate]],9,FALSE)="",0,100)</f>
        <v>#N/A</v>
      </c>
      <c r="BK9" s="19">
        <f>IF(VLOOKUP(BK$2,Table1[[#All],[RC]:[Internal Corrosion rate]],9,FALSE)="",0,100)</f>
        <v>100</v>
      </c>
      <c r="BL9" s="19">
        <f>IF(VLOOKUP(BL$2,Table1[[#All],[RC]:[Internal Corrosion rate]],9,FALSE)="",0,100)</f>
        <v>100</v>
      </c>
      <c r="BM9" s="19" t="e">
        <f>IF(VLOOKUP(BM$2,Table1[[#All],[RC]:[Internal Corrosion rate]],9,FALSE)="",0,100)</f>
        <v>#N/A</v>
      </c>
      <c r="BN9" s="19">
        <f>IF(VLOOKUP(BN$2,Table1[[#All],[RC]:[Internal Corrosion rate]],9,FALSE)="",0,100)</f>
        <v>100</v>
      </c>
      <c r="BO9" s="19">
        <f>IF(VLOOKUP(BO$2,Table1[[#All],[RC]:[Internal Corrosion rate]],9,FALSE)="",0,100)</f>
        <v>100</v>
      </c>
      <c r="BP9" s="19">
        <f>IF(VLOOKUP(BP$2,Table1[[#All],[RC]:[Internal Corrosion rate]],9,FALSE)="",0,100)</f>
        <v>100</v>
      </c>
      <c r="BQ9" s="19">
        <f>IF(VLOOKUP(BQ$2,Table1[[#All],[RC]:[Internal Corrosion rate]],9,FALSE)="",0,100)</f>
        <v>100</v>
      </c>
      <c r="BR9" s="19">
        <f>IF(VLOOKUP(BR$2,Table1[[#All],[RC]:[Internal Corrosion rate]],9,FALSE)="",0,100)</f>
        <v>100</v>
      </c>
      <c r="BS9" s="19">
        <f>IF(VLOOKUP(BS$2,Table1[[#All],[RC]:[Internal Corrosion rate]],9,FALSE)="",0,100)</f>
        <v>100</v>
      </c>
      <c r="BT9" s="19" t="e">
        <f>IF(VLOOKUP(BT$2,Table1[[#All],[RC]:[Internal Corrosion rate]],9,FALSE)="",0,100)</f>
        <v>#N/A</v>
      </c>
      <c r="BU9" s="19">
        <f>IF(VLOOKUP(BU$2,Table1[[#All],[RC]:[Internal Corrosion rate]],9,FALSE)="",0,100)</f>
        <v>100</v>
      </c>
      <c r="BV9" s="19" t="e">
        <f>IF(VLOOKUP(BV$2,Table1[[#All],[RC]:[Internal Corrosion rate]],9,FALSE)="",0,100)</f>
        <v>#N/A</v>
      </c>
      <c r="BW9" s="19">
        <f>IF(VLOOKUP(BW$2,Table1[[#All],[RC]:[Internal Corrosion rate]],9,FALSE)="",0,100)</f>
        <v>100</v>
      </c>
      <c r="BX9" s="19">
        <f>IF(VLOOKUP(BX$2,Table1[[#All],[RC]:[Internal Corrosion rate]],9,FALSE)="",0,100)</f>
        <v>100</v>
      </c>
      <c r="BY9" s="19">
        <f>IF(VLOOKUP(BY$2,Table1[[#All],[RC]:[Internal Corrosion rate]],9,FALSE)="",0,100)</f>
        <v>100</v>
      </c>
      <c r="BZ9" s="19">
        <f>IF(VLOOKUP(BZ$2,Table1[[#All],[RC]:[Internal Corrosion rate]],9,FALSE)="",0,100)</f>
        <v>100</v>
      </c>
      <c r="CA9" s="19">
        <f>IF(VLOOKUP(CA$2,Table1[[#All],[RC]:[Internal Corrosion rate]],9,FALSE)="",0,100)</f>
        <v>100</v>
      </c>
      <c r="CB9" s="19" t="e">
        <f>IF(VLOOKUP(CB$2,Table1[[#All],[RC]:[Internal Corrosion rate]],9,FALSE)="",0,100)</f>
        <v>#N/A</v>
      </c>
      <c r="CC9" s="19" t="e">
        <f>IF(VLOOKUP(CC$2,Table1[[#All],[RC]:[Internal Corrosion rate]],9,FALSE)="",0,100)</f>
        <v>#N/A</v>
      </c>
      <c r="CD9" s="19">
        <f>IF(VLOOKUP(CD$2,Table1[[#All],[RC]:[Internal Corrosion rate]],9,FALSE)="",0,100)</f>
        <v>100</v>
      </c>
      <c r="CE9" s="19">
        <f>IF(VLOOKUP(CE$2,Table1[[#All],[RC]:[Internal Corrosion rate]],9,FALSE)="",0,100)</f>
        <v>100</v>
      </c>
      <c r="CF9" s="19">
        <f>IF(VLOOKUP(CF$2,Table1[[#All],[RC]:[Internal Corrosion rate]],9,FALSE)="",0,100)</f>
        <v>100</v>
      </c>
      <c r="CG9" s="19">
        <f>IF(VLOOKUP(CG$2,Table1[[#All],[RC]:[Internal Corrosion rate]],9,FALSE)="",0,100)</f>
        <v>100</v>
      </c>
      <c r="CH9" s="19">
        <f>IF(VLOOKUP(CH$2,Table1[[#All],[RC]:[Internal Corrosion rate]],9,FALSE)="",0,100)</f>
        <v>100</v>
      </c>
      <c r="CI9" s="19">
        <f>IF(VLOOKUP(CI$2,Table1[[#All],[RC]:[Internal Corrosion rate]],9,FALSE)="",0,100)</f>
        <v>100</v>
      </c>
      <c r="CJ9" s="19">
        <f>IF(VLOOKUP(CJ$2,Table1[[#All],[RC]:[Internal Corrosion rate]],9,FALSE)="",0,100)</f>
        <v>100</v>
      </c>
      <c r="CK9" s="19">
        <f>IF(VLOOKUP(CK$2,Table1[[#All],[RC]:[Internal Corrosion rate]],9,FALSE)="",0,100)</f>
        <v>100</v>
      </c>
      <c r="CL9" s="19">
        <f>IF(VLOOKUP(CL$2,Table1[[#All],[RC]:[Internal Corrosion rate]],9,FALSE)="",0,100)</f>
        <v>100</v>
      </c>
      <c r="CM9" s="19">
        <f>IF(VLOOKUP(CM$2,Table1[[#All],[RC]:[Internal Corrosion rate]],9,FALSE)="",0,100)</f>
        <v>100</v>
      </c>
      <c r="CN9" s="19">
        <f>IF(VLOOKUP(CN$2,Table1[[#All],[RC]:[Internal Corrosion rate]],9,FALSE)="",0,100)</f>
        <v>100</v>
      </c>
      <c r="CO9" s="19">
        <f>IF(VLOOKUP(CO$2,Table1[[#All],[RC]:[Internal Corrosion rate]],9,FALSE)="",0,100)</f>
        <v>100</v>
      </c>
      <c r="CP9" s="19">
        <f>IF(VLOOKUP(CP$2,Table1[[#All],[RC]:[Internal Corrosion rate]],9,FALSE)="",0,100)</f>
        <v>100</v>
      </c>
      <c r="CQ9" s="19">
        <f>IF(VLOOKUP(CQ$2,Table1[[#All],[RC]:[Internal Corrosion rate]],9,FALSE)="",0,100)</f>
        <v>100</v>
      </c>
      <c r="CR9" s="19">
        <f>IF(VLOOKUP(CR$2,Table1[[#All],[RC]:[Internal Corrosion rate]],9,FALSE)="",0,100)</f>
        <v>100</v>
      </c>
      <c r="CS9" s="19">
        <f>IF(VLOOKUP(CS$2,Table1[[#All],[RC]:[Internal Corrosion rate]],9,FALSE)="",0,100)</f>
        <v>100</v>
      </c>
      <c r="CT9" s="19">
        <f>IF(VLOOKUP(CT$2,Table1[[#All],[RC]:[Internal Corrosion rate]],9,FALSE)="",0,100)</f>
        <v>100</v>
      </c>
      <c r="CU9" s="19">
        <f>IF(VLOOKUP(CU$2,Table1[[#All],[RC]:[Internal Corrosion rate]],9,FALSE)="",0,100)</f>
        <v>100</v>
      </c>
      <c r="CV9" s="19">
        <f>IF(VLOOKUP(CV$2,Table1[[#All],[RC]:[Internal Corrosion rate]],9,FALSE)="",0,100)</f>
        <v>100</v>
      </c>
      <c r="CW9" s="19">
        <f>IF(VLOOKUP(CW$2,Table1[[#All],[RC]:[Internal Corrosion rate]],9,FALSE)="",0,100)</f>
        <v>100</v>
      </c>
      <c r="CX9" s="19">
        <f>IF(VLOOKUP(CX$2,Table1[[#All],[RC]:[Internal Corrosion rate]],9,FALSE)="",0,100)</f>
        <v>100</v>
      </c>
      <c r="CY9" s="19">
        <f>IF(VLOOKUP(CY$2,Table1[[#All],[RC]:[Internal Corrosion rate]],9,FALSE)="",0,100)</f>
        <v>100</v>
      </c>
      <c r="CZ9" s="19">
        <f>IF(VLOOKUP(CZ$2,Table1[[#All],[RC]:[Internal Corrosion rate]],9,FALSE)="",0,100)</f>
        <v>100</v>
      </c>
      <c r="DA9" s="19">
        <f>IF(VLOOKUP(DA$2,Table1[[#All],[RC]:[Internal Corrosion rate]],9,FALSE)="",0,100)</f>
        <v>100</v>
      </c>
      <c r="DB9" s="19">
        <f>IF(VLOOKUP(DB$2,Table1[[#All],[RC]:[Internal Corrosion rate]],9,FALSE)="",0,100)</f>
        <v>100</v>
      </c>
      <c r="DC9" s="19">
        <f>IF(VLOOKUP(DC$2,Table1[[#All],[RC]:[Internal Corrosion rate]],9,FALSE)="",0,100)</f>
        <v>100</v>
      </c>
      <c r="DD9" s="19">
        <f>IF(VLOOKUP(DD$2,Table1[[#All],[RC]:[Internal Corrosion rate]],9,FALSE)="",0,100)</f>
        <v>100</v>
      </c>
      <c r="DE9" s="19">
        <f>IF(VLOOKUP(DE$2,Table1[[#All],[RC]:[Internal Corrosion rate]],9,FALSE)="",0,100)</f>
        <v>100</v>
      </c>
      <c r="DF9" s="19">
        <f>IF(VLOOKUP(DF$2,Table1[[#All],[RC]:[Internal Corrosion rate]],9,FALSE)="",0,100)</f>
        <v>100</v>
      </c>
      <c r="DG9" s="19" t="e">
        <f>IF(VLOOKUP(DG$2,Table1[[#All],[RC]:[Internal Corrosion rate]],9,FALSE)="",0,100)</f>
        <v>#N/A</v>
      </c>
      <c r="DH9" s="19" t="e">
        <f>IF(VLOOKUP(DH$2,Table1[[#All],[RC]:[Internal Corrosion rate]],9,FALSE)="",0,100)</f>
        <v>#N/A</v>
      </c>
      <c r="DI9" s="19" t="e">
        <f>IF(VLOOKUP(DI$2,Table1[[#All],[RC]:[Internal Corrosion rate]],9,FALSE)="",0,100)</f>
        <v>#N/A</v>
      </c>
      <c r="DJ9" s="19">
        <f>IF(VLOOKUP(DJ$2,Table1[[#All],[RC]:[Internal Corrosion rate]],9,FALSE)="",0,100)</f>
        <v>100</v>
      </c>
      <c r="DK9" s="19">
        <f>IF(VLOOKUP(DK$2,Table1[[#All],[RC]:[Internal Corrosion rate]],9,FALSE)="",0,100)</f>
        <v>100</v>
      </c>
      <c r="DL9" s="19">
        <f>IF(VLOOKUP(DL$2,Table1[[#All],[RC]:[Internal Corrosion rate]],9,FALSE)="",0,100)</f>
        <v>100</v>
      </c>
      <c r="DM9" s="19">
        <f>IF(VLOOKUP(DM$2,Table1[[#All],[RC]:[Internal Corrosion rate]],9,FALSE)="",0,100)</f>
        <v>100</v>
      </c>
      <c r="DN9" s="19">
        <f>IF(VLOOKUP(DN$2,Table1[[#All],[RC]:[Internal Corrosion rate]],9,FALSE)="",0,100)</f>
        <v>100</v>
      </c>
      <c r="DO9" s="19">
        <f>IF(VLOOKUP(DO$2,Table1[[#All],[RC]:[Internal Corrosion rate]],9,FALSE)="",0,100)</f>
        <v>100</v>
      </c>
      <c r="DP9" s="19" t="e">
        <f>IF(VLOOKUP(DP$2,Table1[[#All],[RC]:[Internal Corrosion rate]],9,FALSE)="",0,100)</f>
        <v>#N/A</v>
      </c>
      <c r="DQ9" s="19" t="e">
        <f>IF(VLOOKUP(DQ$2,Table1[[#All],[RC]:[Internal Corrosion rate]],9,FALSE)="",0,100)</f>
        <v>#N/A</v>
      </c>
      <c r="DR9" s="19" t="e">
        <f>IF(VLOOKUP(DR$2,Table1[[#All],[RC]:[Internal Corrosion rate]],9,FALSE)="",0,100)</f>
        <v>#N/A</v>
      </c>
      <c r="DS9" s="19" t="e">
        <f>IF(VLOOKUP(DS$2,Table1[[#All],[RC]:[Internal Corrosion rate]],9,FALSE)="",0,100)</f>
        <v>#N/A</v>
      </c>
      <c r="DT9" s="19">
        <f>IF(VLOOKUP(DT$2,Table1[[#All],[RC]:[Internal Corrosion rate]],9,FALSE)="",0,100)</f>
        <v>100</v>
      </c>
      <c r="DU9" s="19" t="e">
        <f>IF(VLOOKUP(DU$2,Table1[[#All],[RC]:[Internal Corrosion rate]],9,FALSE)="",0,100)</f>
        <v>#N/A</v>
      </c>
      <c r="DV9" s="19" t="e">
        <f>IF(VLOOKUP(DV$2,Table1[[#All],[RC]:[Internal Corrosion rate]],9,FALSE)="",0,100)</f>
        <v>#N/A</v>
      </c>
      <c r="DW9" s="19">
        <f>IF(VLOOKUP(DW$2,Table1[[#All],[RC]:[Internal Corrosion rate]],9,FALSE)="",0,100)</f>
        <v>100</v>
      </c>
      <c r="DX9" s="19">
        <f>IF(VLOOKUP(DX$2,Table1[[#All],[RC]:[Internal Corrosion rate]],9,FALSE)="",0,100)</f>
        <v>100</v>
      </c>
      <c r="DY9" s="19">
        <f>IF(VLOOKUP(DY$2,Table1[[#All],[RC]:[Internal Corrosion rate]],9,FALSE)="",0,100)</f>
        <v>100</v>
      </c>
      <c r="DZ9" s="19">
        <f>IF(VLOOKUP(DZ$2,Table1[[#All],[RC]:[Internal Corrosion rate]],9,FALSE)="",0,100)</f>
        <v>100</v>
      </c>
      <c r="EA9" s="19" t="e">
        <f>IF(VLOOKUP(EA$2,Table1[[#All],[RC]:[Internal Corrosion rate]],9,FALSE)="",0,100)</f>
        <v>#N/A</v>
      </c>
      <c r="EB9" s="19" t="e">
        <f>IF(VLOOKUP(EB$2,Table1[[#All],[RC]:[Internal Corrosion rate]],9,FALSE)="",0,100)</f>
        <v>#N/A</v>
      </c>
      <c r="EC9" s="19">
        <f>IF(VLOOKUP(EC$2,Table1[[#All],[RC]:[Internal Corrosion rate]],9,FALSE)="",0,100)</f>
        <v>100</v>
      </c>
      <c r="ED9" s="19">
        <f>IF(VLOOKUP(ED$2,Table1[[#All],[RC]:[Internal Corrosion rate]],9,FALSE)="",0,100)</f>
        <v>100</v>
      </c>
      <c r="EE9" s="19" t="e">
        <f>IF(VLOOKUP(EE$2,Table1[[#All],[RC]:[Internal Corrosion rate]],9,FALSE)="",0,100)</f>
        <v>#N/A</v>
      </c>
      <c r="EF9" s="19">
        <f>IF(VLOOKUP(EF$2,Table1[[#All],[RC]:[Internal Corrosion rate]],9,FALSE)="",0,100)</f>
        <v>100</v>
      </c>
      <c r="EG9" s="19">
        <f>IF(VLOOKUP(EG$2,Table1[[#All],[RC]:[Internal Corrosion rate]],9,FALSE)="",0,100)</f>
        <v>100</v>
      </c>
      <c r="EH9" s="19">
        <f>IF(VLOOKUP(EH$2,Table1[[#All],[RC]:[Internal Corrosion rate]],9,FALSE)="",0,100)</f>
        <v>100</v>
      </c>
      <c r="EI9" s="19">
        <f>IF(VLOOKUP(EI$2,Table1[[#All],[RC]:[Internal Corrosion rate]],9,FALSE)="",0,100)</f>
        <v>100</v>
      </c>
      <c r="EJ9" s="19">
        <f>IF(VLOOKUP(EJ$2,Table1[[#All],[RC]:[Internal Corrosion rate]],9,FALSE)="",0,100)</f>
        <v>100</v>
      </c>
      <c r="EK9" s="19" t="e">
        <f>IF(VLOOKUP(EK$2,Table1[[#All],[RC]:[Internal Corrosion rate]],9,FALSE)="",0,100)</f>
        <v>#N/A</v>
      </c>
      <c r="EL9" s="19" t="e">
        <f>IF(VLOOKUP(EL$2,Table1[[#All],[RC]:[Internal Corrosion rate]],9,FALSE)="",0,100)</f>
        <v>#N/A</v>
      </c>
      <c r="EM9" s="19" t="e">
        <f>IF(VLOOKUP(EM$2,Table1[[#All],[RC]:[Internal Corrosion rate]],9,FALSE)="",0,100)</f>
        <v>#N/A</v>
      </c>
      <c r="EN9" s="19" t="e">
        <f>IF(VLOOKUP(EN$2,Table1[[#All],[RC]:[Internal Corrosion rate]],9,FALSE)="",0,100)</f>
        <v>#N/A</v>
      </c>
      <c r="EO9" s="19" t="e">
        <f>IF(VLOOKUP(EO$2,Table1[[#All],[RC]:[Internal Corrosion rate]],9,FALSE)="",0,100)</f>
        <v>#N/A</v>
      </c>
      <c r="EP9" s="19" t="e">
        <f>IF(VLOOKUP(EP$2,Table1[[#All],[RC]:[Internal Corrosion rate]],9,FALSE)="",0,100)</f>
        <v>#N/A</v>
      </c>
      <c r="EQ9" s="19" t="e">
        <f>IF(VLOOKUP(EQ$2,Table1[[#All],[RC]:[Internal Corrosion rate]],9,FALSE)="",0,100)</f>
        <v>#N/A</v>
      </c>
      <c r="ER9" s="19" t="e">
        <f>IF(VLOOKUP(ER$2,Table1[[#All],[RC]:[Internal Corrosion rate]],9,FALSE)="",0,100)</f>
        <v>#N/A</v>
      </c>
      <c r="ES9" s="19">
        <f>IF(VLOOKUP(ES$2,Table1[[#All],[RC]:[Internal Corrosion rate]],9,FALSE)="",0,100)</f>
        <v>100</v>
      </c>
      <c r="ET9" s="19">
        <f>IF(VLOOKUP(ET$2,Table1[[#All],[RC]:[Internal Corrosion rate]],9,FALSE)="",0,100)</f>
        <v>100</v>
      </c>
      <c r="EU9" s="19">
        <f>IF(VLOOKUP(EU$2,Table1[[#All],[RC]:[Internal Corrosion rate]],9,FALSE)="",0,100)</f>
        <v>100</v>
      </c>
      <c r="EV9" s="19">
        <f>IF(VLOOKUP(EV$2,Table1[[#All],[RC]:[Internal Corrosion rate]],9,FALSE)="",0,100)</f>
        <v>100</v>
      </c>
      <c r="EW9" s="19">
        <f>IF(VLOOKUP(EW$2,Table1[[#All],[RC]:[Internal Corrosion rate]],9,FALSE)="",0,100)</f>
        <v>100</v>
      </c>
      <c r="EX9" s="19">
        <f>IF(VLOOKUP(EX$2,Table1[[#All],[RC]:[Internal Corrosion rate]],9,FALSE)="",0,100)</f>
        <v>100</v>
      </c>
      <c r="EY9" s="19" t="e">
        <f>IF(VLOOKUP(EY$2,Table1[[#All],[RC]:[Internal Corrosion rate]],9,FALSE)="",0,100)</f>
        <v>#N/A</v>
      </c>
      <c r="EZ9" s="19" t="e">
        <f>IF(VLOOKUP(EZ$2,Table1[[#All],[RC]:[Internal Corrosion rate]],9,FALSE)="",0,100)</f>
        <v>#N/A</v>
      </c>
      <c r="FA9" s="19" t="e">
        <f>IF(VLOOKUP(FA$2,Table1[[#All],[RC]:[Internal Corrosion rate]],9,FALSE)="",0,100)</f>
        <v>#N/A</v>
      </c>
      <c r="FB9" s="19">
        <f>IF(VLOOKUP(FB$2,Table1[[#All],[RC]:[Internal Corrosion rate]],9,FALSE)="",0,100)</f>
        <v>100</v>
      </c>
      <c r="FC9" s="19" t="e">
        <f>IF(VLOOKUP(FC$2,Table1[[#All],[RC]:[Internal Corrosion rate]],9,FALSE)="",0,100)</f>
        <v>#N/A</v>
      </c>
      <c r="FD9" s="19">
        <f>IF(VLOOKUP(FD$2,Table1[[#All],[RC]:[Internal Corrosion rate]],9,FALSE)="",0,100)</f>
        <v>100</v>
      </c>
      <c r="FE9" s="19">
        <f>IF(VLOOKUP(FE$2,Table1[[#All],[RC]:[Internal Corrosion rate]],9,FALSE)="",0,100)</f>
        <v>100</v>
      </c>
      <c r="FF9" s="19">
        <f>IF(VLOOKUP(FF$2,Table1[[#All],[RC]:[Internal Corrosion rate]],9,FALSE)="",0,100)</f>
        <v>100</v>
      </c>
      <c r="FG9" s="19">
        <f>IF(VLOOKUP(FG$2,Table1[[#All],[RC]:[Internal Corrosion rate]],9,FALSE)="",0,100)</f>
        <v>100</v>
      </c>
      <c r="FH9" s="19" t="e">
        <f>IF(VLOOKUP(FH$2,Table1[[#All],[RC]:[Internal Corrosion rate]],9,FALSE)="",0,100)</f>
        <v>#N/A</v>
      </c>
      <c r="FI9" s="19" t="e">
        <f>IF(VLOOKUP(FI$2,Table1[[#All],[RC]:[Internal Corrosion rate]],9,FALSE)="",0,100)</f>
        <v>#N/A</v>
      </c>
      <c r="FJ9" s="19">
        <f>IF(VLOOKUP(FJ$2,Table1[[#All],[RC]:[Internal Corrosion rate]],9,FALSE)="",0,100)</f>
        <v>100</v>
      </c>
      <c r="FK9" s="19">
        <f>IF(VLOOKUP(FK$2,Table1[[#All],[RC]:[Internal Corrosion rate]],9,FALSE)="",0,100)</f>
        <v>100</v>
      </c>
      <c r="FL9" s="19" t="e">
        <f>IF(VLOOKUP(FL$2,Table1[[#All],[RC]:[Internal Corrosion rate]],9,FALSE)="",0,100)</f>
        <v>#N/A</v>
      </c>
      <c r="FM9" s="19" t="e">
        <f>IF(VLOOKUP(FM$2,Table1[[#All],[RC]:[Internal Corrosion rate]],9,FALSE)="",0,100)</f>
        <v>#N/A</v>
      </c>
      <c r="FN9" s="19" t="e">
        <f>IF(VLOOKUP(FN$2,Table1[[#All],[RC]:[Internal Corrosion rate]],9,FALSE)="",0,100)</f>
        <v>#N/A</v>
      </c>
      <c r="FO9" s="19">
        <f>IF(VLOOKUP(FO$2,Table1[[#All],[RC]:[Internal Corrosion rate]],9,FALSE)="",0,100)</f>
        <v>100</v>
      </c>
      <c r="FP9" s="19">
        <f>IF(VLOOKUP(FP$2,Table1[[#All],[RC]:[Internal Corrosion rate]],9,FALSE)="",0,100)</f>
        <v>100</v>
      </c>
      <c r="FQ9" s="19">
        <f>IF(VLOOKUP(FQ$2,Table1[[#All],[RC]:[Internal Corrosion rate]],9,FALSE)="",0,100)</f>
        <v>100</v>
      </c>
      <c r="FR9" s="19">
        <f>IF(VLOOKUP(FR$2,Table1[[#All],[RC]:[Internal Corrosion rate]],9,FALSE)="",0,100)</f>
        <v>100</v>
      </c>
      <c r="FS9" s="19" t="e">
        <f>IF(VLOOKUP(FS$2,Table1[[#All],[RC]:[Internal Corrosion rate]],9,FALSE)="",0,100)</f>
        <v>#N/A</v>
      </c>
      <c r="FT9" s="19" t="e">
        <f>IF(VLOOKUP(FT$2,Table1[[#All],[RC]:[Internal Corrosion rate]],9,FALSE)="",0,100)</f>
        <v>#N/A</v>
      </c>
      <c r="FU9" s="19" t="e">
        <f>IF(VLOOKUP(FU$2,Table1[[#All],[RC]:[Internal Corrosion rate]],9,FALSE)="",0,100)</f>
        <v>#N/A</v>
      </c>
      <c r="FV9" s="19" t="e">
        <f>IF(VLOOKUP(FV$2,Table1[[#All],[RC]:[Internal Corrosion rate]],9,FALSE)="",0,100)</f>
        <v>#N/A</v>
      </c>
    </row>
    <row r="10" spans="1:178">
      <c r="A10" s="60" t="s">
        <v>36</v>
      </c>
      <c r="B10" s="19" t="e">
        <f>IF(VLOOKUP(B$2,Table1[[#All],[RC]:[Internal Corrosion rate]],10,FALSE)="",0,100)</f>
        <v>#N/A</v>
      </c>
      <c r="C10" s="19" t="e">
        <f>IF(VLOOKUP(C$2,Table1[[#All],[RC]:[Internal Corrosion rate]],10,FALSE)="",0,100)</f>
        <v>#N/A</v>
      </c>
      <c r="D10" s="19">
        <f>IF(VLOOKUP(D$2,Table1[[#All],[RC]:[Internal Corrosion rate]],10,FALSE)="",0,100)</f>
        <v>100</v>
      </c>
      <c r="E10" s="19">
        <f>IF(VLOOKUP(E$2,Table1[[#All],[RC]:[Internal Corrosion rate]],10,FALSE)="",0,100)</f>
        <v>100</v>
      </c>
      <c r="F10" s="19">
        <f>IF(VLOOKUP(F$2,Table1[[#All],[RC]:[Internal Corrosion rate]],10,FALSE)="",0,100)</f>
        <v>100</v>
      </c>
      <c r="G10" s="19">
        <f>IF(VLOOKUP(G$2,Table1[[#All],[RC]:[Internal Corrosion rate]],10,FALSE)="",0,100)</f>
        <v>100</v>
      </c>
      <c r="H10" s="19">
        <f>IF(VLOOKUP(H$2,Table1[[#All],[RC]:[Internal Corrosion rate]],10,FALSE)="",0,100)</f>
        <v>100</v>
      </c>
      <c r="I10" s="19">
        <f>IF(VLOOKUP(I$2,Table1[[#All],[RC]:[Internal Corrosion rate]],10,FALSE)="",0,100)</f>
        <v>100</v>
      </c>
      <c r="J10" s="19">
        <f>IF(VLOOKUP(J$2,Table1[[#All],[RC]:[Internal Corrosion rate]],10,FALSE)="",0,100)</f>
        <v>100</v>
      </c>
      <c r="K10" s="19">
        <f>IF(VLOOKUP(K$2,Table1[[#All],[RC]:[Internal Corrosion rate]],10,FALSE)="",0,100)</f>
        <v>100</v>
      </c>
      <c r="L10" s="19">
        <f>IF(VLOOKUP(L$2,Table1[[#All],[RC]:[Internal Corrosion rate]],10,FALSE)="",0,100)</f>
        <v>100</v>
      </c>
      <c r="M10" s="19" t="e">
        <f>IF(VLOOKUP(M$2,Table1[[#All],[RC]:[Internal Corrosion rate]],10,FALSE)="",0,100)</f>
        <v>#N/A</v>
      </c>
      <c r="N10" s="19">
        <f>IF(VLOOKUP(N$2,Table1[[#All],[RC]:[Internal Corrosion rate]],10,FALSE)="",0,100)</f>
        <v>100</v>
      </c>
      <c r="O10" s="19">
        <f>IF(VLOOKUP(O$2,Table1[[#All],[RC]:[Internal Corrosion rate]],10,FALSE)="",0,100)</f>
        <v>100</v>
      </c>
      <c r="P10" s="19">
        <f>IF(VLOOKUP(P$2,Table1[[#All],[RC]:[Internal Corrosion rate]],10,FALSE)="",0,100)</f>
        <v>100</v>
      </c>
      <c r="Q10" s="19">
        <f>IF(VLOOKUP(Q$2,Table1[[#All],[RC]:[Internal Corrosion rate]],10,FALSE)="",0,100)</f>
        <v>100</v>
      </c>
      <c r="R10" s="19">
        <f>IF(VLOOKUP(R$2,Table1[[#All],[RC]:[Internal Corrosion rate]],10,FALSE)="",0,100)</f>
        <v>100</v>
      </c>
      <c r="S10" s="19">
        <f>IF(VLOOKUP(S$2,Table1[[#All],[RC]:[Internal Corrosion rate]],10,FALSE)="",0,100)</f>
        <v>100</v>
      </c>
      <c r="T10" s="19">
        <f>IF(VLOOKUP(T$2,Table1[[#All],[RC]:[Internal Corrosion rate]],10,FALSE)="",0,100)</f>
        <v>100</v>
      </c>
      <c r="U10" s="19">
        <f>IF(VLOOKUP(U$2,Table1[[#All],[RC]:[Internal Corrosion rate]],10,FALSE)="",0,100)</f>
        <v>100</v>
      </c>
      <c r="V10" s="19">
        <f>IF(VLOOKUP(V$2,Table1[[#All],[RC]:[Internal Corrosion rate]],10,FALSE)="",0,100)</f>
        <v>100</v>
      </c>
      <c r="W10" s="19">
        <f>IF(VLOOKUP(W$2,Table1[[#All],[RC]:[Internal Corrosion rate]],10,FALSE)="",0,100)</f>
        <v>100</v>
      </c>
      <c r="X10" s="19">
        <f>IF(VLOOKUP(X$2,Table1[[#All],[RC]:[Internal Corrosion rate]],10,FALSE)="",0,100)</f>
        <v>100</v>
      </c>
      <c r="Y10" s="19" t="e">
        <f>IF(VLOOKUP(Y$2,Table1[[#All],[RC]:[Internal Corrosion rate]],10,FALSE)="",0,100)</f>
        <v>#N/A</v>
      </c>
      <c r="Z10" s="19" t="e">
        <f>IF(VLOOKUP(Z$2,Table1[[#All],[RC]:[Internal Corrosion rate]],10,FALSE)="",0,100)</f>
        <v>#N/A</v>
      </c>
      <c r="AA10" s="19">
        <f>IF(VLOOKUP(AA$2,Table1[[#All],[RC]:[Internal Corrosion rate]],10,FALSE)="",0,100)</f>
        <v>100</v>
      </c>
      <c r="AB10" s="19">
        <f>IF(VLOOKUP(AB$2,Table1[[#All],[RC]:[Internal Corrosion rate]],10,FALSE)="",0,100)</f>
        <v>100</v>
      </c>
      <c r="AC10" s="19">
        <f>IF(VLOOKUP(AC$2,Table1[[#All],[RC]:[Internal Corrosion rate]],10,FALSE)="",0,100)</f>
        <v>100</v>
      </c>
      <c r="AD10" s="19">
        <f>IF(VLOOKUP(AD$2,Table1[[#All],[RC]:[Internal Corrosion rate]],10,FALSE)="",0,100)</f>
        <v>100</v>
      </c>
      <c r="AE10" s="19" t="e">
        <f>IF(VLOOKUP(AE$2,Table1[[#All],[RC]:[Internal Corrosion rate]],10,FALSE)="",0,100)</f>
        <v>#N/A</v>
      </c>
      <c r="AF10" s="19">
        <f>IF(VLOOKUP(AF$2,Table1[[#All],[RC]:[Internal Corrosion rate]],10,FALSE)="",0,100)</f>
        <v>100</v>
      </c>
      <c r="AG10" s="19">
        <f>IF(VLOOKUP(AG$2,Table1[[#All],[RC]:[Internal Corrosion rate]],10,FALSE)="",0,100)</f>
        <v>100</v>
      </c>
      <c r="AH10" s="19">
        <f>IF(VLOOKUP(AH$2,Table1[[#All],[RC]:[Internal Corrosion rate]],10,FALSE)="",0,100)</f>
        <v>100</v>
      </c>
      <c r="AI10" s="19">
        <f>IF(VLOOKUP(AI$2,Table1[[#All],[RC]:[Internal Corrosion rate]],10,FALSE)="",0,100)</f>
        <v>100</v>
      </c>
      <c r="AJ10" s="19">
        <f>IF(VLOOKUP(AJ$2,Table1[[#All],[RC]:[Internal Corrosion rate]],10,FALSE)="",0,100)</f>
        <v>100</v>
      </c>
      <c r="AK10" s="19">
        <f>IF(VLOOKUP(AK$2,Table1[[#All],[RC]:[Internal Corrosion rate]],10,FALSE)="",0,100)</f>
        <v>100</v>
      </c>
      <c r="AL10" s="19" t="e">
        <f>IF(VLOOKUP(AL$2,Table1[[#All],[RC]:[Internal Corrosion rate]],10,FALSE)="",0,100)</f>
        <v>#N/A</v>
      </c>
      <c r="AM10" s="19" t="e">
        <f>IF(VLOOKUP(AM$2,Table1[[#All],[RC]:[Internal Corrosion rate]],10,FALSE)="",0,100)</f>
        <v>#N/A</v>
      </c>
      <c r="AN10" s="19" t="e">
        <f>IF(VLOOKUP(AN$2,Table1[[#All],[RC]:[Internal Corrosion rate]],10,FALSE)="",0,100)</f>
        <v>#N/A</v>
      </c>
      <c r="AO10" s="19">
        <f>IF(VLOOKUP(AO$2,Table1[[#All],[RC]:[Internal Corrosion rate]],10,FALSE)="",0,100)</f>
        <v>100</v>
      </c>
      <c r="AP10" s="19">
        <f>IF(VLOOKUP(AP$2,Table1[[#All],[RC]:[Internal Corrosion rate]],10,FALSE)="",0,100)</f>
        <v>100</v>
      </c>
      <c r="AQ10" s="19" t="e">
        <f>IF(VLOOKUP(AQ$2,Table1[[#All],[RC]:[Internal Corrosion rate]],10,FALSE)="",0,100)</f>
        <v>#N/A</v>
      </c>
      <c r="AR10" s="19" t="e">
        <f>IF(VLOOKUP(AR$2,Table1[[#All],[RC]:[Internal Corrosion rate]],10,FALSE)="",0,100)</f>
        <v>#N/A</v>
      </c>
      <c r="AS10" s="19" t="e">
        <f>IF(VLOOKUP(AS$2,Table1[[#All],[RC]:[Internal Corrosion rate]],10,FALSE)="",0,100)</f>
        <v>#N/A</v>
      </c>
      <c r="AT10" s="19">
        <f>IF(VLOOKUP(AT$2,Table1[[#All],[RC]:[Internal Corrosion rate]],10,FALSE)="",0,100)</f>
        <v>100</v>
      </c>
      <c r="AU10" s="19">
        <f>IF(VLOOKUP(AU$2,Table1[[#All],[RC]:[Internal Corrosion rate]],10,FALSE)="",0,100)</f>
        <v>100</v>
      </c>
      <c r="AV10" s="19">
        <f>IF(VLOOKUP(AV$2,Table1[[#All],[RC]:[Internal Corrosion rate]],10,FALSE)="",0,100)</f>
        <v>100</v>
      </c>
      <c r="AW10" s="19" t="e">
        <f>IF(VLOOKUP(AW$2,Table1[[#All],[RC]:[Internal Corrosion rate]],10,FALSE)="",0,100)</f>
        <v>#N/A</v>
      </c>
      <c r="AX10" s="19">
        <f>IF(VLOOKUP(AX$2,Table1[[#All],[RC]:[Internal Corrosion rate]],10,FALSE)="",0,100)</f>
        <v>100</v>
      </c>
      <c r="AY10" s="19">
        <f>IF(VLOOKUP(AY$2,Table1[[#All],[RC]:[Internal Corrosion rate]],10,FALSE)="",0,100)</f>
        <v>100</v>
      </c>
      <c r="AZ10" s="19">
        <f>IF(VLOOKUP(AZ$2,Table1[[#All],[RC]:[Internal Corrosion rate]],10,FALSE)="",0,100)</f>
        <v>100</v>
      </c>
      <c r="BA10" s="19" t="e">
        <f>IF(VLOOKUP(BA$2,Table1[[#All],[RC]:[Internal Corrosion rate]],10,FALSE)="",0,100)</f>
        <v>#N/A</v>
      </c>
      <c r="BB10" s="19">
        <f>IF(VLOOKUP(BB$2,Table1[[#All],[RC]:[Internal Corrosion rate]],10,FALSE)="",0,100)</f>
        <v>100</v>
      </c>
      <c r="BC10" s="19">
        <f>IF(VLOOKUP(BC$2,Table1[[#All],[RC]:[Internal Corrosion rate]],10,FALSE)="",0,100)</f>
        <v>100</v>
      </c>
      <c r="BD10" s="19" t="e">
        <f>IF(VLOOKUP(BD$2,Table1[[#All],[RC]:[Internal Corrosion rate]],10,FALSE)="",0,100)</f>
        <v>#N/A</v>
      </c>
      <c r="BE10" s="19">
        <f>IF(VLOOKUP(BE$2,Table1[[#All],[RC]:[Internal Corrosion rate]],10,FALSE)="",0,100)</f>
        <v>100</v>
      </c>
      <c r="BF10" s="19">
        <f>IF(VLOOKUP(BF$2,Table1[[#All],[RC]:[Internal Corrosion rate]],10,FALSE)="",0,100)</f>
        <v>100</v>
      </c>
      <c r="BG10" s="19">
        <f>IF(VLOOKUP(BG$2,Table1[[#All],[RC]:[Internal Corrosion rate]],10,FALSE)="",0,100)</f>
        <v>100</v>
      </c>
      <c r="BH10" s="19" t="e">
        <f>IF(VLOOKUP(BH$2,Table1[[#All],[RC]:[Internal Corrosion rate]],10,FALSE)="",0,100)</f>
        <v>#N/A</v>
      </c>
      <c r="BI10" s="19" t="e">
        <f>IF(VLOOKUP(BI$2,Table1[[#All],[RC]:[Internal Corrosion rate]],10,FALSE)="",0,100)</f>
        <v>#N/A</v>
      </c>
      <c r="BJ10" s="19" t="e">
        <f>IF(VLOOKUP(BJ$2,Table1[[#All],[RC]:[Internal Corrosion rate]],10,FALSE)="",0,100)</f>
        <v>#N/A</v>
      </c>
      <c r="BK10" s="19">
        <f>IF(VLOOKUP(BK$2,Table1[[#All],[RC]:[Internal Corrosion rate]],10,FALSE)="",0,100)</f>
        <v>100</v>
      </c>
      <c r="BL10" s="19">
        <f>IF(VLOOKUP(BL$2,Table1[[#All],[RC]:[Internal Corrosion rate]],10,FALSE)="",0,100)</f>
        <v>100</v>
      </c>
      <c r="BM10" s="19" t="e">
        <f>IF(VLOOKUP(BM$2,Table1[[#All],[RC]:[Internal Corrosion rate]],10,FALSE)="",0,100)</f>
        <v>#N/A</v>
      </c>
      <c r="BN10" s="19">
        <f>IF(VLOOKUP(BN$2,Table1[[#All],[RC]:[Internal Corrosion rate]],10,FALSE)="",0,100)</f>
        <v>100</v>
      </c>
      <c r="BO10" s="19">
        <f>IF(VLOOKUP(BO$2,Table1[[#All],[RC]:[Internal Corrosion rate]],10,FALSE)="",0,100)</f>
        <v>100</v>
      </c>
      <c r="BP10" s="19">
        <f>IF(VLOOKUP(BP$2,Table1[[#All],[RC]:[Internal Corrosion rate]],10,FALSE)="",0,100)</f>
        <v>100</v>
      </c>
      <c r="BQ10" s="19">
        <f>IF(VLOOKUP(BQ$2,Table1[[#All],[RC]:[Internal Corrosion rate]],10,FALSE)="",0,100)</f>
        <v>100</v>
      </c>
      <c r="BR10" s="19">
        <f>IF(VLOOKUP(BR$2,Table1[[#All],[RC]:[Internal Corrosion rate]],10,FALSE)="",0,100)</f>
        <v>100</v>
      </c>
      <c r="BS10" s="19">
        <f>IF(VLOOKUP(BS$2,Table1[[#All],[RC]:[Internal Corrosion rate]],10,FALSE)="",0,100)</f>
        <v>100</v>
      </c>
      <c r="BT10" s="19" t="e">
        <f>IF(VLOOKUP(BT$2,Table1[[#All],[RC]:[Internal Corrosion rate]],10,FALSE)="",0,100)</f>
        <v>#N/A</v>
      </c>
      <c r="BU10" s="19">
        <f>IF(VLOOKUP(BU$2,Table1[[#All],[RC]:[Internal Corrosion rate]],10,FALSE)="",0,100)</f>
        <v>100</v>
      </c>
      <c r="BV10" s="19" t="e">
        <f>IF(VLOOKUP(BV$2,Table1[[#All],[RC]:[Internal Corrosion rate]],10,FALSE)="",0,100)</f>
        <v>#N/A</v>
      </c>
      <c r="BW10" s="19">
        <f>IF(VLOOKUP(BW$2,Table1[[#All],[RC]:[Internal Corrosion rate]],10,FALSE)="",0,100)</f>
        <v>100</v>
      </c>
      <c r="BX10" s="19">
        <f>IF(VLOOKUP(BX$2,Table1[[#All],[RC]:[Internal Corrosion rate]],10,FALSE)="",0,100)</f>
        <v>100</v>
      </c>
      <c r="BY10" s="19">
        <f>IF(VLOOKUP(BY$2,Table1[[#All],[RC]:[Internal Corrosion rate]],10,FALSE)="",0,100)</f>
        <v>100</v>
      </c>
      <c r="BZ10" s="19">
        <f>IF(VLOOKUP(BZ$2,Table1[[#All],[RC]:[Internal Corrosion rate]],10,FALSE)="",0,100)</f>
        <v>100</v>
      </c>
      <c r="CA10" s="19">
        <f>IF(VLOOKUP(CA$2,Table1[[#All],[RC]:[Internal Corrosion rate]],10,FALSE)="",0,100)</f>
        <v>100</v>
      </c>
      <c r="CB10" s="19" t="e">
        <f>IF(VLOOKUP(CB$2,Table1[[#All],[RC]:[Internal Corrosion rate]],10,FALSE)="",0,100)</f>
        <v>#N/A</v>
      </c>
      <c r="CC10" s="19" t="e">
        <f>IF(VLOOKUP(CC$2,Table1[[#All],[RC]:[Internal Corrosion rate]],10,FALSE)="",0,100)</f>
        <v>#N/A</v>
      </c>
      <c r="CD10" s="19">
        <f>IF(VLOOKUP(CD$2,Table1[[#All],[RC]:[Internal Corrosion rate]],10,FALSE)="",0,100)</f>
        <v>100</v>
      </c>
      <c r="CE10" s="19">
        <f>IF(VLOOKUP(CE$2,Table1[[#All],[RC]:[Internal Corrosion rate]],10,FALSE)="",0,100)</f>
        <v>100</v>
      </c>
      <c r="CF10" s="19">
        <f>IF(VLOOKUP(CF$2,Table1[[#All],[RC]:[Internal Corrosion rate]],10,FALSE)="",0,100)</f>
        <v>100</v>
      </c>
      <c r="CG10" s="19">
        <f>IF(VLOOKUP(CG$2,Table1[[#All],[RC]:[Internal Corrosion rate]],10,FALSE)="",0,100)</f>
        <v>100</v>
      </c>
      <c r="CH10" s="19">
        <f>IF(VLOOKUP(CH$2,Table1[[#All],[RC]:[Internal Corrosion rate]],10,FALSE)="",0,100)</f>
        <v>100</v>
      </c>
      <c r="CI10" s="19">
        <f>IF(VLOOKUP(CI$2,Table1[[#All],[RC]:[Internal Corrosion rate]],10,FALSE)="",0,100)</f>
        <v>100</v>
      </c>
      <c r="CJ10" s="19">
        <f>IF(VLOOKUP(CJ$2,Table1[[#All],[RC]:[Internal Corrosion rate]],10,FALSE)="",0,100)</f>
        <v>100</v>
      </c>
      <c r="CK10" s="19">
        <f>IF(VLOOKUP(CK$2,Table1[[#All],[RC]:[Internal Corrosion rate]],10,FALSE)="",0,100)</f>
        <v>100</v>
      </c>
      <c r="CL10" s="19">
        <f>IF(VLOOKUP(CL$2,Table1[[#All],[RC]:[Internal Corrosion rate]],10,FALSE)="",0,100)</f>
        <v>100</v>
      </c>
      <c r="CM10" s="19">
        <f>IF(VLOOKUP(CM$2,Table1[[#All],[RC]:[Internal Corrosion rate]],10,FALSE)="",0,100)</f>
        <v>100</v>
      </c>
      <c r="CN10" s="19">
        <f>IF(VLOOKUP(CN$2,Table1[[#All],[RC]:[Internal Corrosion rate]],10,FALSE)="",0,100)</f>
        <v>100</v>
      </c>
      <c r="CO10" s="19">
        <f>IF(VLOOKUP(CO$2,Table1[[#All],[RC]:[Internal Corrosion rate]],10,FALSE)="",0,100)</f>
        <v>100</v>
      </c>
      <c r="CP10" s="19">
        <f>IF(VLOOKUP(CP$2,Table1[[#All],[RC]:[Internal Corrosion rate]],10,FALSE)="",0,100)</f>
        <v>100</v>
      </c>
      <c r="CQ10" s="19">
        <f>IF(VLOOKUP(CQ$2,Table1[[#All],[RC]:[Internal Corrosion rate]],10,FALSE)="",0,100)</f>
        <v>100</v>
      </c>
      <c r="CR10" s="19">
        <f>IF(VLOOKUP(CR$2,Table1[[#All],[RC]:[Internal Corrosion rate]],10,FALSE)="",0,100)</f>
        <v>100</v>
      </c>
      <c r="CS10" s="19">
        <f>IF(VLOOKUP(CS$2,Table1[[#All],[RC]:[Internal Corrosion rate]],10,FALSE)="",0,100)</f>
        <v>100</v>
      </c>
      <c r="CT10" s="19">
        <f>IF(VLOOKUP(CT$2,Table1[[#All],[RC]:[Internal Corrosion rate]],10,FALSE)="",0,100)</f>
        <v>100</v>
      </c>
      <c r="CU10" s="19">
        <f>IF(VLOOKUP(CU$2,Table1[[#All],[RC]:[Internal Corrosion rate]],10,FALSE)="",0,100)</f>
        <v>100</v>
      </c>
      <c r="CV10" s="19">
        <f>IF(VLOOKUP(CV$2,Table1[[#All],[RC]:[Internal Corrosion rate]],10,FALSE)="",0,100)</f>
        <v>100</v>
      </c>
      <c r="CW10" s="19">
        <f>IF(VLOOKUP(CW$2,Table1[[#All],[RC]:[Internal Corrosion rate]],10,FALSE)="",0,100)</f>
        <v>100</v>
      </c>
      <c r="CX10" s="19">
        <f>IF(VLOOKUP(CX$2,Table1[[#All],[RC]:[Internal Corrosion rate]],10,FALSE)="",0,100)</f>
        <v>100</v>
      </c>
      <c r="CY10" s="19">
        <f>IF(VLOOKUP(CY$2,Table1[[#All],[RC]:[Internal Corrosion rate]],10,FALSE)="",0,100)</f>
        <v>100</v>
      </c>
      <c r="CZ10" s="19">
        <f>IF(VLOOKUP(CZ$2,Table1[[#All],[RC]:[Internal Corrosion rate]],10,FALSE)="",0,100)</f>
        <v>100</v>
      </c>
      <c r="DA10" s="19">
        <f>IF(VLOOKUP(DA$2,Table1[[#All],[RC]:[Internal Corrosion rate]],10,FALSE)="",0,100)</f>
        <v>100</v>
      </c>
      <c r="DB10" s="19">
        <f>IF(VLOOKUP(DB$2,Table1[[#All],[RC]:[Internal Corrosion rate]],10,FALSE)="",0,100)</f>
        <v>100</v>
      </c>
      <c r="DC10" s="19">
        <f>IF(VLOOKUP(DC$2,Table1[[#All],[RC]:[Internal Corrosion rate]],10,FALSE)="",0,100)</f>
        <v>100</v>
      </c>
      <c r="DD10" s="19">
        <f>IF(VLOOKUP(DD$2,Table1[[#All],[RC]:[Internal Corrosion rate]],10,FALSE)="",0,100)</f>
        <v>100</v>
      </c>
      <c r="DE10" s="19">
        <f>IF(VLOOKUP(DE$2,Table1[[#All],[RC]:[Internal Corrosion rate]],10,FALSE)="",0,100)</f>
        <v>100</v>
      </c>
      <c r="DF10" s="19">
        <f>IF(VLOOKUP(DF$2,Table1[[#All],[RC]:[Internal Corrosion rate]],10,FALSE)="",0,100)</f>
        <v>100</v>
      </c>
      <c r="DG10" s="19" t="e">
        <f>IF(VLOOKUP(DG$2,Table1[[#All],[RC]:[Internal Corrosion rate]],10,FALSE)="",0,100)</f>
        <v>#N/A</v>
      </c>
      <c r="DH10" s="19" t="e">
        <f>IF(VLOOKUP(DH$2,Table1[[#All],[RC]:[Internal Corrosion rate]],10,FALSE)="",0,100)</f>
        <v>#N/A</v>
      </c>
      <c r="DI10" s="19" t="e">
        <f>IF(VLOOKUP(DI$2,Table1[[#All],[RC]:[Internal Corrosion rate]],10,FALSE)="",0,100)</f>
        <v>#N/A</v>
      </c>
      <c r="DJ10" s="19">
        <f>IF(VLOOKUP(DJ$2,Table1[[#All],[RC]:[Internal Corrosion rate]],10,FALSE)="",0,100)</f>
        <v>100</v>
      </c>
      <c r="DK10" s="19">
        <f>IF(VLOOKUP(DK$2,Table1[[#All],[RC]:[Internal Corrosion rate]],10,FALSE)="",0,100)</f>
        <v>100</v>
      </c>
      <c r="DL10" s="19">
        <f>IF(VLOOKUP(DL$2,Table1[[#All],[RC]:[Internal Corrosion rate]],10,FALSE)="",0,100)</f>
        <v>100</v>
      </c>
      <c r="DM10" s="19">
        <f>IF(VLOOKUP(DM$2,Table1[[#All],[RC]:[Internal Corrosion rate]],10,FALSE)="",0,100)</f>
        <v>100</v>
      </c>
      <c r="DN10" s="19">
        <f>IF(VLOOKUP(DN$2,Table1[[#All],[RC]:[Internal Corrosion rate]],10,FALSE)="",0,100)</f>
        <v>100</v>
      </c>
      <c r="DO10" s="19">
        <f>IF(VLOOKUP(DO$2,Table1[[#All],[RC]:[Internal Corrosion rate]],10,FALSE)="",0,100)</f>
        <v>100</v>
      </c>
      <c r="DP10" s="19" t="e">
        <f>IF(VLOOKUP(DP$2,Table1[[#All],[RC]:[Internal Corrosion rate]],10,FALSE)="",0,100)</f>
        <v>#N/A</v>
      </c>
      <c r="DQ10" s="19" t="e">
        <f>IF(VLOOKUP(DQ$2,Table1[[#All],[RC]:[Internal Corrosion rate]],10,FALSE)="",0,100)</f>
        <v>#N/A</v>
      </c>
      <c r="DR10" s="19" t="e">
        <f>IF(VLOOKUP(DR$2,Table1[[#All],[RC]:[Internal Corrosion rate]],10,FALSE)="",0,100)</f>
        <v>#N/A</v>
      </c>
      <c r="DS10" s="19" t="e">
        <f>IF(VLOOKUP(DS$2,Table1[[#All],[RC]:[Internal Corrosion rate]],10,FALSE)="",0,100)</f>
        <v>#N/A</v>
      </c>
      <c r="DT10" s="19">
        <f>IF(VLOOKUP(DT$2,Table1[[#All],[RC]:[Internal Corrosion rate]],10,FALSE)="",0,100)</f>
        <v>100</v>
      </c>
      <c r="DU10" s="19" t="e">
        <f>IF(VLOOKUP(DU$2,Table1[[#All],[RC]:[Internal Corrosion rate]],10,FALSE)="",0,100)</f>
        <v>#N/A</v>
      </c>
      <c r="DV10" s="19" t="e">
        <f>IF(VLOOKUP(DV$2,Table1[[#All],[RC]:[Internal Corrosion rate]],10,FALSE)="",0,100)</f>
        <v>#N/A</v>
      </c>
      <c r="DW10" s="19">
        <f>IF(VLOOKUP(DW$2,Table1[[#All],[RC]:[Internal Corrosion rate]],10,FALSE)="",0,100)</f>
        <v>100</v>
      </c>
      <c r="DX10" s="19">
        <f>IF(VLOOKUP(DX$2,Table1[[#All],[RC]:[Internal Corrosion rate]],10,FALSE)="",0,100)</f>
        <v>100</v>
      </c>
      <c r="DY10" s="19">
        <f>IF(VLOOKUP(DY$2,Table1[[#All],[RC]:[Internal Corrosion rate]],10,FALSE)="",0,100)</f>
        <v>100</v>
      </c>
      <c r="DZ10" s="19">
        <f>IF(VLOOKUP(DZ$2,Table1[[#All],[RC]:[Internal Corrosion rate]],10,FALSE)="",0,100)</f>
        <v>100</v>
      </c>
      <c r="EA10" s="19" t="e">
        <f>IF(VLOOKUP(EA$2,Table1[[#All],[RC]:[Internal Corrosion rate]],10,FALSE)="",0,100)</f>
        <v>#N/A</v>
      </c>
      <c r="EB10" s="19" t="e">
        <f>IF(VLOOKUP(EB$2,Table1[[#All],[RC]:[Internal Corrosion rate]],10,FALSE)="",0,100)</f>
        <v>#N/A</v>
      </c>
      <c r="EC10" s="19">
        <f>IF(VLOOKUP(EC$2,Table1[[#All],[RC]:[Internal Corrosion rate]],10,FALSE)="",0,100)</f>
        <v>100</v>
      </c>
      <c r="ED10" s="19">
        <f>IF(VLOOKUP(ED$2,Table1[[#All],[RC]:[Internal Corrosion rate]],10,FALSE)="",0,100)</f>
        <v>100</v>
      </c>
      <c r="EE10" s="19" t="e">
        <f>IF(VLOOKUP(EE$2,Table1[[#All],[RC]:[Internal Corrosion rate]],10,FALSE)="",0,100)</f>
        <v>#N/A</v>
      </c>
      <c r="EF10" s="19">
        <f>IF(VLOOKUP(EF$2,Table1[[#All],[RC]:[Internal Corrosion rate]],10,FALSE)="",0,100)</f>
        <v>100</v>
      </c>
      <c r="EG10" s="19">
        <f>IF(VLOOKUP(EG$2,Table1[[#All],[RC]:[Internal Corrosion rate]],10,FALSE)="",0,100)</f>
        <v>100</v>
      </c>
      <c r="EH10" s="19">
        <f>IF(VLOOKUP(EH$2,Table1[[#All],[RC]:[Internal Corrosion rate]],10,FALSE)="",0,100)</f>
        <v>100</v>
      </c>
      <c r="EI10" s="19">
        <f>IF(VLOOKUP(EI$2,Table1[[#All],[RC]:[Internal Corrosion rate]],10,FALSE)="",0,100)</f>
        <v>100</v>
      </c>
      <c r="EJ10" s="19">
        <f>IF(VLOOKUP(EJ$2,Table1[[#All],[RC]:[Internal Corrosion rate]],10,FALSE)="",0,100)</f>
        <v>100</v>
      </c>
      <c r="EK10" s="19" t="e">
        <f>IF(VLOOKUP(EK$2,Table1[[#All],[RC]:[Internal Corrosion rate]],10,FALSE)="",0,100)</f>
        <v>#N/A</v>
      </c>
      <c r="EL10" s="19" t="e">
        <f>IF(VLOOKUP(EL$2,Table1[[#All],[RC]:[Internal Corrosion rate]],10,FALSE)="",0,100)</f>
        <v>#N/A</v>
      </c>
      <c r="EM10" s="19" t="e">
        <f>IF(VLOOKUP(EM$2,Table1[[#All],[RC]:[Internal Corrosion rate]],10,FALSE)="",0,100)</f>
        <v>#N/A</v>
      </c>
      <c r="EN10" s="19" t="e">
        <f>IF(VLOOKUP(EN$2,Table1[[#All],[RC]:[Internal Corrosion rate]],10,FALSE)="",0,100)</f>
        <v>#N/A</v>
      </c>
      <c r="EO10" s="19" t="e">
        <f>IF(VLOOKUP(EO$2,Table1[[#All],[RC]:[Internal Corrosion rate]],10,FALSE)="",0,100)</f>
        <v>#N/A</v>
      </c>
      <c r="EP10" s="19" t="e">
        <f>IF(VLOOKUP(EP$2,Table1[[#All],[RC]:[Internal Corrosion rate]],10,FALSE)="",0,100)</f>
        <v>#N/A</v>
      </c>
      <c r="EQ10" s="19" t="e">
        <f>IF(VLOOKUP(EQ$2,Table1[[#All],[RC]:[Internal Corrosion rate]],10,FALSE)="",0,100)</f>
        <v>#N/A</v>
      </c>
      <c r="ER10" s="19" t="e">
        <f>IF(VLOOKUP(ER$2,Table1[[#All],[RC]:[Internal Corrosion rate]],10,FALSE)="",0,100)</f>
        <v>#N/A</v>
      </c>
      <c r="ES10" s="19">
        <f>IF(VLOOKUP(ES$2,Table1[[#All],[RC]:[Internal Corrosion rate]],10,FALSE)="",0,100)</f>
        <v>100</v>
      </c>
      <c r="ET10" s="19">
        <f>IF(VLOOKUP(ET$2,Table1[[#All],[RC]:[Internal Corrosion rate]],10,FALSE)="",0,100)</f>
        <v>100</v>
      </c>
      <c r="EU10" s="19">
        <f>IF(VLOOKUP(EU$2,Table1[[#All],[RC]:[Internal Corrosion rate]],10,FALSE)="",0,100)</f>
        <v>100</v>
      </c>
      <c r="EV10" s="19">
        <f>IF(VLOOKUP(EV$2,Table1[[#All],[RC]:[Internal Corrosion rate]],10,FALSE)="",0,100)</f>
        <v>100</v>
      </c>
      <c r="EW10" s="19">
        <f>IF(VLOOKUP(EW$2,Table1[[#All],[RC]:[Internal Corrosion rate]],10,FALSE)="",0,100)</f>
        <v>100</v>
      </c>
      <c r="EX10" s="19">
        <f>IF(VLOOKUP(EX$2,Table1[[#All],[RC]:[Internal Corrosion rate]],10,FALSE)="",0,100)</f>
        <v>100</v>
      </c>
      <c r="EY10" s="19" t="e">
        <f>IF(VLOOKUP(EY$2,Table1[[#All],[RC]:[Internal Corrosion rate]],10,FALSE)="",0,100)</f>
        <v>#N/A</v>
      </c>
      <c r="EZ10" s="19" t="e">
        <f>IF(VLOOKUP(EZ$2,Table1[[#All],[RC]:[Internal Corrosion rate]],10,FALSE)="",0,100)</f>
        <v>#N/A</v>
      </c>
      <c r="FA10" s="19" t="e">
        <f>IF(VLOOKUP(FA$2,Table1[[#All],[RC]:[Internal Corrosion rate]],10,FALSE)="",0,100)</f>
        <v>#N/A</v>
      </c>
      <c r="FB10" s="19">
        <f>IF(VLOOKUP(FB$2,Table1[[#All],[RC]:[Internal Corrosion rate]],10,FALSE)="",0,100)</f>
        <v>100</v>
      </c>
      <c r="FC10" s="19" t="e">
        <f>IF(VLOOKUP(FC$2,Table1[[#All],[RC]:[Internal Corrosion rate]],10,FALSE)="",0,100)</f>
        <v>#N/A</v>
      </c>
      <c r="FD10" s="19">
        <f>IF(VLOOKUP(FD$2,Table1[[#All],[RC]:[Internal Corrosion rate]],10,FALSE)="",0,100)</f>
        <v>100</v>
      </c>
      <c r="FE10" s="19">
        <f>IF(VLOOKUP(FE$2,Table1[[#All],[RC]:[Internal Corrosion rate]],10,FALSE)="",0,100)</f>
        <v>100</v>
      </c>
      <c r="FF10" s="19">
        <f>IF(VLOOKUP(FF$2,Table1[[#All],[RC]:[Internal Corrosion rate]],10,FALSE)="",0,100)</f>
        <v>100</v>
      </c>
      <c r="FG10" s="19">
        <f>IF(VLOOKUP(FG$2,Table1[[#All],[RC]:[Internal Corrosion rate]],10,FALSE)="",0,100)</f>
        <v>100</v>
      </c>
      <c r="FH10" s="19" t="e">
        <f>IF(VLOOKUP(FH$2,Table1[[#All],[RC]:[Internal Corrosion rate]],10,FALSE)="",0,100)</f>
        <v>#N/A</v>
      </c>
      <c r="FI10" s="19" t="e">
        <f>IF(VLOOKUP(FI$2,Table1[[#All],[RC]:[Internal Corrosion rate]],10,FALSE)="",0,100)</f>
        <v>#N/A</v>
      </c>
      <c r="FJ10" s="19">
        <f>IF(VLOOKUP(FJ$2,Table1[[#All],[RC]:[Internal Corrosion rate]],10,FALSE)="",0,100)</f>
        <v>100</v>
      </c>
      <c r="FK10" s="19">
        <f>IF(VLOOKUP(FK$2,Table1[[#All],[RC]:[Internal Corrosion rate]],10,FALSE)="",0,100)</f>
        <v>100</v>
      </c>
      <c r="FL10" s="19" t="e">
        <f>IF(VLOOKUP(FL$2,Table1[[#All],[RC]:[Internal Corrosion rate]],10,FALSE)="",0,100)</f>
        <v>#N/A</v>
      </c>
      <c r="FM10" s="19" t="e">
        <f>IF(VLOOKUP(FM$2,Table1[[#All],[RC]:[Internal Corrosion rate]],10,FALSE)="",0,100)</f>
        <v>#N/A</v>
      </c>
      <c r="FN10" s="19" t="e">
        <f>IF(VLOOKUP(FN$2,Table1[[#All],[RC]:[Internal Corrosion rate]],10,FALSE)="",0,100)</f>
        <v>#N/A</v>
      </c>
      <c r="FO10" s="19">
        <f>IF(VLOOKUP(FO$2,Table1[[#All],[RC]:[Internal Corrosion rate]],10,FALSE)="",0,100)</f>
        <v>100</v>
      </c>
      <c r="FP10" s="19">
        <f>IF(VLOOKUP(FP$2,Table1[[#All],[RC]:[Internal Corrosion rate]],10,FALSE)="",0,100)</f>
        <v>100</v>
      </c>
      <c r="FQ10" s="19">
        <f>IF(VLOOKUP(FQ$2,Table1[[#All],[RC]:[Internal Corrosion rate]],10,FALSE)="",0,100)</f>
        <v>100</v>
      </c>
      <c r="FR10" s="19">
        <f>IF(VLOOKUP(FR$2,Table1[[#All],[RC]:[Internal Corrosion rate]],10,FALSE)="",0,100)</f>
        <v>100</v>
      </c>
      <c r="FS10" s="19" t="e">
        <f>IF(VLOOKUP(FS$2,Table1[[#All],[RC]:[Internal Corrosion rate]],10,FALSE)="",0,100)</f>
        <v>#N/A</v>
      </c>
      <c r="FT10" s="19" t="e">
        <f>IF(VLOOKUP(FT$2,Table1[[#All],[RC]:[Internal Corrosion rate]],10,FALSE)="",0,100)</f>
        <v>#N/A</v>
      </c>
      <c r="FU10" s="19" t="e">
        <f>IF(VLOOKUP(FU$2,Table1[[#All],[RC]:[Internal Corrosion rate]],10,FALSE)="",0,100)</f>
        <v>#N/A</v>
      </c>
      <c r="FV10" s="19" t="e">
        <f>IF(VLOOKUP(FV$2,Table1[[#All],[RC]:[Internal Corrosion rate]],10,FALSE)="",0,100)</f>
        <v>#N/A</v>
      </c>
    </row>
    <row r="11" spans="1:178">
      <c r="A11" s="60" t="s">
        <v>41</v>
      </c>
      <c r="B11" s="19" t="e">
        <f>IF(VLOOKUP(B$2,Table1[[#All],[RC]:[Internal Corrosion rate]],11,FALSE)="",11,100)</f>
        <v>#N/A</v>
      </c>
      <c r="C11" s="19" t="e">
        <f>IF(VLOOKUP(C$2,Table1[[#All],[RC]:[Internal Corrosion rate]],11,FALSE)="",11,100)</f>
        <v>#N/A</v>
      </c>
      <c r="D11" s="19">
        <f>IF(VLOOKUP(D$2,Table1[[#All],[RC]:[Internal Corrosion rate]],11,FALSE)="",11,100)</f>
        <v>100</v>
      </c>
      <c r="E11" s="19">
        <f>IF(VLOOKUP(E$2,Table1[[#All],[RC]:[Internal Corrosion rate]],11,FALSE)="",11,100)</f>
        <v>100</v>
      </c>
      <c r="F11" s="19">
        <f>IF(VLOOKUP(F$2,Table1[[#All],[RC]:[Internal Corrosion rate]],11,FALSE)="",11,100)</f>
        <v>100</v>
      </c>
      <c r="G11" s="19">
        <f>IF(VLOOKUP(G$2,Table1[[#All],[RC]:[Internal Corrosion rate]],11,FALSE)="",11,100)</f>
        <v>100</v>
      </c>
      <c r="H11" s="19">
        <f>IF(VLOOKUP(H$2,Table1[[#All],[RC]:[Internal Corrosion rate]],11,FALSE)="",11,100)</f>
        <v>100</v>
      </c>
      <c r="I11" s="19">
        <f>IF(VLOOKUP(I$2,Table1[[#All],[RC]:[Internal Corrosion rate]],11,FALSE)="",11,100)</f>
        <v>100</v>
      </c>
      <c r="J11" s="19">
        <f>IF(VLOOKUP(J$2,Table1[[#All],[RC]:[Internal Corrosion rate]],11,FALSE)="",11,100)</f>
        <v>100</v>
      </c>
      <c r="K11" s="19">
        <f>IF(VLOOKUP(K$2,Table1[[#All],[RC]:[Internal Corrosion rate]],11,FALSE)="",11,100)</f>
        <v>100</v>
      </c>
      <c r="L11" s="19">
        <f>IF(VLOOKUP(L$2,Table1[[#All],[RC]:[Internal Corrosion rate]],11,FALSE)="",11,100)</f>
        <v>100</v>
      </c>
      <c r="M11" s="19" t="e">
        <f>IF(VLOOKUP(M$2,Table1[[#All],[RC]:[Internal Corrosion rate]],11,FALSE)="",11,100)</f>
        <v>#N/A</v>
      </c>
      <c r="N11" s="19">
        <f>IF(VLOOKUP(N$2,Table1[[#All],[RC]:[Internal Corrosion rate]],11,FALSE)="",11,100)</f>
        <v>100</v>
      </c>
      <c r="O11" s="19">
        <f>IF(VLOOKUP(O$2,Table1[[#All],[RC]:[Internal Corrosion rate]],11,FALSE)="",11,100)</f>
        <v>100</v>
      </c>
      <c r="P11" s="19">
        <f>IF(VLOOKUP(P$2,Table1[[#All],[RC]:[Internal Corrosion rate]],11,FALSE)="",11,100)</f>
        <v>100</v>
      </c>
      <c r="Q11" s="19">
        <f>IF(VLOOKUP(Q$2,Table1[[#All],[RC]:[Internal Corrosion rate]],11,FALSE)="",11,100)</f>
        <v>100</v>
      </c>
      <c r="R11" s="19">
        <f>IF(VLOOKUP(R$2,Table1[[#All],[RC]:[Internal Corrosion rate]],11,FALSE)="",11,100)</f>
        <v>100</v>
      </c>
      <c r="S11" s="19">
        <f>IF(VLOOKUP(S$2,Table1[[#All],[RC]:[Internal Corrosion rate]],11,FALSE)="",11,100)</f>
        <v>100</v>
      </c>
      <c r="T11" s="19">
        <f>IF(VLOOKUP(T$2,Table1[[#All],[RC]:[Internal Corrosion rate]],11,FALSE)="",11,100)</f>
        <v>100</v>
      </c>
      <c r="U11" s="19">
        <f>IF(VLOOKUP(U$2,Table1[[#All],[RC]:[Internal Corrosion rate]],11,FALSE)="",11,100)</f>
        <v>100</v>
      </c>
      <c r="V11" s="19">
        <f>IF(VLOOKUP(V$2,Table1[[#All],[RC]:[Internal Corrosion rate]],11,FALSE)="",11,100)</f>
        <v>100</v>
      </c>
      <c r="W11" s="19">
        <f>IF(VLOOKUP(W$2,Table1[[#All],[RC]:[Internal Corrosion rate]],11,FALSE)="",11,100)</f>
        <v>100</v>
      </c>
      <c r="X11" s="19">
        <f>IF(VLOOKUP(X$2,Table1[[#All],[RC]:[Internal Corrosion rate]],11,FALSE)="",11,100)</f>
        <v>100</v>
      </c>
      <c r="Y11" s="19" t="e">
        <f>IF(VLOOKUP(Y$2,Table1[[#All],[RC]:[Internal Corrosion rate]],11,FALSE)="",11,100)</f>
        <v>#N/A</v>
      </c>
      <c r="Z11" s="19" t="e">
        <f>IF(VLOOKUP(Z$2,Table1[[#All],[RC]:[Internal Corrosion rate]],11,FALSE)="",11,100)</f>
        <v>#N/A</v>
      </c>
      <c r="AA11" s="19">
        <f>IF(VLOOKUP(AA$2,Table1[[#All],[RC]:[Internal Corrosion rate]],11,FALSE)="",11,100)</f>
        <v>100</v>
      </c>
      <c r="AB11" s="19">
        <f>IF(VLOOKUP(AB$2,Table1[[#All],[RC]:[Internal Corrosion rate]],11,FALSE)="",11,100)</f>
        <v>100</v>
      </c>
      <c r="AC11" s="19">
        <f>IF(VLOOKUP(AC$2,Table1[[#All],[RC]:[Internal Corrosion rate]],11,FALSE)="",11,100)</f>
        <v>100</v>
      </c>
      <c r="AD11" s="19">
        <f>IF(VLOOKUP(AD$2,Table1[[#All],[RC]:[Internal Corrosion rate]],11,FALSE)="",11,100)</f>
        <v>100</v>
      </c>
      <c r="AE11" s="19" t="e">
        <f>IF(VLOOKUP(AE$2,Table1[[#All],[RC]:[Internal Corrosion rate]],11,FALSE)="",11,100)</f>
        <v>#N/A</v>
      </c>
      <c r="AF11" s="19">
        <f>IF(VLOOKUP(AF$2,Table1[[#All],[RC]:[Internal Corrosion rate]],11,FALSE)="",11,100)</f>
        <v>100</v>
      </c>
      <c r="AG11" s="19">
        <f>IF(VLOOKUP(AG$2,Table1[[#All],[RC]:[Internal Corrosion rate]],11,FALSE)="",11,100)</f>
        <v>100</v>
      </c>
      <c r="AH11" s="19">
        <f>IF(VLOOKUP(AH$2,Table1[[#All],[RC]:[Internal Corrosion rate]],11,FALSE)="",11,100)</f>
        <v>100</v>
      </c>
      <c r="AI11" s="19">
        <f>IF(VLOOKUP(AI$2,Table1[[#All],[RC]:[Internal Corrosion rate]],11,FALSE)="",11,100)</f>
        <v>100</v>
      </c>
      <c r="AJ11" s="19">
        <f>IF(VLOOKUP(AJ$2,Table1[[#All],[RC]:[Internal Corrosion rate]],11,FALSE)="",11,100)</f>
        <v>100</v>
      </c>
      <c r="AK11" s="19">
        <f>IF(VLOOKUP(AK$2,Table1[[#All],[RC]:[Internal Corrosion rate]],11,FALSE)="",11,100)</f>
        <v>100</v>
      </c>
      <c r="AL11" s="19" t="e">
        <f>IF(VLOOKUP(AL$2,Table1[[#All],[RC]:[Internal Corrosion rate]],11,FALSE)="",11,100)</f>
        <v>#N/A</v>
      </c>
      <c r="AM11" s="19" t="e">
        <f>IF(VLOOKUP(AM$2,Table1[[#All],[RC]:[Internal Corrosion rate]],11,FALSE)="",11,100)</f>
        <v>#N/A</v>
      </c>
      <c r="AN11" s="19" t="e">
        <f>IF(VLOOKUP(AN$2,Table1[[#All],[RC]:[Internal Corrosion rate]],11,FALSE)="",11,100)</f>
        <v>#N/A</v>
      </c>
      <c r="AO11" s="19">
        <f>IF(VLOOKUP(AO$2,Table1[[#All],[RC]:[Internal Corrosion rate]],11,FALSE)="",11,100)</f>
        <v>100</v>
      </c>
      <c r="AP11" s="19">
        <f>IF(VLOOKUP(AP$2,Table1[[#All],[RC]:[Internal Corrosion rate]],11,FALSE)="",11,100)</f>
        <v>100</v>
      </c>
      <c r="AQ11" s="19" t="e">
        <f>IF(VLOOKUP(AQ$2,Table1[[#All],[RC]:[Internal Corrosion rate]],11,FALSE)="",11,100)</f>
        <v>#N/A</v>
      </c>
      <c r="AR11" s="19" t="e">
        <f>IF(VLOOKUP(AR$2,Table1[[#All],[RC]:[Internal Corrosion rate]],11,FALSE)="",11,100)</f>
        <v>#N/A</v>
      </c>
      <c r="AS11" s="19" t="e">
        <f>IF(VLOOKUP(AS$2,Table1[[#All],[RC]:[Internal Corrosion rate]],11,FALSE)="",11,100)</f>
        <v>#N/A</v>
      </c>
      <c r="AT11" s="19">
        <f>IF(VLOOKUP(AT$2,Table1[[#All],[RC]:[Internal Corrosion rate]],11,FALSE)="",11,100)</f>
        <v>100</v>
      </c>
      <c r="AU11" s="19">
        <f>IF(VLOOKUP(AU$2,Table1[[#All],[RC]:[Internal Corrosion rate]],11,FALSE)="",11,100)</f>
        <v>100</v>
      </c>
      <c r="AV11" s="19">
        <f>IF(VLOOKUP(AV$2,Table1[[#All],[RC]:[Internal Corrosion rate]],11,FALSE)="",11,100)</f>
        <v>100</v>
      </c>
      <c r="AW11" s="19" t="e">
        <f>IF(VLOOKUP(AW$2,Table1[[#All],[RC]:[Internal Corrosion rate]],11,FALSE)="",11,100)</f>
        <v>#N/A</v>
      </c>
      <c r="AX11" s="19">
        <f>IF(VLOOKUP(AX$2,Table1[[#All],[RC]:[Internal Corrosion rate]],11,FALSE)="",11,100)</f>
        <v>100</v>
      </c>
      <c r="AY11" s="19">
        <f>IF(VLOOKUP(AY$2,Table1[[#All],[RC]:[Internal Corrosion rate]],11,FALSE)="",11,100)</f>
        <v>100</v>
      </c>
      <c r="AZ11" s="19">
        <f>IF(VLOOKUP(AZ$2,Table1[[#All],[RC]:[Internal Corrosion rate]],11,FALSE)="",11,100)</f>
        <v>100</v>
      </c>
      <c r="BA11" s="19" t="e">
        <f>IF(VLOOKUP(BA$2,Table1[[#All],[RC]:[Internal Corrosion rate]],11,FALSE)="",11,100)</f>
        <v>#N/A</v>
      </c>
      <c r="BB11" s="19">
        <f>IF(VLOOKUP(BB$2,Table1[[#All],[RC]:[Internal Corrosion rate]],11,FALSE)="",11,100)</f>
        <v>100</v>
      </c>
      <c r="BC11" s="19">
        <f>IF(VLOOKUP(BC$2,Table1[[#All],[RC]:[Internal Corrosion rate]],11,FALSE)="",11,100)</f>
        <v>100</v>
      </c>
      <c r="BD11" s="19" t="e">
        <f>IF(VLOOKUP(BD$2,Table1[[#All],[RC]:[Internal Corrosion rate]],11,FALSE)="",11,100)</f>
        <v>#N/A</v>
      </c>
      <c r="BE11" s="19">
        <f>IF(VLOOKUP(BE$2,Table1[[#All],[RC]:[Internal Corrosion rate]],11,FALSE)="",11,100)</f>
        <v>100</v>
      </c>
      <c r="BF11" s="19">
        <f>IF(VLOOKUP(BF$2,Table1[[#All],[RC]:[Internal Corrosion rate]],11,FALSE)="",11,100)</f>
        <v>100</v>
      </c>
      <c r="BG11" s="19">
        <f>IF(VLOOKUP(BG$2,Table1[[#All],[RC]:[Internal Corrosion rate]],11,FALSE)="",11,100)</f>
        <v>100</v>
      </c>
      <c r="BH11" s="19" t="e">
        <f>IF(VLOOKUP(BH$2,Table1[[#All],[RC]:[Internal Corrosion rate]],11,FALSE)="",11,100)</f>
        <v>#N/A</v>
      </c>
      <c r="BI11" s="19" t="e">
        <f>IF(VLOOKUP(BI$2,Table1[[#All],[RC]:[Internal Corrosion rate]],11,FALSE)="",11,100)</f>
        <v>#N/A</v>
      </c>
      <c r="BJ11" s="19" t="e">
        <f>IF(VLOOKUP(BJ$2,Table1[[#All],[RC]:[Internal Corrosion rate]],11,FALSE)="",11,100)</f>
        <v>#N/A</v>
      </c>
      <c r="BK11" s="19">
        <f>IF(VLOOKUP(BK$2,Table1[[#All],[RC]:[Internal Corrosion rate]],11,FALSE)="",11,100)</f>
        <v>100</v>
      </c>
      <c r="BL11" s="19">
        <f>IF(VLOOKUP(BL$2,Table1[[#All],[RC]:[Internal Corrosion rate]],11,FALSE)="",11,100)</f>
        <v>100</v>
      </c>
      <c r="BM11" s="19" t="e">
        <f>IF(VLOOKUP(BM$2,Table1[[#All],[RC]:[Internal Corrosion rate]],11,FALSE)="",11,100)</f>
        <v>#N/A</v>
      </c>
      <c r="BN11" s="19">
        <f>IF(VLOOKUP(BN$2,Table1[[#All],[RC]:[Internal Corrosion rate]],11,FALSE)="",11,100)</f>
        <v>100</v>
      </c>
      <c r="BO11" s="19">
        <f>IF(VLOOKUP(BO$2,Table1[[#All],[RC]:[Internal Corrosion rate]],11,FALSE)="",11,100)</f>
        <v>100</v>
      </c>
      <c r="BP11" s="19">
        <f>IF(VLOOKUP(BP$2,Table1[[#All],[RC]:[Internal Corrosion rate]],11,FALSE)="",11,100)</f>
        <v>100</v>
      </c>
      <c r="BQ11" s="19">
        <f>IF(VLOOKUP(BQ$2,Table1[[#All],[RC]:[Internal Corrosion rate]],11,FALSE)="",11,100)</f>
        <v>100</v>
      </c>
      <c r="BR11" s="19">
        <f>IF(VLOOKUP(BR$2,Table1[[#All],[RC]:[Internal Corrosion rate]],11,FALSE)="",11,100)</f>
        <v>100</v>
      </c>
      <c r="BS11" s="19">
        <f>IF(VLOOKUP(BS$2,Table1[[#All],[RC]:[Internal Corrosion rate]],11,FALSE)="",11,100)</f>
        <v>100</v>
      </c>
      <c r="BT11" s="19" t="e">
        <f>IF(VLOOKUP(BT$2,Table1[[#All],[RC]:[Internal Corrosion rate]],11,FALSE)="",11,100)</f>
        <v>#N/A</v>
      </c>
      <c r="BU11" s="19">
        <f>IF(VLOOKUP(BU$2,Table1[[#All],[RC]:[Internal Corrosion rate]],11,FALSE)="",11,100)</f>
        <v>100</v>
      </c>
      <c r="BV11" s="19" t="e">
        <f>IF(VLOOKUP(BV$2,Table1[[#All],[RC]:[Internal Corrosion rate]],11,FALSE)="",11,100)</f>
        <v>#N/A</v>
      </c>
      <c r="BW11" s="19">
        <f>IF(VLOOKUP(BW$2,Table1[[#All],[RC]:[Internal Corrosion rate]],11,FALSE)="",11,100)</f>
        <v>100</v>
      </c>
      <c r="BX11" s="19">
        <f>IF(VLOOKUP(BX$2,Table1[[#All],[RC]:[Internal Corrosion rate]],11,FALSE)="",11,100)</f>
        <v>100</v>
      </c>
      <c r="BY11" s="19">
        <f>IF(VLOOKUP(BY$2,Table1[[#All],[RC]:[Internal Corrosion rate]],11,FALSE)="",11,100)</f>
        <v>100</v>
      </c>
      <c r="BZ11" s="19">
        <f>IF(VLOOKUP(BZ$2,Table1[[#All],[RC]:[Internal Corrosion rate]],11,FALSE)="",11,100)</f>
        <v>100</v>
      </c>
      <c r="CA11" s="19">
        <f>IF(VLOOKUP(CA$2,Table1[[#All],[RC]:[Internal Corrosion rate]],11,FALSE)="",11,100)</f>
        <v>100</v>
      </c>
      <c r="CB11" s="19" t="e">
        <f>IF(VLOOKUP(CB$2,Table1[[#All],[RC]:[Internal Corrosion rate]],11,FALSE)="",11,100)</f>
        <v>#N/A</v>
      </c>
      <c r="CC11" s="19" t="e">
        <f>IF(VLOOKUP(CC$2,Table1[[#All],[RC]:[Internal Corrosion rate]],11,FALSE)="",11,100)</f>
        <v>#N/A</v>
      </c>
      <c r="CD11" s="19">
        <f>IF(VLOOKUP(CD$2,Table1[[#All],[RC]:[Internal Corrosion rate]],11,FALSE)="",11,100)</f>
        <v>100</v>
      </c>
      <c r="CE11" s="19">
        <f>IF(VLOOKUP(CE$2,Table1[[#All],[RC]:[Internal Corrosion rate]],11,FALSE)="",11,100)</f>
        <v>100</v>
      </c>
      <c r="CF11" s="19">
        <f>IF(VLOOKUP(CF$2,Table1[[#All],[RC]:[Internal Corrosion rate]],11,FALSE)="",11,100)</f>
        <v>100</v>
      </c>
      <c r="CG11" s="19">
        <f>IF(VLOOKUP(CG$2,Table1[[#All],[RC]:[Internal Corrosion rate]],11,FALSE)="",11,100)</f>
        <v>100</v>
      </c>
      <c r="CH11" s="19">
        <f>IF(VLOOKUP(CH$2,Table1[[#All],[RC]:[Internal Corrosion rate]],11,FALSE)="",11,100)</f>
        <v>100</v>
      </c>
      <c r="CI11" s="19">
        <f>IF(VLOOKUP(CI$2,Table1[[#All],[RC]:[Internal Corrosion rate]],11,FALSE)="",11,100)</f>
        <v>100</v>
      </c>
      <c r="CJ11" s="19">
        <f>IF(VLOOKUP(CJ$2,Table1[[#All],[RC]:[Internal Corrosion rate]],11,FALSE)="",11,100)</f>
        <v>100</v>
      </c>
      <c r="CK11" s="19">
        <f>IF(VLOOKUP(CK$2,Table1[[#All],[RC]:[Internal Corrosion rate]],11,FALSE)="",11,100)</f>
        <v>100</v>
      </c>
      <c r="CL11" s="19">
        <f>IF(VLOOKUP(CL$2,Table1[[#All],[RC]:[Internal Corrosion rate]],11,FALSE)="",11,100)</f>
        <v>100</v>
      </c>
      <c r="CM11" s="19">
        <f>IF(VLOOKUP(CM$2,Table1[[#All],[RC]:[Internal Corrosion rate]],11,FALSE)="",11,100)</f>
        <v>100</v>
      </c>
      <c r="CN11" s="19">
        <f>IF(VLOOKUP(CN$2,Table1[[#All],[RC]:[Internal Corrosion rate]],11,FALSE)="",11,100)</f>
        <v>100</v>
      </c>
      <c r="CO11" s="19">
        <f>IF(VLOOKUP(CO$2,Table1[[#All],[RC]:[Internal Corrosion rate]],11,FALSE)="",11,100)</f>
        <v>100</v>
      </c>
      <c r="CP11" s="19">
        <f>IF(VLOOKUP(CP$2,Table1[[#All],[RC]:[Internal Corrosion rate]],11,FALSE)="",11,100)</f>
        <v>100</v>
      </c>
      <c r="CQ11" s="19">
        <f>IF(VLOOKUP(CQ$2,Table1[[#All],[RC]:[Internal Corrosion rate]],11,FALSE)="",11,100)</f>
        <v>100</v>
      </c>
      <c r="CR11" s="19">
        <f>IF(VLOOKUP(CR$2,Table1[[#All],[RC]:[Internal Corrosion rate]],11,FALSE)="",11,100)</f>
        <v>100</v>
      </c>
      <c r="CS11" s="19">
        <f>IF(VLOOKUP(CS$2,Table1[[#All],[RC]:[Internal Corrosion rate]],11,FALSE)="",11,100)</f>
        <v>100</v>
      </c>
      <c r="CT11" s="19">
        <f>IF(VLOOKUP(CT$2,Table1[[#All],[RC]:[Internal Corrosion rate]],11,FALSE)="",11,100)</f>
        <v>100</v>
      </c>
      <c r="CU11" s="19">
        <f>IF(VLOOKUP(CU$2,Table1[[#All],[RC]:[Internal Corrosion rate]],11,FALSE)="",11,100)</f>
        <v>100</v>
      </c>
      <c r="CV11" s="19">
        <f>IF(VLOOKUP(CV$2,Table1[[#All],[RC]:[Internal Corrosion rate]],11,FALSE)="",11,100)</f>
        <v>100</v>
      </c>
      <c r="CW11" s="19">
        <f>IF(VLOOKUP(CW$2,Table1[[#All],[RC]:[Internal Corrosion rate]],11,FALSE)="",11,100)</f>
        <v>100</v>
      </c>
      <c r="CX11" s="19">
        <f>IF(VLOOKUP(CX$2,Table1[[#All],[RC]:[Internal Corrosion rate]],11,FALSE)="",11,100)</f>
        <v>100</v>
      </c>
      <c r="CY11" s="19">
        <f>IF(VLOOKUP(CY$2,Table1[[#All],[RC]:[Internal Corrosion rate]],11,FALSE)="",11,100)</f>
        <v>100</v>
      </c>
      <c r="CZ11" s="19">
        <f>IF(VLOOKUP(CZ$2,Table1[[#All],[RC]:[Internal Corrosion rate]],11,FALSE)="",11,100)</f>
        <v>100</v>
      </c>
      <c r="DA11" s="19">
        <f>IF(VLOOKUP(DA$2,Table1[[#All],[RC]:[Internal Corrosion rate]],11,FALSE)="",11,100)</f>
        <v>100</v>
      </c>
      <c r="DB11" s="19">
        <f>IF(VLOOKUP(DB$2,Table1[[#All],[RC]:[Internal Corrosion rate]],11,FALSE)="",11,100)</f>
        <v>100</v>
      </c>
      <c r="DC11" s="19">
        <f>IF(VLOOKUP(DC$2,Table1[[#All],[RC]:[Internal Corrosion rate]],11,FALSE)="",11,100)</f>
        <v>100</v>
      </c>
      <c r="DD11" s="19">
        <f>IF(VLOOKUP(DD$2,Table1[[#All],[RC]:[Internal Corrosion rate]],11,FALSE)="",11,100)</f>
        <v>100</v>
      </c>
      <c r="DE11" s="19">
        <f>IF(VLOOKUP(DE$2,Table1[[#All],[RC]:[Internal Corrosion rate]],11,FALSE)="",11,100)</f>
        <v>100</v>
      </c>
      <c r="DF11" s="19">
        <f>IF(VLOOKUP(DF$2,Table1[[#All],[RC]:[Internal Corrosion rate]],11,FALSE)="",11,100)</f>
        <v>100</v>
      </c>
      <c r="DG11" s="19" t="e">
        <f>IF(VLOOKUP(DG$2,Table1[[#All],[RC]:[Internal Corrosion rate]],11,FALSE)="",11,100)</f>
        <v>#N/A</v>
      </c>
      <c r="DH11" s="19" t="e">
        <f>IF(VLOOKUP(DH$2,Table1[[#All],[RC]:[Internal Corrosion rate]],11,FALSE)="",11,100)</f>
        <v>#N/A</v>
      </c>
      <c r="DI11" s="19" t="e">
        <f>IF(VLOOKUP(DI$2,Table1[[#All],[RC]:[Internal Corrosion rate]],11,FALSE)="",11,100)</f>
        <v>#N/A</v>
      </c>
      <c r="DJ11" s="19">
        <f>IF(VLOOKUP(DJ$2,Table1[[#All],[RC]:[Internal Corrosion rate]],11,FALSE)="",11,100)</f>
        <v>100</v>
      </c>
      <c r="DK11" s="19">
        <f>IF(VLOOKUP(DK$2,Table1[[#All],[RC]:[Internal Corrosion rate]],11,FALSE)="",11,100)</f>
        <v>100</v>
      </c>
      <c r="DL11" s="19">
        <f>IF(VLOOKUP(DL$2,Table1[[#All],[RC]:[Internal Corrosion rate]],11,FALSE)="",11,100)</f>
        <v>100</v>
      </c>
      <c r="DM11" s="19">
        <f>IF(VLOOKUP(DM$2,Table1[[#All],[RC]:[Internal Corrosion rate]],11,FALSE)="",11,100)</f>
        <v>100</v>
      </c>
      <c r="DN11" s="19">
        <f>IF(VLOOKUP(DN$2,Table1[[#All],[RC]:[Internal Corrosion rate]],11,FALSE)="",11,100)</f>
        <v>100</v>
      </c>
      <c r="DO11" s="19">
        <f>IF(VLOOKUP(DO$2,Table1[[#All],[RC]:[Internal Corrosion rate]],11,FALSE)="",11,100)</f>
        <v>100</v>
      </c>
      <c r="DP11" s="19" t="e">
        <f>IF(VLOOKUP(DP$2,Table1[[#All],[RC]:[Internal Corrosion rate]],11,FALSE)="",11,100)</f>
        <v>#N/A</v>
      </c>
      <c r="DQ11" s="19" t="e">
        <f>IF(VLOOKUP(DQ$2,Table1[[#All],[RC]:[Internal Corrosion rate]],11,FALSE)="",11,100)</f>
        <v>#N/A</v>
      </c>
      <c r="DR11" s="19" t="e">
        <f>IF(VLOOKUP(DR$2,Table1[[#All],[RC]:[Internal Corrosion rate]],11,FALSE)="",11,100)</f>
        <v>#N/A</v>
      </c>
      <c r="DS11" s="19" t="e">
        <f>IF(VLOOKUP(DS$2,Table1[[#All],[RC]:[Internal Corrosion rate]],11,FALSE)="",11,100)</f>
        <v>#N/A</v>
      </c>
      <c r="DT11" s="19">
        <f>IF(VLOOKUP(DT$2,Table1[[#All],[RC]:[Internal Corrosion rate]],11,FALSE)="",11,100)</f>
        <v>100</v>
      </c>
      <c r="DU11" s="19" t="e">
        <f>IF(VLOOKUP(DU$2,Table1[[#All],[RC]:[Internal Corrosion rate]],11,FALSE)="",11,100)</f>
        <v>#N/A</v>
      </c>
      <c r="DV11" s="19" t="e">
        <f>IF(VLOOKUP(DV$2,Table1[[#All],[RC]:[Internal Corrosion rate]],11,FALSE)="",11,100)</f>
        <v>#N/A</v>
      </c>
      <c r="DW11" s="19">
        <f>IF(VLOOKUP(DW$2,Table1[[#All],[RC]:[Internal Corrosion rate]],11,FALSE)="",11,100)</f>
        <v>100</v>
      </c>
      <c r="DX11" s="19">
        <f>IF(VLOOKUP(DX$2,Table1[[#All],[RC]:[Internal Corrosion rate]],11,FALSE)="",11,100)</f>
        <v>100</v>
      </c>
      <c r="DY11" s="19">
        <f>IF(VLOOKUP(DY$2,Table1[[#All],[RC]:[Internal Corrosion rate]],11,FALSE)="",11,100)</f>
        <v>100</v>
      </c>
      <c r="DZ11" s="19">
        <f>IF(VLOOKUP(DZ$2,Table1[[#All],[RC]:[Internal Corrosion rate]],11,FALSE)="",11,100)</f>
        <v>100</v>
      </c>
      <c r="EA11" s="19" t="e">
        <f>IF(VLOOKUP(EA$2,Table1[[#All],[RC]:[Internal Corrosion rate]],11,FALSE)="",11,100)</f>
        <v>#N/A</v>
      </c>
      <c r="EB11" s="19" t="e">
        <f>IF(VLOOKUP(EB$2,Table1[[#All],[RC]:[Internal Corrosion rate]],11,FALSE)="",11,100)</f>
        <v>#N/A</v>
      </c>
      <c r="EC11" s="19">
        <f>IF(VLOOKUP(EC$2,Table1[[#All],[RC]:[Internal Corrosion rate]],11,FALSE)="",11,100)</f>
        <v>100</v>
      </c>
      <c r="ED11" s="19">
        <f>IF(VLOOKUP(ED$2,Table1[[#All],[RC]:[Internal Corrosion rate]],11,FALSE)="",11,100)</f>
        <v>100</v>
      </c>
      <c r="EE11" s="19" t="e">
        <f>IF(VLOOKUP(EE$2,Table1[[#All],[RC]:[Internal Corrosion rate]],11,FALSE)="",11,100)</f>
        <v>#N/A</v>
      </c>
      <c r="EF11" s="19">
        <f>IF(VLOOKUP(EF$2,Table1[[#All],[RC]:[Internal Corrosion rate]],11,FALSE)="",11,100)</f>
        <v>100</v>
      </c>
      <c r="EG11" s="19">
        <f>IF(VLOOKUP(EG$2,Table1[[#All],[RC]:[Internal Corrosion rate]],11,FALSE)="",11,100)</f>
        <v>100</v>
      </c>
      <c r="EH11" s="19">
        <f>IF(VLOOKUP(EH$2,Table1[[#All],[RC]:[Internal Corrosion rate]],11,FALSE)="",11,100)</f>
        <v>100</v>
      </c>
      <c r="EI11" s="19">
        <f>IF(VLOOKUP(EI$2,Table1[[#All],[RC]:[Internal Corrosion rate]],11,FALSE)="",11,100)</f>
        <v>100</v>
      </c>
      <c r="EJ11" s="19">
        <f>IF(VLOOKUP(EJ$2,Table1[[#All],[RC]:[Internal Corrosion rate]],11,FALSE)="",11,100)</f>
        <v>100</v>
      </c>
      <c r="EK11" s="19" t="e">
        <f>IF(VLOOKUP(EK$2,Table1[[#All],[RC]:[Internal Corrosion rate]],11,FALSE)="",11,100)</f>
        <v>#N/A</v>
      </c>
      <c r="EL11" s="19" t="e">
        <f>IF(VLOOKUP(EL$2,Table1[[#All],[RC]:[Internal Corrosion rate]],11,FALSE)="",11,100)</f>
        <v>#N/A</v>
      </c>
      <c r="EM11" s="19" t="e">
        <f>IF(VLOOKUP(EM$2,Table1[[#All],[RC]:[Internal Corrosion rate]],11,FALSE)="",11,100)</f>
        <v>#N/A</v>
      </c>
      <c r="EN11" s="19" t="e">
        <f>IF(VLOOKUP(EN$2,Table1[[#All],[RC]:[Internal Corrosion rate]],11,FALSE)="",11,100)</f>
        <v>#N/A</v>
      </c>
      <c r="EO11" s="19" t="e">
        <f>IF(VLOOKUP(EO$2,Table1[[#All],[RC]:[Internal Corrosion rate]],11,FALSE)="",11,100)</f>
        <v>#N/A</v>
      </c>
      <c r="EP11" s="19" t="e">
        <f>IF(VLOOKUP(EP$2,Table1[[#All],[RC]:[Internal Corrosion rate]],11,FALSE)="",11,100)</f>
        <v>#N/A</v>
      </c>
      <c r="EQ11" s="19" t="e">
        <f>IF(VLOOKUP(EQ$2,Table1[[#All],[RC]:[Internal Corrosion rate]],11,FALSE)="",11,100)</f>
        <v>#N/A</v>
      </c>
      <c r="ER11" s="19" t="e">
        <f>IF(VLOOKUP(ER$2,Table1[[#All],[RC]:[Internal Corrosion rate]],11,FALSE)="",11,100)</f>
        <v>#N/A</v>
      </c>
      <c r="ES11" s="19">
        <f>IF(VLOOKUP(ES$2,Table1[[#All],[RC]:[Internal Corrosion rate]],11,FALSE)="",11,100)</f>
        <v>100</v>
      </c>
      <c r="ET11" s="19">
        <f>IF(VLOOKUP(ET$2,Table1[[#All],[RC]:[Internal Corrosion rate]],11,FALSE)="",11,100)</f>
        <v>100</v>
      </c>
      <c r="EU11" s="19">
        <f>IF(VLOOKUP(EU$2,Table1[[#All],[RC]:[Internal Corrosion rate]],11,FALSE)="",11,100)</f>
        <v>100</v>
      </c>
      <c r="EV11" s="19">
        <f>IF(VLOOKUP(EV$2,Table1[[#All],[RC]:[Internal Corrosion rate]],11,FALSE)="",11,100)</f>
        <v>100</v>
      </c>
      <c r="EW11" s="19">
        <f>IF(VLOOKUP(EW$2,Table1[[#All],[RC]:[Internal Corrosion rate]],11,FALSE)="",11,100)</f>
        <v>100</v>
      </c>
      <c r="EX11" s="19">
        <f>IF(VLOOKUP(EX$2,Table1[[#All],[RC]:[Internal Corrosion rate]],11,FALSE)="",11,100)</f>
        <v>100</v>
      </c>
      <c r="EY11" s="19" t="e">
        <f>IF(VLOOKUP(EY$2,Table1[[#All],[RC]:[Internal Corrosion rate]],11,FALSE)="",11,100)</f>
        <v>#N/A</v>
      </c>
      <c r="EZ11" s="19" t="e">
        <f>IF(VLOOKUP(EZ$2,Table1[[#All],[RC]:[Internal Corrosion rate]],11,FALSE)="",11,100)</f>
        <v>#N/A</v>
      </c>
      <c r="FA11" s="19" t="e">
        <f>IF(VLOOKUP(FA$2,Table1[[#All],[RC]:[Internal Corrosion rate]],11,FALSE)="",11,100)</f>
        <v>#N/A</v>
      </c>
      <c r="FB11" s="19">
        <f>IF(VLOOKUP(FB$2,Table1[[#All],[RC]:[Internal Corrosion rate]],11,FALSE)="",11,100)</f>
        <v>100</v>
      </c>
      <c r="FC11" s="19" t="e">
        <f>IF(VLOOKUP(FC$2,Table1[[#All],[RC]:[Internal Corrosion rate]],11,FALSE)="",11,100)</f>
        <v>#N/A</v>
      </c>
      <c r="FD11" s="19">
        <f>IF(VLOOKUP(FD$2,Table1[[#All],[RC]:[Internal Corrosion rate]],11,FALSE)="",11,100)</f>
        <v>100</v>
      </c>
      <c r="FE11" s="19">
        <f>IF(VLOOKUP(FE$2,Table1[[#All],[RC]:[Internal Corrosion rate]],11,FALSE)="",11,100)</f>
        <v>100</v>
      </c>
      <c r="FF11" s="19">
        <f>IF(VLOOKUP(FF$2,Table1[[#All],[RC]:[Internal Corrosion rate]],11,FALSE)="",11,100)</f>
        <v>100</v>
      </c>
      <c r="FG11" s="19">
        <f>IF(VLOOKUP(FG$2,Table1[[#All],[RC]:[Internal Corrosion rate]],11,FALSE)="",11,100)</f>
        <v>100</v>
      </c>
      <c r="FH11" s="19" t="e">
        <f>IF(VLOOKUP(FH$2,Table1[[#All],[RC]:[Internal Corrosion rate]],11,FALSE)="",11,100)</f>
        <v>#N/A</v>
      </c>
      <c r="FI11" s="19" t="e">
        <f>IF(VLOOKUP(FI$2,Table1[[#All],[RC]:[Internal Corrosion rate]],11,FALSE)="",11,100)</f>
        <v>#N/A</v>
      </c>
      <c r="FJ11" s="19">
        <f>IF(VLOOKUP(FJ$2,Table1[[#All],[RC]:[Internal Corrosion rate]],11,FALSE)="",11,100)</f>
        <v>100</v>
      </c>
      <c r="FK11" s="19">
        <f>IF(VLOOKUP(FK$2,Table1[[#All],[RC]:[Internal Corrosion rate]],11,FALSE)="",11,100)</f>
        <v>100</v>
      </c>
      <c r="FL11" s="19" t="e">
        <f>IF(VLOOKUP(FL$2,Table1[[#All],[RC]:[Internal Corrosion rate]],11,FALSE)="",11,100)</f>
        <v>#N/A</v>
      </c>
      <c r="FM11" s="19" t="e">
        <f>IF(VLOOKUP(FM$2,Table1[[#All],[RC]:[Internal Corrosion rate]],11,FALSE)="",11,100)</f>
        <v>#N/A</v>
      </c>
      <c r="FN11" s="19" t="e">
        <f>IF(VLOOKUP(FN$2,Table1[[#All],[RC]:[Internal Corrosion rate]],11,FALSE)="",11,100)</f>
        <v>#N/A</v>
      </c>
      <c r="FO11" s="19">
        <f>IF(VLOOKUP(FO$2,Table1[[#All],[RC]:[Internal Corrosion rate]],11,FALSE)="",11,100)</f>
        <v>100</v>
      </c>
      <c r="FP11" s="19">
        <f>IF(VLOOKUP(FP$2,Table1[[#All],[RC]:[Internal Corrosion rate]],11,FALSE)="",11,100)</f>
        <v>100</v>
      </c>
      <c r="FQ11" s="19">
        <f>IF(VLOOKUP(FQ$2,Table1[[#All],[RC]:[Internal Corrosion rate]],11,FALSE)="",11,100)</f>
        <v>100</v>
      </c>
      <c r="FR11" s="19">
        <f>IF(VLOOKUP(FR$2,Table1[[#All],[RC]:[Internal Corrosion rate]],11,FALSE)="",11,100)</f>
        <v>100</v>
      </c>
      <c r="FS11" s="19" t="e">
        <f>IF(VLOOKUP(FS$2,Table1[[#All],[RC]:[Internal Corrosion rate]],11,FALSE)="",11,100)</f>
        <v>#N/A</v>
      </c>
      <c r="FT11" s="19" t="e">
        <f>IF(VLOOKUP(FT$2,Table1[[#All],[RC]:[Internal Corrosion rate]],11,FALSE)="",11,100)</f>
        <v>#N/A</v>
      </c>
      <c r="FU11" s="19" t="e">
        <f>IF(VLOOKUP(FU$2,Table1[[#All],[RC]:[Internal Corrosion rate]],11,FALSE)="",11,100)</f>
        <v>#N/A</v>
      </c>
      <c r="FV11" s="19" t="e">
        <f>IF(VLOOKUP(FV$2,Table1[[#All],[RC]:[Internal Corrosion rate]],11,FALSE)="",11,100)</f>
        <v>#N/A</v>
      </c>
    </row>
    <row r="12" spans="1:178">
      <c r="A12" s="60" t="s">
        <v>60</v>
      </c>
      <c r="B12" s="19" t="e">
        <f>IF(VLOOKUP(B$2,Table1[[#All],[RC]:[Internal Corrosion rate]],12,FALSE)="",12,100)</f>
        <v>#N/A</v>
      </c>
      <c r="C12" s="19" t="e">
        <f>IF(VLOOKUP(C$2,Table1[[#All],[RC]:[Internal Corrosion rate]],12,FALSE)="",12,100)</f>
        <v>#N/A</v>
      </c>
      <c r="D12" s="19">
        <f>IF(VLOOKUP(D$2,Table1[[#All],[RC]:[Internal Corrosion rate]],12,FALSE)="",12,100)</f>
        <v>100</v>
      </c>
      <c r="E12" s="19">
        <f>IF(VLOOKUP(E$2,Table1[[#All],[RC]:[Internal Corrosion rate]],12,FALSE)="",12,100)</f>
        <v>100</v>
      </c>
      <c r="F12" s="19">
        <f>IF(VLOOKUP(F$2,Table1[[#All],[RC]:[Internal Corrosion rate]],12,FALSE)="",12,100)</f>
        <v>100</v>
      </c>
      <c r="G12" s="19">
        <f>IF(VLOOKUP(G$2,Table1[[#All],[RC]:[Internal Corrosion rate]],12,FALSE)="",12,100)</f>
        <v>100</v>
      </c>
      <c r="H12" s="19">
        <f>IF(VLOOKUP(H$2,Table1[[#All],[RC]:[Internal Corrosion rate]],12,FALSE)="",12,100)</f>
        <v>100</v>
      </c>
      <c r="I12" s="19">
        <f>IF(VLOOKUP(I$2,Table1[[#All],[RC]:[Internal Corrosion rate]],12,FALSE)="",12,100)</f>
        <v>100</v>
      </c>
      <c r="J12" s="19">
        <f>IF(VLOOKUP(J$2,Table1[[#All],[RC]:[Internal Corrosion rate]],12,FALSE)="",12,100)</f>
        <v>100</v>
      </c>
      <c r="K12" s="19">
        <f>IF(VLOOKUP(K$2,Table1[[#All],[RC]:[Internal Corrosion rate]],12,FALSE)="",12,100)</f>
        <v>100</v>
      </c>
      <c r="L12" s="19">
        <f>IF(VLOOKUP(L$2,Table1[[#All],[RC]:[Internal Corrosion rate]],12,FALSE)="",12,100)</f>
        <v>100</v>
      </c>
      <c r="M12" s="19" t="e">
        <f>IF(VLOOKUP(M$2,Table1[[#All],[RC]:[Internal Corrosion rate]],12,FALSE)="",12,100)</f>
        <v>#N/A</v>
      </c>
      <c r="N12" s="19">
        <f>IF(VLOOKUP(N$2,Table1[[#All],[RC]:[Internal Corrosion rate]],12,FALSE)="",12,100)</f>
        <v>100</v>
      </c>
      <c r="O12" s="19">
        <f>IF(VLOOKUP(O$2,Table1[[#All],[RC]:[Internal Corrosion rate]],12,FALSE)="",12,100)</f>
        <v>100</v>
      </c>
      <c r="P12" s="19">
        <f>IF(VLOOKUP(P$2,Table1[[#All],[RC]:[Internal Corrosion rate]],12,FALSE)="",12,100)</f>
        <v>100</v>
      </c>
      <c r="Q12" s="19">
        <f>IF(VLOOKUP(Q$2,Table1[[#All],[RC]:[Internal Corrosion rate]],12,FALSE)="",12,100)</f>
        <v>100</v>
      </c>
      <c r="R12" s="19">
        <f>IF(VLOOKUP(R$2,Table1[[#All],[RC]:[Internal Corrosion rate]],12,FALSE)="",12,100)</f>
        <v>100</v>
      </c>
      <c r="S12" s="19">
        <f>IF(VLOOKUP(S$2,Table1[[#All],[RC]:[Internal Corrosion rate]],12,FALSE)="",12,100)</f>
        <v>100</v>
      </c>
      <c r="T12" s="19">
        <f>IF(VLOOKUP(T$2,Table1[[#All],[RC]:[Internal Corrosion rate]],12,FALSE)="",12,100)</f>
        <v>100</v>
      </c>
      <c r="U12" s="19">
        <f>IF(VLOOKUP(U$2,Table1[[#All],[RC]:[Internal Corrosion rate]],12,FALSE)="",12,100)</f>
        <v>100</v>
      </c>
      <c r="V12" s="19">
        <f>IF(VLOOKUP(V$2,Table1[[#All],[RC]:[Internal Corrosion rate]],12,FALSE)="",12,100)</f>
        <v>100</v>
      </c>
      <c r="W12" s="19">
        <f>IF(VLOOKUP(W$2,Table1[[#All],[RC]:[Internal Corrosion rate]],12,FALSE)="",12,100)</f>
        <v>100</v>
      </c>
      <c r="X12" s="19">
        <f>IF(VLOOKUP(X$2,Table1[[#All],[RC]:[Internal Corrosion rate]],12,FALSE)="",12,100)</f>
        <v>100</v>
      </c>
      <c r="Y12" s="19" t="e">
        <f>IF(VLOOKUP(Y$2,Table1[[#All],[RC]:[Internal Corrosion rate]],12,FALSE)="",12,100)</f>
        <v>#N/A</v>
      </c>
      <c r="Z12" s="19" t="e">
        <f>IF(VLOOKUP(Z$2,Table1[[#All],[RC]:[Internal Corrosion rate]],12,FALSE)="",12,100)</f>
        <v>#N/A</v>
      </c>
      <c r="AA12" s="19">
        <f>IF(VLOOKUP(AA$2,Table1[[#All],[RC]:[Internal Corrosion rate]],12,FALSE)="",12,100)</f>
        <v>100</v>
      </c>
      <c r="AB12" s="19">
        <f>IF(VLOOKUP(AB$2,Table1[[#All],[RC]:[Internal Corrosion rate]],12,FALSE)="",12,100)</f>
        <v>100</v>
      </c>
      <c r="AC12" s="19">
        <f>IF(VLOOKUP(AC$2,Table1[[#All],[RC]:[Internal Corrosion rate]],12,FALSE)="",12,100)</f>
        <v>100</v>
      </c>
      <c r="AD12" s="19">
        <f>IF(VLOOKUP(AD$2,Table1[[#All],[RC]:[Internal Corrosion rate]],12,FALSE)="",12,100)</f>
        <v>100</v>
      </c>
      <c r="AE12" s="19" t="e">
        <f>IF(VLOOKUP(AE$2,Table1[[#All],[RC]:[Internal Corrosion rate]],12,FALSE)="",12,100)</f>
        <v>#N/A</v>
      </c>
      <c r="AF12" s="19">
        <f>IF(VLOOKUP(AF$2,Table1[[#All],[RC]:[Internal Corrosion rate]],12,FALSE)="",12,100)</f>
        <v>100</v>
      </c>
      <c r="AG12" s="19">
        <f>IF(VLOOKUP(AG$2,Table1[[#All],[RC]:[Internal Corrosion rate]],12,FALSE)="",12,100)</f>
        <v>100</v>
      </c>
      <c r="AH12" s="19">
        <f>IF(VLOOKUP(AH$2,Table1[[#All],[RC]:[Internal Corrosion rate]],12,FALSE)="",12,100)</f>
        <v>100</v>
      </c>
      <c r="AI12" s="19">
        <f>IF(VLOOKUP(AI$2,Table1[[#All],[RC]:[Internal Corrosion rate]],12,FALSE)="",12,100)</f>
        <v>100</v>
      </c>
      <c r="AJ12" s="19">
        <f>IF(VLOOKUP(AJ$2,Table1[[#All],[RC]:[Internal Corrosion rate]],12,FALSE)="",12,100)</f>
        <v>100</v>
      </c>
      <c r="AK12" s="19">
        <f>IF(VLOOKUP(AK$2,Table1[[#All],[RC]:[Internal Corrosion rate]],12,FALSE)="",12,100)</f>
        <v>100</v>
      </c>
      <c r="AL12" s="19" t="e">
        <f>IF(VLOOKUP(AL$2,Table1[[#All],[RC]:[Internal Corrosion rate]],12,FALSE)="",12,100)</f>
        <v>#N/A</v>
      </c>
      <c r="AM12" s="19" t="e">
        <f>IF(VLOOKUP(AM$2,Table1[[#All],[RC]:[Internal Corrosion rate]],12,FALSE)="",12,100)</f>
        <v>#N/A</v>
      </c>
      <c r="AN12" s="19" t="e">
        <f>IF(VLOOKUP(AN$2,Table1[[#All],[RC]:[Internal Corrosion rate]],12,FALSE)="",12,100)</f>
        <v>#N/A</v>
      </c>
      <c r="AO12" s="19">
        <f>IF(VLOOKUP(AO$2,Table1[[#All],[RC]:[Internal Corrosion rate]],12,FALSE)="",12,100)</f>
        <v>100</v>
      </c>
      <c r="AP12" s="19">
        <f>IF(VLOOKUP(AP$2,Table1[[#All],[RC]:[Internal Corrosion rate]],12,FALSE)="",12,100)</f>
        <v>100</v>
      </c>
      <c r="AQ12" s="19" t="e">
        <f>IF(VLOOKUP(AQ$2,Table1[[#All],[RC]:[Internal Corrosion rate]],12,FALSE)="",12,100)</f>
        <v>#N/A</v>
      </c>
      <c r="AR12" s="19" t="e">
        <f>IF(VLOOKUP(AR$2,Table1[[#All],[RC]:[Internal Corrosion rate]],12,FALSE)="",12,100)</f>
        <v>#N/A</v>
      </c>
      <c r="AS12" s="19" t="e">
        <f>IF(VLOOKUP(AS$2,Table1[[#All],[RC]:[Internal Corrosion rate]],12,FALSE)="",12,100)</f>
        <v>#N/A</v>
      </c>
      <c r="AT12" s="19">
        <f>IF(VLOOKUP(AT$2,Table1[[#All],[RC]:[Internal Corrosion rate]],12,FALSE)="",12,100)</f>
        <v>100</v>
      </c>
      <c r="AU12" s="19">
        <f>IF(VLOOKUP(AU$2,Table1[[#All],[RC]:[Internal Corrosion rate]],12,FALSE)="",12,100)</f>
        <v>100</v>
      </c>
      <c r="AV12" s="19">
        <f>IF(VLOOKUP(AV$2,Table1[[#All],[RC]:[Internal Corrosion rate]],12,FALSE)="",12,100)</f>
        <v>100</v>
      </c>
      <c r="AW12" s="19" t="e">
        <f>IF(VLOOKUP(AW$2,Table1[[#All],[RC]:[Internal Corrosion rate]],12,FALSE)="",12,100)</f>
        <v>#N/A</v>
      </c>
      <c r="AX12" s="19">
        <f>IF(VLOOKUP(AX$2,Table1[[#All],[RC]:[Internal Corrosion rate]],12,FALSE)="",12,100)</f>
        <v>100</v>
      </c>
      <c r="AY12" s="19">
        <f>IF(VLOOKUP(AY$2,Table1[[#All],[RC]:[Internal Corrosion rate]],12,FALSE)="",12,100)</f>
        <v>100</v>
      </c>
      <c r="AZ12" s="19">
        <f>IF(VLOOKUP(AZ$2,Table1[[#All],[RC]:[Internal Corrosion rate]],12,FALSE)="",12,100)</f>
        <v>100</v>
      </c>
      <c r="BA12" s="19" t="e">
        <f>IF(VLOOKUP(BA$2,Table1[[#All],[RC]:[Internal Corrosion rate]],12,FALSE)="",12,100)</f>
        <v>#N/A</v>
      </c>
      <c r="BB12" s="19">
        <f>IF(VLOOKUP(BB$2,Table1[[#All],[RC]:[Internal Corrosion rate]],12,FALSE)="",12,100)</f>
        <v>100</v>
      </c>
      <c r="BC12" s="19">
        <f>IF(VLOOKUP(BC$2,Table1[[#All],[RC]:[Internal Corrosion rate]],12,FALSE)="",12,100)</f>
        <v>100</v>
      </c>
      <c r="BD12" s="19" t="e">
        <f>IF(VLOOKUP(BD$2,Table1[[#All],[RC]:[Internal Corrosion rate]],12,FALSE)="",12,100)</f>
        <v>#N/A</v>
      </c>
      <c r="BE12" s="19">
        <f>IF(VLOOKUP(BE$2,Table1[[#All],[RC]:[Internal Corrosion rate]],12,FALSE)="",12,100)</f>
        <v>100</v>
      </c>
      <c r="BF12" s="19">
        <f>IF(VLOOKUP(BF$2,Table1[[#All],[RC]:[Internal Corrosion rate]],12,FALSE)="",12,100)</f>
        <v>100</v>
      </c>
      <c r="BG12" s="19">
        <f>IF(VLOOKUP(BG$2,Table1[[#All],[RC]:[Internal Corrosion rate]],12,FALSE)="",12,100)</f>
        <v>100</v>
      </c>
      <c r="BH12" s="19" t="e">
        <f>IF(VLOOKUP(BH$2,Table1[[#All],[RC]:[Internal Corrosion rate]],12,FALSE)="",12,100)</f>
        <v>#N/A</v>
      </c>
      <c r="BI12" s="19" t="e">
        <f>IF(VLOOKUP(BI$2,Table1[[#All],[RC]:[Internal Corrosion rate]],12,FALSE)="",12,100)</f>
        <v>#N/A</v>
      </c>
      <c r="BJ12" s="19" t="e">
        <f>IF(VLOOKUP(BJ$2,Table1[[#All],[RC]:[Internal Corrosion rate]],12,FALSE)="",12,100)</f>
        <v>#N/A</v>
      </c>
      <c r="BK12" s="19">
        <f>IF(VLOOKUP(BK$2,Table1[[#All],[RC]:[Internal Corrosion rate]],12,FALSE)="",12,100)</f>
        <v>100</v>
      </c>
      <c r="BL12" s="19">
        <f>IF(VLOOKUP(BL$2,Table1[[#All],[RC]:[Internal Corrosion rate]],12,FALSE)="",12,100)</f>
        <v>100</v>
      </c>
      <c r="BM12" s="19" t="e">
        <f>IF(VLOOKUP(BM$2,Table1[[#All],[RC]:[Internal Corrosion rate]],12,FALSE)="",12,100)</f>
        <v>#N/A</v>
      </c>
      <c r="BN12" s="19">
        <f>IF(VLOOKUP(BN$2,Table1[[#All],[RC]:[Internal Corrosion rate]],12,FALSE)="",12,100)</f>
        <v>100</v>
      </c>
      <c r="BO12" s="19">
        <f>IF(VLOOKUP(BO$2,Table1[[#All],[RC]:[Internal Corrosion rate]],12,FALSE)="",12,100)</f>
        <v>100</v>
      </c>
      <c r="BP12" s="19">
        <f>IF(VLOOKUP(BP$2,Table1[[#All],[RC]:[Internal Corrosion rate]],12,FALSE)="",12,100)</f>
        <v>100</v>
      </c>
      <c r="BQ12" s="19">
        <f>IF(VLOOKUP(BQ$2,Table1[[#All],[RC]:[Internal Corrosion rate]],12,FALSE)="",12,100)</f>
        <v>100</v>
      </c>
      <c r="BR12" s="19">
        <f>IF(VLOOKUP(BR$2,Table1[[#All],[RC]:[Internal Corrosion rate]],12,FALSE)="",12,100)</f>
        <v>100</v>
      </c>
      <c r="BS12" s="19">
        <f>IF(VLOOKUP(BS$2,Table1[[#All],[RC]:[Internal Corrosion rate]],12,FALSE)="",12,100)</f>
        <v>100</v>
      </c>
      <c r="BT12" s="19" t="e">
        <f>IF(VLOOKUP(BT$2,Table1[[#All],[RC]:[Internal Corrosion rate]],12,FALSE)="",12,100)</f>
        <v>#N/A</v>
      </c>
      <c r="BU12" s="19">
        <f>IF(VLOOKUP(BU$2,Table1[[#All],[RC]:[Internal Corrosion rate]],12,FALSE)="",12,100)</f>
        <v>100</v>
      </c>
      <c r="BV12" s="19" t="e">
        <f>IF(VLOOKUP(BV$2,Table1[[#All],[RC]:[Internal Corrosion rate]],12,FALSE)="",12,100)</f>
        <v>#N/A</v>
      </c>
      <c r="BW12" s="19">
        <f>IF(VLOOKUP(BW$2,Table1[[#All],[RC]:[Internal Corrosion rate]],12,FALSE)="",12,100)</f>
        <v>100</v>
      </c>
      <c r="BX12" s="19">
        <f>IF(VLOOKUP(BX$2,Table1[[#All],[RC]:[Internal Corrosion rate]],12,FALSE)="",12,100)</f>
        <v>100</v>
      </c>
      <c r="BY12" s="19">
        <f>IF(VLOOKUP(BY$2,Table1[[#All],[RC]:[Internal Corrosion rate]],12,FALSE)="",12,100)</f>
        <v>100</v>
      </c>
      <c r="BZ12" s="19">
        <f>IF(VLOOKUP(BZ$2,Table1[[#All],[RC]:[Internal Corrosion rate]],12,FALSE)="",12,100)</f>
        <v>100</v>
      </c>
      <c r="CA12" s="19">
        <f>IF(VLOOKUP(CA$2,Table1[[#All],[RC]:[Internal Corrosion rate]],12,FALSE)="",12,100)</f>
        <v>100</v>
      </c>
      <c r="CB12" s="19" t="e">
        <f>IF(VLOOKUP(CB$2,Table1[[#All],[RC]:[Internal Corrosion rate]],12,FALSE)="",12,100)</f>
        <v>#N/A</v>
      </c>
      <c r="CC12" s="19" t="e">
        <f>IF(VLOOKUP(CC$2,Table1[[#All],[RC]:[Internal Corrosion rate]],12,FALSE)="",12,100)</f>
        <v>#N/A</v>
      </c>
      <c r="CD12" s="19">
        <f>IF(VLOOKUP(CD$2,Table1[[#All],[RC]:[Internal Corrosion rate]],12,FALSE)="",12,100)</f>
        <v>100</v>
      </c>
      <c r="CE12" s="19">
        <f>IF(VLOOKUP(CE$2,Table1[[#All],[RC]:[Internal Corrosion rate]],12,FALSE)="",12,100)</f>
        <v>100</v>
      </c>
      <c r="CF12" s="19">
        <f>IF(VLOOKUP(CF$2,Table1[[#All],[RC]:[Internal Corrosion rate]],12,FALSE)="",12,100)</f>
        <v>100</v>
      </c>
      <c r="CG12" s="19">
        <f>IF(VLOOKUP(CG$2,Table1[[#All],[RC]:[Internal Corrosion rate]],12,FALSE)="",12,100)</f>
        <v>100</v>
      </c>
      <c r="CH12" s="19">
        <f>IF(VLOOKUP(CH$2,Table1[[#All],[RC]:[Internal Corrosion rate]],12,FALSE)="",12,100)</f>
        <v>100</v>
      </c>
      <c r="CI12" s="19">
        <f>IF(VLOOKUP(CI$2,Table1[[#All],[RC]:[Internal Corrosion rate]],12,FALSE)="",12,100)</f>
        <v>100</v>
      </c>
      <c r="CJ12" s="19">
        <f>IF(VLOOKUP(CJ$2,Table1[[#All],[RC]:[Internal Corrosion rate]],12,FALSE)="",12,100)</f>
        <v>100</v>
      </c>
      <c r="CK12" s="19">
        <f>IF(VLOOKUP(CK$2,Table1[[#All],[RC]:[Internal Corrosion rate]],12,FALSE)="",12,100)</f>
        <v>100</v>
      </c>
      <c r="CL12" s="19">
        <f>IF(VLOOKUP(CL$2,Table1[[#All],[RC]:[Internal Corrosion rate]],12,FALSE)="",12,100)</f>
        <v>100</v>
      </c>
      <c r="CM12" s="19">
        <f>IF(VLOOKUP(CM$2,Table1[[#All],[RC]:[Internal Corrosion rate]],12,FALSE)="",12,100)</f>
        <v>100</v>
      </c>
      <c r="CN12" s="19">
        <f>IF(VLOOKUP(CN$2,Table1[[#All],[RC]:[Internal Corrosion rate]],12,FALSE)="",12,100)</f>
        <v>100</v>
      </c>
      <c r="CO12" s="19">
        <f>IF(VLOOKUP(CO$2,Table1[[#All],[RC]:[Internal Corrosion rate]],12,FALSE)="",12,100)</f>
        <v>100</v>
      </c>
      <c r="CP12" s="19">
        <f>IF(VLOOKUP(CP$2,Table1[[#All],[RC]:[Internal Corrosion rate]],12,FALSE)="",12,100)</f>
        <v>100</v>
      </c>
      <c r="CQ12" s="19">
        <f>IF(VLOOKUP(CQ$2,Table1[[#All],[RC]:[Internal Corrosion rate]],12,FALSE)="",12,100)</f>
        <v>100</v>
      </c>
      <c r="CR12" s="19">
        <f>IF(VLOOKUP(CR$2,Table1[[#All],[RC]:[Internal Corrosion rate]],12,FALSE)="",12,100)</f>
        <v>100</v>
      </c>
      <c r="CS12" s="19">
        <f>IF(VLOOKUP(CS$2,Table1[[#All],[RC]:[Internal Corrosion rate]],12,FALSE)="",12,100)</f>
        <v>100</v>
      </c>
      <c r="CT12" s="19">
        <f>IF(VLOOKUP(CT$2,Table1[[#All],[RC]:[Internal Corrosion rate]],12,FALSE)="",12,100)</f>
        <v>100</v>
      </c>
      <c r="CU12" s="19">
        <f>IF(VLOOKUP(CU$2,Table1[[#All],[RC]:[Internal Corrosion rate]],12,FALSE)="",12,100)</f>
        <v>100</v>
      </c>
      <c r="CV12" s="19">
        <f>IF(VLOOKUP(CV$2,Table1[[#All],[RC]:[Internal Corrosion rate]],12,FALSE)="",12,100)</f>
        <v>100</v>
      </c>
      <c r="CW12" s="19">
        <f>IF(VLOOKUP(CW$2,Table1[[#All],[RC]:[Internal Corrosion rate]],12,FALSE)="",12,100)</f>
        <v>100</v>
      </c>
      <c r="CX12" s="19">
        <f>IF(VLOOKUP(CX$2,Table1[[#All],[RC]:[Internal Corrosion rate]],12,FALSE)="",12,100)</f>
        <v>100</v>
      </c>
      <c r="CY12" s="19">
        <f>IF(VLOOKUP(CY$2,Table1[[#All],[RC]:[Internal Corrosion rate]],12,FALSE)="",12,100)</f>
        <v>100</v>
      </c>
      <c r="CZ12" s="19">
        <f>IF(VLOOKUP(CZ$2,Table1[[#All],[RC]:[Internal Corrosion rate]],12,FALSE)="",12,100)</f>
        <v>100</v>
      </c>
      <c r="DA12" s="19">
        <f>IF(VLOOKUP(DA$2,Table1[[#All],[RC]:[Internal Corrosion rate]],12,FALSE)="",12,100)</f>
        <v>100</v>
      </c>
      <c r="DB12" s="19">
        <f>IF(VLOOKUP(DB$2,Table1[[#All],[RC]:[Internal Corrosion rate]],12,FALSE)="",12,100)</f>
        <v>100</v>
      </c>
      <c r="DC12" s="19">
        <f>IF(VLOOKUP(DC$2,Table1[[#All],[RC]:[Internal Corrosion rate]],12,FALSE)="",12,100)</f>
        <v>100</v>
      </c>
      <c r="DD12" s="19">
        <f>IF(VLOOKUP(DD$2,Table1[[#All],[RC]:[Internal Corrosion rate]],12,FALSE)="",12,100)</f>
        <v>100</v>
      </c>
      <c r="DE12" s="19">
        <f>IF(VLOOKUP(DE$2,Table1[[#All],[RC]:[Internal Corrosion rate]],12,FALSE)="",12,100)</f>
        <v>100</v>
      </c>
      <c r="DF12" s="19">
        <f>IF(VLOOKUP(DF$2,Table1[[#All],[RC]:[Internal Corrosion rate]],12,FALSE)="",12,100)</f>
        <v>100</v>
      </c>
      <c r="DG12" s="19" t="e">
        <f>IF(VLOOKUP(DG$2,Table1[[#All],[RC]:[Internal Corrosion rate]],12,FALSE)="",12,100)</f>
        <v>#N/A</v>
      </c>
      <c r="DH12" s="19" t="e">
        <f>IF(VLOOKUP(DH$2,Table1[[#All],[RC]:[Internal Corrosion rate]],12,FALSE)="",12,100)</f>
        <v>#N/A</v>
      </c>
      <c r="DI12" s="19" t="e">
        <f>IF(VLOOKUP(DI$2,Table1[[#All],[RC]:[Internal Corrosion rate]],12,FALSE)="",12,100)</f>
        <v>#N/A</v>
      </c>
      <c r="DJ12" s="19">
        <f>IF(VLOOKUP(DJ$2,Table1[[#All],[RC]:[Internal Corrosion rate]],12,FALSE)="",12,100)</f>
        <v>100</v>
      </c>
      <c r="DK12" s="19">
        <f>IF(VLOOKUP(DK$2,Table1[[#All],[RC]:[Internal Corrosion rate]],12,FALSE)="",12,100)</f>
        <v>100</v>
      </c>
      <c r="DL12" s="19">
        <f>IF(VLOOKUP(DL$2,Table1[[#All],[RC]:[Internal Corrosion rate]],12,FALSE)="",12,100)</f>
        <v>100</v>
      </c>
      <c r="DM12" s="19">
        <f>IF(VLOOKUP(DM$2,Table1[[#All],[RC]:[Internal Corrosion rate]],12,FALSE)="",12,100)</f>
        <v>100</v>
      </c>
      <c r="DN12" s="19">
        <f>IF(VLOOKUP(DN$2,Table1[[#All],[RC]:[Internal Corrosion rate]],12,FALSE)="",12,100)</f>
        <v>100</v>
      </c>
      <c r="DO12" s="19">
        <f>IF(VLOOKUP(DO$2,Table1[[#All],[RC]:[Internal Corrosion rate]],12,FALSE)="",12,100)</f>
        <v>100</v>
      </c>
      <c r="DP12" s="19" t="e">
        <f>IF(VLOOKUP(DP$2,Table1[[#All],[RC]:[Internal Corrosion rate]],12,FALSE)="",12,100)</f>
        <v>#N/A</v>
      </c>
      <c r="DQ12" s="19" t="e">
        <f>IF(VLOOKUP(DQ$2,Table1[[#All],[RC]:[Internal Corrosion rate]],12,FALSE)="",12,100)</f>
        <v>#N/A</v>
      </c>
      <c r="DR12" s="19" t="e">
        <f>IF(VLOOKUP(DR$2,Table1[[#All],[RC]:[Internal Corrosion rate]],12,FALSE)="",12,100)</f>
        <v>#N/A</v>
      </c>
      <c r="DS12" s="19" t="e">
        <f>IF(VLOOKUP(DS$2,Table1[[#All],[RC]:[Internal Corrosion rate]],12,FALSE)="",12,100)</f>
        <v>#N/A</v>
      </c>
      <c r="DT12" s="19">
        <f>IF(VLOOKUP(DT$2,Table1[[#All],[RC]:[Internal Corrosion rate]],12,FALSE)="",12,100)</f>
        <v>100</v>
      </c>
      <c r="DU12" s="19" t="e">
        <f>IF(VLOOKUP(DU$2,Table1[[#All],[RC]:[Internal Corrosion rate]],12,FALSE)="",12,100)</f>
        <v>#N/A</v>
      </c>
      <c r="DV12" s="19" t="e">
        <f>IF(VLOOKUP(DV$2,Table1[[#All],[RC]:[Internal Corrosion rate]],12,FALSE)="",12,100)</f>
        <v>#N/A</v>
      </c>
      <c r="DW12" s="19">
        <f>IF(VLOOKUP(DW$2,Table1[[#All],[RC]:[Internal Corrosion rate]],12,FALSE)="",12,100)</f>
        <v>100</v>
      </c>
      <c r="DX12" s="19">
        <f>IF(VLOOKUP(DX$2,Table1[[#All],[RC]:[Internal Corrosion rate]],12,FALSE)="",12,100)</f>
        <v>100</v>
      </c>
      <c r="DY12" s="19">
        <f>IF(VLOOKUP(DY$2,Table1[[#All],[RC]:[Internal Corrosion rate]],12,FALSE)="",12,100)</f>
        <v>100</v>
      </c>
      <c r="DZ12" s="19">
        <f>IF(VLOOKUP(DZ$2,Table1[[#All],[RC]:[Internal Corrosion rate]],12,FALSE)="",12,100)</f>
        <v>100</v>
      </c>
      <c r="EA12" s="19" t="e">
        <f>IF(VLOOKUP(EA$2,Table1[[#All],[RC]:[Internal Corrosion rate]],12,FALSE)="",12,100)</f>
        <v>#N/A</v>
      </c>
      <c r="EB12" s="19" t="e">
        <f>IF(VLOOKUP(EB$2,Table1[[#All],[RC]:[Internal Corrosion rate]],12,FALSE)="",12,100)</f>
        <v>#N/A</v>
      </c>
      <c r="EC12" s="19">
        <f>IF(VLOOKUP(EC$2,Table1[[#All],[RC]:[Internal Corrosion rate]],12,FALSE)="",12,100)</f>
        <v>100</v>
      </c>
      <c r="ED12" s="19">
        <f>IF(VLOOKUP(ED$2,Table1[[#All],[RC]:[Internal Corrosion rate]],12,FALSE)="",12,100)</f>
        <v>100</v>
      </c>
      <c r="EE12" s="19" t="e">
        <f>IF(VLOOKUP(EE$2,Table1[[#All],[RC]:[Internal Corrosion rate]],12,FALSE)="",12,100)</f>
        <v>#N/A</v>
      </c>
      <c r="EF12" s="19">
        <f>IF(VLOOKUP(EF$2,Table1[[#All],[RC]:[Internal Corrosion rate]],12,FALSE)="",12,100)</f>
        <v>100</v>
      </c>
      <c r="EG12" s="19">
        <f>IF(VLOOKUP(EG$2,Table1[[#All],[RC]:[Internal Corrosion rate]],12,FALSE)="",12,100)</f>
        <v>100</v>
      </c>
      <c r="EH12" s="19">
        <f>IF(VLOOKUP(EH$2,Table1[[#All],[RC]:[Internal Corrosion rate]],12,FALSE)="",12,100)</f>
        <v>100</v>
      </c>
      <c r="EI12" s="19">
        <f>IF(VLOOKUP(EI$2,Table1[[#All],[RC]:[Internal Corrosion rate]],12,FALSE)="",12,100)</f>
        <v>100</v>
      </c>
      <c r="EJ12" s="19">
        <f>IF(VLOOKUP(EJ$2,Table1[[#All],[RC]:[Internal Corrosion rate]],12,FALSE)="",12,100)</f>
        <v>100</v>
      </c>
      <c r="EK12" s="19" t="e">
        <f>IF(VLOOKUP(EK$2,Table1[[#All],[RC]:[Internal Corrosion rate]],12,FALSE)="",12,100)</f>
        <v>#N/A</v>
      </c>
      <c r="EL12" s="19" t="e">
        <f>IF(VLOOKUP(EL$2,Table1[[#All],[RC]:[Internal Corrosion rate]],12,FALSE)="",12,100)</f>
        <v>#N/A</v>
      </c>
      <c r="EM12" s="19" t="e">
        <f>IF(VLOOKUP(EM$2,Table1[[#All],[RC]:[Internal Corrosion rate]],12,FALSE)="",12,100)</f>
        <v>#N/A</v>
      </c>
      <c r="EN12" s="19" t="e">
        <f>IF(VLOOKUP(EN$2,Table1[[#All],[RC]:[Internal Corrosion rate]],12,FALSE)="",12,100)</f>
        <v>#N/A</v>
      </c>
      <c r="EO12" s="19" t="e">
        <f>IF(VLOOKUP(EO$2,Table1[[#All],[RC]:[Internal Corrosion rate]],12,FALSE)="",12,100)</f>
        <v>#N/A</v>
      </c>
      <c r="EP12" s="19" t="e">
        <f>IF(VLOOKUP(EP$2,Table1[[#All],[RC]:[Internal Corrosion rate]],12,FALSE)="",12,100)</f>
        <v>#N/A</v>
      </c>
      <c r="EQ12" s="19" t="e">
        <f>IF(VLOOKUP(EQ$2,Table1[[#All],[RC]:[Internal Corrosion rate]],12,FALSE)="",12,100)</f>
        <v>#N/A</v>
      </c>
      <c r="ER12" s="19" t="e">
        <f>IF(VLOOKUP(ER$2,Table1[[#All],[RC]:[Internal Corrosion rate]],12,FALSE)="",12,100)</f>
        <v>#N/A</v>
      </c>
      <c r="ES12" s="19">
        <f>IF(VLOOKUP(ES$2,Table1[[#All],[RC]:[Internal Corrosion rate]],12,FALSE)="",12,100)</f>
        <v>100</v>
      </c>
      <c r="ET12" s="19">
        <f>IF(VLOOKUP(ET$2,Table1[[#All],[RC]:[Internal Corrosion rate]],12,FALSE)="",12,100)</f>
        <v>100</v>
      </c>
      <c r="EU12" s="19">
        <f>IF(VLOOKUP(EU$2,Table1[[#All],[RC]:[Internal Corrosion rate]],12,FALSE)="",12,100)</f>
        <v>100</v>
      </c>
      <c r="EV12" s="19">
        <f>IF(VLOOKUP(EV$2,Table1[[#All],[RC]:[Internal Corrosion rate]],12,FALSE)="",12,100)</f>
        <v>100</v>
      </c>
      <c r="EW12" s="19">
        <f>IF(VLOOKUP(EW$2,Table1[[#All],[RC]:[Internal Corrosion rate]],12,FALSE)="",12,100)</f>
        <v>100</v>
      </c>
      <c r="EX12" s="19">
        <f>IF(VLOOKUP(EX$2,Table1[[#All],[RC]:[Internal Corrosion rate]],12,FALSE)="",12,100)</f>
        <v>100</v>
      </c>
      <c r="EY12" s="19" t="e">
        <f>IF(VLOOKUP(EY$2,Table1[[#All],[RC]:[Internal Corrosion rate]],12,FALSE)="",12,100)</f>
        <v>#N/A</v>
      </c>
      <c r="EZ12" s="19" t="e">
        <f>IF(VLOOKUP(EZ$2,Table1[[#All],[RC]:[Internal Corrosion rate]],12,FALSE)="",12,100)</f>
        <v>#N/A</v>
      </c>
      <c r="FA12" s="19" t="e">
        <f>IF(VLOOKUP(FA$2,Table1[[#All],[RC]:[Internal Corrosion rate]],12,FALSE)="",12,100)</f>
        <v>#N/A</v>
      </c>
      <c r="FB12" s="19">
        <f>IF(VLOOKUP(FB$2,Table1[[#All],[RC]:[Internal Corrosion rate]],12,FALSE)="",12,100)</f>
        <v>100</v>
      </c>
      <c r="FC12" s="19" t="e">
        <f>IF(VLOOKUP(FC$2,Table1[[#All],[RC]:[Internal Corrosion rate]],12,FALSE)="",12,100)</f>
        <v>#N/A</v>
      </c>
      <c r="FD12" s="19">
        <f>IF(VLOOKUP(FD$2,Table1[[#All],[RC]:[Internal Corrosion rate]],12,FALSE)="",12,100)</f>
        <v>100</v>
      </c>
      <c r="FE12" s="19">
        <f>IF(VLOOKUP(FE$2,Table1[[#All],[RC]:[Internal Corrosion rate]],12,FALSE)="",12,100)</f>
        <v>100</v>
      </c>
      <c r="FF12" s="19">
        <f>IF(VLOOKUP(FF$2,Table1[[#All],[RC]:[Internal Corrosion rate]],12,FALSE)="",12,100)</f>
        <v>100</v>
      </c>
      <c r="FG12" s="19">
        <f>IF(VLOOKUP(FG$2,Table1[[#All],[RC]:[Internal Corrosion rate]],12,FALSE)="",12,100)</f>
        <v>100</v>
      </c>
      <c r="FH12" s="19" t="e">
        <f>IF(VLOOKUP(FH$2,Table1[[#All],[RC]:[Internal Corrosion rate]],12,FALSE)="",12,100)</f>
        <v>#N/A</v>
      </c>
      <c r="FI12" s="19" t="e">
        <f>IF(VLOOKUP(FI$2,Table1[[#All],[RC]:[Internal Corrosion rate]],12,FALSE)="",12,100)</f>
        <v>#N/A</v>
      </c>
      <c r="FJ12" s="19">
        <f>IF(VLOOKUP(FJ$2,Table1[[#All],[RC]:[Internal Corrosion rate]],12,FALSE)="",12,100)</f>
        <v>100</v>
      </c>
      <c r="FK12" s="19">
        <f>IF(VLOOKUP(FK$2,Table1[[#All],[RC]:[Internal Corrosion rate]],12,FALSE)="",12,100)</f>
        <v>100</v>
      </c>
      <c r="FL12" s="19" t="e">
        <f>IF(VLOOKUP(FL$2,Table1[[#All],[RC]:[Internal Corrosion rate]],12,FALSE)="",12,100)</f>
        <v>#N/A</v>
      </c>
      <c r="FM12" s="19" t="e">
        <f>IF(VLOOKUP(FM$2,Table1[[#All],[RC]:[Internal Corrosion rate]],12,FALSE)="",12,100)</f>
        <v>#N/A</v>
      </c>
      <c r="FN12" s="19" t="e">
        <f>IF(VLOOKUP(FN$2,Table1[[#All],[RC]:[Internal Corrosion rate]],12,FALSE)="",12,100)</f>
        <v>#N/A</v>
      </c>
      <c r="FO12" s="19">
        <f>IF(VLOOKUP(FO$2,Table1[[#All],[RC]:[Internal Corrosion rate]],12,FALSE)="",12,100)</f>
        <v>100</v>
      </c>
      <c r="FP12" s="19">
        <f>IF(VLOOKUP(FP$2,Table1[[#All],[RC]:[Internal Corrosion rate]],12,FALSE)="",12,100)</f>
        <v>100</v>
      </c>
      <c r="FQ12" s="19">
        <f>IF(VLOOKUP(FQ$2,Table1[[#All],[RC]:[Internal Corrosion rate]],12,FALSE)="",12,100)</f>
        <v>100</v>
      </c>
      <c r="FR12" s="19">
        <f>IF(VLOOKUP(FR$2,Table1[[#All],[RC]:[Internal Corrosion rate]],12,FALSE)="",12,100)</f>
        <v>100</v>
      </c>
      <c r="FS12" s="19" t="e">
        <f>IF(VLOOKUP(FS$2,Table1[[#All],[RC]:[Internal Corrosion rate]],12,FALSE)="",12,100)</f>
        <v>#N/A</v>
      </c>
      <c r="FT12" s="19" t="e">
        <f>IF(VLOOKUP(FT$2,Table1[[#All],[RC]:[Internal Corrosion rate]],12,FALSE)="",12,100)</f>
        <v>#N/A</v>
      </c>
      <c r="FU12" s="19" t="e">
        <f>IF(VLOOKUP(FU$2,Table1[[#All],[RC]:[Internal Corrosion rate]],12,FALSE)="",12,100)</f>
        <v>#N/A</v>
      </c>
      <c r="FV12" s="19" t="e">
        <f>IF(VLOOKUP(FV$2,Table1[[#All],[RC]:[Internal Corrosion rate]],12,FALSE)="",12,100)</f>
        <v>#N/A</v>
      </c>
    </row>
    <row r="13" spans="1:178">
      <c r="A13" s="60" t="s">
        <v>61</v>
      </c>
      <c r="B13" s="19" t="e">
        <f>IF(VLOOKUP(B$2,Table1[[#All],[RC]:[Internal Corrosion rate]],13,FALSE)="",13,100)</f>
        <v>#N/A</v>
      </c>
      <c r="C13" s="19" t="e">
        <f>IF(VLOOKUP(C$2,Table1[[#All],[RC]:[Internal Corrosion rate]],13,FALSE)="",13,100)</f>
        <v>#N/A</v>
      </c>
      <c r="D13" s="19">
        <f>IF(VLOOKUP(D$2,Table1[[#All],[RC]:[Internal Corrosion rate]],13,FALSE)="",13,100)</f>
        <v>100</v>
      </c>
      <c r="E13" s="19">
        <f>IF(VLOOKUP(E$2,Table1[[#All],[RC]:[Internal Corrosion rate]],13,FALSE)="",13,100)</f>
        <v>100</v>
      </c>
      <c r="F13" s="19">
        <f>IF(VLOOKUP(F$2,Table1[[#All],[RC]:[Internal Corrosion rate]],13,FALSE)="",13,100)</f>
        <v>100</v>
      </c>
      <c r="G13" s="19">
        <f>IF(VLOOKUP(G$2,Table1[[#All],[RC]:[Internal Corrosion rate]],13,FALSE)="",13,100)</f>
        <v>100</v>
      </c>
      <c r="H13" s="19">
        <f>IF(VLOOKUP(H$2,Table1[[#All],[RC]:[Internal Corrosion rate]],13,FALSE)="",13,100)</f>
        <v>100</v>
      </c>
      <c r="I13" s="19">
        <f>IF(VLOOKUP(I$2,Table1[[#All],[RC]:[Internal Corrosion rate]],13,FALSE)="",13,100)</f>
        <v>100</v>
      </c>
      <c r="J13" s="19">
        <f>IF(VLOOKUP(J$2,Table1[[#All],[RC]:[Internal Corrosion rate]],13,FALSE)="",13,100)</f>
        <v>100</v>
      </c>
      <c r="K13" s="19">
        <f>IF(VLOOKUP(K$2,Table1[[#All],[RC]:[Internal Corrosion rate]],13,FALSE)="",13,100)</f>
        <v>100</v>
      </c>
      <c r="L13" s="19">
        <f>IF(VLOOKUP(L$2,Table1[[#All],[RC]:[Internal Corrosion rate]],13,FALSE)="",13,100)</f>
        <v>100</v>
      </c>
      <c r="M13" s="19" t="e">
        <f>IF(VLOOKUP(M$2,Table1[[#All],[RC]:[Internal Corrosion rate]],13,FALSE)="",13,100)</f>
        <v>#N/A</v>
      </c>
      <c r="N13" s="19">
        <f>IF(VLOOKUP(N$2,Table1[[#All],[RC]:[Internal Corrosion rate]],13,FALSE)="",13,100)</f>
        <v>100</v>
      </c>
      <c r="O13" s="19">
        <f>IF(VLOOKUP(O$2,Table1[[#All],[RC]:[Internal Corrosion rate]],13,FALSE)="",13,100)</f>
        <v>100</v>
      </c>
      <c r="P13" s="19">
        <f>IF(VLOOKUP(P$2,Table1[[#All],[RC]:[Internal Corrosion rate]],13,FALSE)="",13,100)</f>
        <v>100</v>
      </c>
      <c r="Q13" s="19">
        <f>IF(VLOOKUP(Q$2,Table1[[#All],[RC]:[Internal Corrosion rate]],13,FALSE)="",13,100)</f>
        <v>100</v>
      </c>
      <c r="R13" s="19">
        <f>IF(VLOOKUP(R$2,Table1[[#All],[RC]:[Internal Corrosion rate]],13,FALSE)="",13,100)</f>
        <v>100</v>
      </c>
      <c r="S13" s="19">
        <f>IF(VLOOKUP(S$2,Table1[[#All],[RC]:[Internal Corrosion rate]],13,FALSE)="",13,100)</f>
        <v>100</v>
      </c>
      <c r="T13" s="19">
        <f>IF(VLOOKUP(T$2,Table1[[#All],[RC]:[Internal Corrosion rate]],13,FALSE)="",13,100)</f>
        <v>100</v>
      </c>
      <c r="U13" s="19">
        <f>IF(VLOOKUP(U$2,Table1[[#All],[RC]:[Internal Corrosion rate]],13,FALSE)="",13,100)</f>
        <v>100</v>
      </c>
      <c r="V13" s="19">
        <f>IF(VLOOKUP(V$2,Table1[[#All],[RC]:[Internal Corrosion rate]],13,FALSE)="",13,100)</f>
        <v>100</v>
      </c>
      <c r="W13" s="19">
        <f>IF(VLOOKUP(W$2,Table1[[#All],[RC]:[Internal Corrosion rate]],13,FALSE)="",13,100)</f>
        <v>100</v>
      </c>
      <c r="X13" s="19">
        <f>IF(VLOOKUP(X$2,Table1[[#All],[RC]:[Internal Corrosion rate]],13,FALSE)="",13,100)</f>
        <v>100</v>
      </c>
      <c r="Y13" s="19" t="e">
        <f>IF(VLOOKUP(Y$2,Table1[[#All],[RC]:[Internal Corrosion rate]],13,FALSE)="",13,100)</f>
        <v>#N/A</v>
      </c>
      <c r="Z13" s="19" t="e">
        <f>IF(VLOOKUP(Z$2,Table1[[#All],[RC]:[Internal Corrosion rate]],13,FALSE)="",13,100)</f>
        <v>#N/A</v>
      </c>
      <c r="AA13" s="19">
        <f>IF(VLOOKUP(AA$2,Table1[[#All],[RC]:[Internal Corrosion rate]],13,FALSE)="",13,100)</f>
        <v>100</v>
      </c>
      <c r="AB13" s="19">
        <f>IF(VLOOKUP(AB$2,Table1[[#All],[RC]:[Internal Corrosion rate]],13,FALSE)="",13,100)</f>
        <v>100</v>
      </c>
      <c r="AC13" s="19">
        <f>IF(VLOOKUP(AC$2,Table1[[#All],[RC]:[Internal Corrosion rate]],13,FALSE)="",13,100)</f>
        <v>100</v>
      </c>
      <c r="AD13" s="19">
        <f>IF(VLOOKUP(AD$2,Table1[[#All],[RC]:[Internal Corrosion rate]],13,FALSE)="",13,100)</f>
        <v>100</v>
      </c>
      <c r="AE13" s="19" t="e">
        <f>IF(VLOOKUP(AE$2,Table1[[#All],[RC]:[Internal Corrosion rate]],13,FALSE)="",13,100)</f>
        <v>#N/A</v>
      </c>
      <c r="AF13" s="19">
        <f>IF(VLOOKUP(AF$2,Table1[[#All],[RC]:[Internal Corrosion rate]],13,FALSE)="",13,100)</f>
        <v>100</v>
      </c>
      <c r="AG13" s="19">
        <f>IF(VLOOKUP(AG$2,Table1[[#All],[RC]:[Internal Corrosion rate]],13,FALSE)="",13,100)</f>
        <v>100</v>
      </c>
      <c r="AH13" s="19">
        <f>IF(VLOOKUP(AH$2,Table1[[#All],[RC]:[Internal Corrosion rate]],13,FALSE)="",13,100)</f>
        <v>100</v>
      </c>
      <c r="AI13" s="19">
        <f>IF(VLOOKUP(AI$2,Table1[[#All],[RC]:[Internal Corrosion rate]],13,FALSE)="",13,100)</f>
        <v>100</v>
      </c>
      <c r="AJ13" s="19">
        <f>IF(VLOOKUP(AJ$2,Table1[[#All],[RC]:[Internal Corrosion rate]],13,FALSE)="",13,100)</f>
        <v>100</v>
      </c>
      <c r="AK13" s="19">
        <f>IF(VLOOKUP(AK$2,Table1[[#All],[RC]:[Internal Corrosion rate]],13,FALSE)="",13,100)</f>
        <v>100</v>
      </c>
      <c r="AL13" s="19" t="e">
        <f>IF(VLOOKUP(AL$2,Table1[[#All],[RC]:[Internal Corrosion rate]],13,FALSE)="",13,100)</f>
        <v>#N/A</v>
      </c>
      <c r="AM13" s="19" t="e">
        <f>IF(VLOOKUP(AM$2,Table1[[#All],[RC]:[Internal Corrosion rate]],13,FALSE)="",13,100)</f>
        <v>#N/A</v>
      </c>
      <c r="AN13" s="19" t="e">
        <f>IF(VLOOKUP(AN$2,Table1[[#All],[RC]:[Internal Corrosion rate]],13,FALSE)="",13,100)</f>
        <v>#N/A</v>
      </c>
      <c r="AO13" s="19">
        <f>IF(VLOOKUP(AO$2,Table1[[#All],[RC]:[Internal Corrosion rate]],13,FALSE)="",13,100)</f>
        <v>100</v>
      </c>
      <c r="AP13" s="19">
        <f>IF(VLOOKUP(AP$2,Table1[[#All],[RC]:[Internal Corrosion rate]],13,FALSE)="",13,100)</f>
        <v>100</v>
      </c>
      <c r="AQ13" s="19" t="e">
        <f>IF(VLOOKUP(AQ$2,Table1[[#All],[RC]:[Internal Corrosion rate]],13,FALSE)="",13,100)</f>
        <v>#N/A</v>
      </c>
      <c r="AR13" s="19" t="e">
        <f>IF(VLOOKUP(AR$2,Table1[[#All],[RC]:[Internal Corrosion rate]],13,FALSE)="",13,100)</f>
        <v>#N/A</v>
      </c>
      <c r="AS13" s="19" t="e">
        <f>IF(VLOOKUP(AS$2,Table1[[#All],[RC]:[Internal Corrosion rate]],13,FALSE)="",13,100)</f>
        <v>#N/A</v>
      </c>
      <c r="AT13" s="19">
        <f>IF(VLOOKUP(AT$2,Table1[[#All],[RC]:[Internal Corrosion rate]],13,FALSE)="",13,100)</f>
        <v>100</v>
      </c>
      <c r="AU13" s="19">
        <f>IF(VLOOKUP(AU$2,Table1[[#All],[RC]:[Internal Corrosion rate]],13,FALSE)="",13,100)</f>
        <v>100</v>
      </c>
      <c r="AV13" s="19">
        <f>IF(VLOOKUP(AV$2,Table1[[#All],[RC]:[Internal Corrosion rate]],13,FALSE)="",13,100)</f>
        <v>100</v>
      </c>
      <c r="AW13" s="19" t="e">
        <f>IF(VLOOKUP(AW$2,Table1[[#All],[RC]:[Internal Corrosion rate]],13,FALSE)="",13,100)</f>
        <v>#N/A</v>
      </c>
      <c r="AX13" s="19">
        <f>IF(VLOOKUP(AX$2,Table1[[#All],[RC]:[Internal Corrosion rate]],13,FALSE)="",13,100)</f>
        <v>100</v>
      </c>
      <c r="AY13" s="19">
        <f>IF(VLOOKUP(AY$2,Table1[[#All],[RC]:[Internal Corrosion rate]],13,FALSE)="",13,100)</f>
        <v>100</v>
      </c>
      <c r="AZ13" s="19">
        <f>IF(VLOOKUP(AZ$2,Table1[[#All],[RC]:[Internal Corrosion rate]],13,FALSE)="",13,100)</f>
        <v>100</v>
      </c>
      <c r="BA13" s="19" t="e">
        <f>IF(VLOOKUP(BA$2,Table1[[#All],[RC]:[Internal Corrosion rate]],13,FALSE)="",13,100)</f>
        <v>#N/A</v>
      </c>
      <c r="BB13" s="19">
        <f>IF(VLOOKUP(BB$2,Table1[[#All],[RC]:[Internal Corrosion rate]],13,FALSE)="",13,100)</f>
        <v>100</v>
      </c>
      <c r="BC13" s="19">
        <f>IF(VLOOKUP(BC$2,Table1[[#All],[RC]:[Internal Corrosion rate]],13,FALSE)="",13,100)</f>
        <v>100</v>
      </c>
      <c r="BD13" s="19" t="e">
        <f>IF(VLOOKUP(BD$2,Table1[[#All],[RC]:[Internal Corrosion rate]],13,FALSE)="",13,100)</f>
        <v>#N/A</v>
      </c>
      <c r="BE13" s="19">
        <f>IF(VLOOKUP(BE$2,Table1[[#All],[RC]:[Internal Corrosion rate]],13,FALSE)="",13,100)</f>
        <v>100</v>
      </c>
      <c r="BF13" s="19">
        <f>IF(VLOOKUP(BF$2,Table1[[#All],[RC]:[Internal Corrosion rate]],13,FALSE)="",13,100)</f>
        <v>100</v>
      </c>
      <c r="BG13" s="19">
        <f>IF(VLOOKUP(BG$2,Table1[[#All],[RC]:[Internal Corrosion rate]],13,FALSE)="",13,100)</f>
        <v>100</v>
      </c>
      <c r="BH13" s="19" t="e">
        <f>IF(VLOOKUP(BH$2,Table1[[#All],[RC]:[Internal Corrosion rate]],13,FALSE)="",13,100)</f>
        <v>#N/A</v>
      </c>
      <c r="BI13" s="19" t="e">
        <f>IF(VLOOKUP(BI$2,Table1[[#All],[RC]:[Internal Corrosion rate]],13,FALSE)="",13,100)</f>
        <v>#N/A</v>
      </c>
      <c r="BJ13" s="19" t="e">
        <f>IF(VLOOKUP(BJ$2,Table1[[#All],[RC]:[Internal Corrosion rate]],13,FALSE)="",13,100)</f>
        <v>#N/A</v>
      </c>
      <c r="BK13" s="19">
        <f>IF(VLOOKUP(BK$2,Table1[[#All],[RC]:[Internal Corrosion rate]],13,FALSE)="",13,100)</f>
        <v>100</v>
      </c>
      <c r="BL13" s="19">
        <f>IF(VLOOKUP(BL$2,Table1[[#All],[RC]:[Internal Corrosion rate]],13,FALSE)="",13,100)</f>
        <v>100</v>
      </c>
      <c r="BM13" s="19" t="e">
        <f>IF(VLOOKUP(BM$2,Table1[[#All],[RC]:[Internal Corrosion rate]],13,FALSE)="",13,100)</f>
        <v>#N/A</v>
      </c>
      <c r="BN13" s="19">
        <f>IF(VLOOKUP(BN$2,Table1[[#All],[RC]:[Internal Corrosion rate]],13,FALSE)="",13,100)</f>
        <v>100</v>
      </c>
      <c r="BO13" s="19">
        <f>IF(VLOOKUP(BO$2,Table1[[#All],[RC]:[Internal Corrosion rate]],13,FALSE)="",13,100)</f>
        <v>100</v>
      </c>
      <c r="BP13" s="19">
        <f>IF(VLOOKUP(BP$2,Table1[[#All],[RC]:[Internal Corrosion rate]],13,FALSE)="",13,100)</f>
        <v>100</v>
      </c>
      <c r="BQ13" s="19">
        <f>IF(VLOOKUP(BQ$2,Table1[[#All],[RC]:[Internal Corrosion rate]],13,FALSE)="",13,100)</f>
        <v>100</v>
      </c>
      <c r="BR13" s="19">
        <f>IF(VLOOKUP(BR$2,Table1[[#All],[RC]:[Internal Corrosion rate]],13,FALSE)="",13,100)</f>
        <v>100</v>
      </c>
      <c r="BS13" s="19">
        <f>IF(VLOOKUP(BS$2,Table1[[#All],[RC]:[Internal Corrosion rate]],13,FALSE)="",13,100)</f>
        <v>100</v>
      </c>
      <c r="BT13" s="19" t="e">
        <f>IF(VLOOKUP(BT$2,Table1[[#All],[RC]:[Internal Corrosion rate]],13,FALSE)="",13,100)</f>
        <v>#N/A</v>
      </c>
      <c r="BU13" s="19">
        <f>IF(VLOOKUP(BU$2,Table1[[#All],[RC]:[Internal Corrosion rate]],13,FALSE)="",13,100)</f>
        <v>100</v>
      </c>
      <c r="BV13" s="19" t="e">
        <f>IF(VLOOKUP(BV$2,Table1[[#All],[RC]:[Internal Corrosion rate]],13,FALSE)="",13,100)</f>
        <v>#N/A</v>
      </c>
      <c r="BW13" s="19">
        <f>IF(VLOOKUP(BW$2,Table1[[#All],[RC]:[Internal Corrosion rate]],13,FALSE)="",13,100)</f>
        <v>100</v>
      </c>
      <c r="BX13" s="19">
        <f>IF(VLOOKUP(BX$2,Table1[[#All],[RC]:[Internal Corrosion rate]],13,FALSE)="",13,100)</f>
        <v>100</v>
      </c>
      <c r="BY13" s="19">
        <f>IF(VLOOKUP(BY$2,Table1[[#All],[RC]:[Internal Corrosion rate]],13,FALSE)="",13,100)</f>
        <v>100</v>
      </c>
      <c r="BZ13" s="19">
        <f>IF(VLOOKUP(BZ$2,Table1[[#All],[RC]:[Internal Corrosion rate]],13,FALSE)="",13,100)</f>
        <v>100</v>
      </c>
      <c r="CA13" s="19">
        <f>IF(VLOOKUP(CA$2,Table1[[#All],[RC]:[Internal Corrosion rate]],13,FALSE)="",13,100)</f>
        <v>100</v>
      </c>
      <c r="CB13" s="19" t="e">
        <f>IF(VLOOKUP(CB$2,Table1[[#All],[RC]:[Internal Corrosion rate]],13,FALSE)="",13,100)</f>
        <v>#N/A</v>
      </c>
      <c r="CC13" s="19" t="e">
        <f>IF(VLOOKUP(CC$2,Table1[[#All],[RC]:[Internal Corrosion rate]],13,FALSE)="",13,100)</f>
        <v>#N/A</v>
      </c>
      <c r="CD13" s="19">
        <f>IF(VLOOKUP(CD$2,Table1[[#All],[RC]:[Internal Corrosion rate]],13,FALSE)="",13,100)</f>
        <v>100</v>
      </c>
      <c r="CE13" s="19">
        <f>IF(VLOOKUP(CE$2,Table1[[#All],[RC]:[Internal Corrosion rate]],13,FALSE)="",13,100)</f>
        <v>100</v>
      </c>
      <c r="CF13" s="19">
        <f>IF(VLOOKUP(CF$2,Table1[[#All],[RC]:[Internal Corrosion rate]],13,FALSE)="",13,100)</f>
        <v>100</v>
      </c>
      <c r="CG13" s="19">
        <f>IF(VLOOKUP(CG$2,Table1[[#All],[RC]:[Internal Corrosion rate]],13,FALSE)="",13,100)</f>
        <v>100</v>
      </c>
      <c r="CH13" s="19">
        <f>IF(VLOOKUP(CH$2,Table1[[#All],[RC]:[Internal Corrosion rate]],13,FALSE)="",13,100)</f>
        <v>100</v>
      </c>
      <c r="CI13" s="19">
        <f>IF(VLOOKUP(CI$2,Table1[[#All],[RC]:[Internal Corrosion rate]],13,FALSE)="",13,100)</f>
        <v>100</v>
      </c>
      <c r="CJ13" s="19">
        <f>IF(VLOOKUP(CJ$2,Table1[[#All],[RC]:[Internal Corrosion rate]],13,FALSE)="",13,100)</f>
        <v>100</v>
      </c>
      <c r="CK13" s="19">
        <f>IF(VLOOKUP(CK$2,Table1[[#All],[RC]:[Internal Corrosion rate]],13,FALSE)="",13,100)</f>
        <v>100</v>
      </c>
      <c r="CL13" s="19">
        <f>IF(VLOOKUP(CL$2,Table1[[#All],[RC]:[Internal Corrosion rate]],13,FALSE)="",13,100)</f>
        <v>100</v>
      </c>
      <c r="CM13" s="19">
        <f>IF(VLOOKUP(CM$2,Table1[[#All],[RC]:[Internal Corrosion rate]],13,FALSE)="",13,100)</f>
        <v>100</v>
      </c>
      <c r="CN13" s="19">
        <f>IF(VLOOKUP(CN$2,Table1[[#All],[RC]:[Internal Corrosion rate]],13,FALSE)="",13,100)</f>
        <v>100</v>
      </c>
      <c r="CO13" s="19">
        <f>IF(VLOOKUP(CO$2,Table1[[#All],[RC]:[Internal Corrosion rate]],13,FALSE)="",13,100)</f>
        <v>100</v>
      </c>
      <c r="CP13" s="19">
        <f>IF(VLOOKUP(CP$2,Table1[[#All],[RC]:[Internal Corrosion rate]],13,FALSE)="",13,100)</f>
        <v>100</v>
      </c>
      <c r="CQ13" s="19">
        <f>IF(VLOOKUP(CQ$2,Table1[[#All],[RC]:[Internal Corrosion rate]],13,FALSE)="",13,100)</f>
        <v>100</v>
      </c>
      <c r="CR13" s="19">
        <f>IF(VLOOKUP(CR$2,Table1[[#All],[RC]:[Internal Corrosion rate]],13,FALSE)="",13,100)</f>
        <v>100</v>
      </c>
      <c r="CS13" s="19">
        <f>IF(VLOOKUP(CS$2,Table1[[#All],[RC]:[Internal Corrosion rate]],13,FALSE)="",13,100)</f>
        <v>100</v>
      </c>
      <c r="CT13" s="19">
        <f>IF(VLOOKUP(CT$2,Table1[[#All],[RC]:[Internal Corrosion rate]],13,FALSE)="",13,100)</f>
        <v>100</v>
      </c>
      <c r="CU13" s="19">
        <f>IF(VLOOKUP(CU$2,Table1[[#All],[RC]:[Internal Corrosion rate]],13,FALSE)="",13,100)</f>
        <v>100</v>
      </c>
      <c r="CV13" s="19">
        <f>IF(VLOOKUP(CV$2,Table1[[#All],[RC]:[Internal Corrosion rate]],13,FALSE)="",13,100)</f>
        <v>100</v>
      </c>
      <c r="CW13" s="19">
        <f>IF(VLOOKUP(CW$2,Table1[[#All],[RC]:[Internal Corrosion rate]],13,FALSE)="",13,100)</f>
        <v>100</v>
      </c>
      <c r="CX13" s="19">
        <f>IF(VLOOKUP(CX$2,Table1[[#All],[RC]:[Internal Corrosion rate]],13,FALSE)="",13,100)</f>
        <v>100</v>
      </c>
      <c r="CY13" s="19">
        <f>IF(VLOOKUP(CY$2,Table1[[#All],[RC]:[Internal Corrosion rate]],13,FALSE)="",13,100)</f>
        <v>100</v>
      </c>
      <c r="CZ13" s="19">
        <f>IF(VLOOKUP(CZ$2,Table1[[#All],[RC]:[Internal Corrosion rate]],13,FALSE)="",13,100)</f>
        <v>100</v>
      </c>
      <c r="DA13" s="19">
        <f>IF(VLOOKUP(DA$2,Table1[[#All],[RC]:[Internal Corrosion rate]],13,FALSE)="",13,100)</f>
        <v>100</v>
      </c>
      <c r="DB13" s="19">
        <f>IF(VLOOKUP(DB$2,Table1[[#All],[RC]:[Internal Corrosion rate]],13,FALSE)="",13,100)</f>
        <v>100</v>
      </c>
      <c r="DC13" s="19">
        <f>IF(VLOOKUP(DC$2,Table1[[#All],[RC]:[Internal Corrosion rate]],13,FALSE)="",13,100)</f>
        <v>100</v>
      </c>
      <c r="DD13" s="19">
        <f>IF(VLOOKUP(DD$2,Table1[[#All],[RC]:[Internal Corrosion rate]],13,FALSE)="",13,100)</f>
        <v>100</v>
      </c>
      <c r="DE13" s="19">
        <f>IF(VLOOKUP(DE$2,Table1[[#All],[RC]:[Internal Corrosion rate]],13,FALSE)="",13,100)</f>
        <v>100</v>
      </c>
      <c r="DF13" s="19">
        <f>IF(VLOOKUP(DF$2,Table1[[#All],[RC]:[Internal Corrosion rate]],13,FALSE)="",13,100)</f>
        <v>100</v>
      </c>
      <c r="DG13" s="19" t="e">
        <f>IF(VLOOKUP(DG$2,Table1[[#All],[RC]:[Internal Corrosion rate]],13,FALSE)="",13,100)</f>
        <v>#N/A</v>
      </c>
      <c r="DH13" s="19" t="e">
        <f>IF(VLOOKUP(DH$2,Table1[[#All],[RC]:[Internal Corrosion rate]],13,FALSE)="",13,100)</f>
        <v>#N/A</v>
      </c>
      <c r="DI13" s="19" t="e">
        <f>IF(VLOOKUP(DI$2,Table1[[#All],[RC]:[Internal Corrosion rate]],13,FALSE)="",13,100)</f>
        <v>#N/A</v>
      </c>
      <c r="DJ13" s="19">
        <f>IF(VLOOKUP(DJ$2,Table1[[#All],[RC]:[Internal Corrosion rate]],13,FALSE)="",13,100)</f>
        <v>100</v>
      </c>
      <c r="DK13" s="19">
        <f>IF(VLOOKUP(DK$2,Table1[[#All],[RC]:[Internal Corrosion rate]],13,FALSE)="",13,100)</f>
        <v>100</v>
      </c>
      <c r="DL13" s="19">
        <f>IF(VLOOKUP(DL$2,Table1[[#All],[RC]:[Internal Corrosion rate]],13,FALSE)="",13,100)</f>
        <v>100</v>
      </c>
      <c r="DM13" s="19">
        <f>IF(VLOOKUP(DM$2,Table1[[#All],[RC]:[Internal Corrosion rate]],13,FALSE)="",13,100)</f>
        <v>100</v>
      </c>
      <c r="DN13" s="19">
        <f>IF(VLOOKUP(DN$2,Table1[[#All],[RC]:[Internal Corrosion rate]],13,FALSE)="",13,100)</f>
        <v>100</v>
      </c>
      <c r="DO13" s="19">
        <f>IF(VLOOKUP(DO$2,Table1[[#All],[RC]:[Internal Corrosion rate]],13,FALSE)="",13,100)</f>
        <v>100</v>
      </c>
      <c r="DP13" s="19" t="e">
        <f>IF(VLOOKUP(DP$2,Table1[[#All],[RC]:[Internal Corrosion rate]],13,FALSE)="",13,100)</f>
        <v>#N/A</v>
      </c>
      <c r="DQ13" s="19" t="e">
        <f>IF(VLOOKUP(DQ$2,Table1[[#All],[RC]:[Internal Corrosion rate]],13,FALSE)="",13,100)</f>
        <v>#N/A</v>
      </c>
      <c r="DR13" s="19" t="e">
        <f>IF(VLOOKUP(DR$2,Table1[[#All],[RC]:[Internal Corrosion rate]],13,FALSE)="",13,100)</f>
        <v>#N/A</v>
      </c>
      <c r="DS13" s="19" t="e">
        <f>IF(VLOOKUP(DS$2,Table1[[#All],[RC]:[Internal Corrosion rate]],13,FALSE)="",13,100)</f>
        <v>#N/A</v>
      </c>
      <c r="DT13" s="19">
        <f>IF(VLOOKUP(DT$2,Table1[[#All],[RC]:[Internal Corrosion rate]],13,FALSE)="",13,100)</f>
        <v>100</v>
      </c>
      <c r="DU13" s="19" t="e">
        <f>IF(VLOOKUP(DU$2,Table1[[#All],[RC]:[Internal Corrosion rate]],13,FALSE)="",13,100)</f>
        <v>#N/A</v>
      </c>
      <c r="DV13" s="19" t="e">
        <f>IF(VLOOKUP(DV$2,Table1[[#All],[RC]:[Internal Corrosion rate]],13,FALSE)="",13,100)</f>
        <v>#N/A</v>
      </c>
      <c r="DW13" s="19">
        <f>IF(VLOOKUP(DW$2,Table1[[#All],[RC]:[Internal Corrosion rate]],13,FALSE)="",13,100)</f>
        <v>100</v>
      </c>
      <c r="DX13" s="19">
        <f>IF(VLOOKUP(DX$2,Table1[[#All],[RC]:[Internal Corrosion rate]],13,FALSE)="",13,100)</f>
        <v>100</v>
      </c>
      <c r="DY13" s="19">
        <f>IF(VLOOKUP(DY$2,Table1[[#All],[RC]:[Internal Corrosion rate]],13,FALSE)="",13,100)</f>
        <v>100</v>
      </c>
      <c r="DZ13" s="19">
        <f>IF(VLOOKUP(DZ$2,Table1[[#All],[RC]:[Internal Corrosion rate]],13,FALSE)="",13,100)</f>
        <v>100</v>
      </c>
      <c r="EA13" s="19" t="e">
        <f>IF(VLOOKUP(EA$2,Table1[[#All],[RC]:[Internal Corrosion rate]],13,FALSE)="",13,100)</f>
        <v>#N/A</v>
      </c>
      <c r="EB13" s="19" t="e">
        <f>IF(VLOOKUP(EB$2,Table1[[#All],[RC]:[Internal Corrosion rate]],13,FALSE)="",13,100)</f>
        <v>#N/A</v>
      </c>
      <c r="EC13" s="19">
        <f>IF(VLOOKUP(EC$2,Table1[[#All],[RC]:[Internal Corrosion rate]],13,FALSE)="",13,100)</f>
        <v>100</v>
      </c>
      <c r="ED13" s="19">
        <f>IF(VLOOKUP(ED$2,Table1[[#All],[RC]:[Internal Corrosion rate]],13,FALSE)="",13,100)</f>
        <v>100</v>
      </c>
      <c r="EE13" s="19" t="e">
        <f>IF(VLOOKUP(EE$2,Table1[[#All],[RC]:[Internal Corrosion rate]],13,FALSE)="",13,100)</f>
        <v>#N/A</v>
      </c>
      <c r="EF13" s="19">
        <f>IF(VLOOKUP(EF$2,Table1[[#All],[RC]:[Internal Corrosion rate]],13,FALSE)="",13,100)</f>
        <v>100</v>
      </c>
      <c r="EG13" s="19">
        <f>IF(VLOOKUP(EG$2,Table1[[#All],[RC]:[Internal Corrosion rate]],13,FALSE)="",13,100)</f>
        <v>100</v>
      </c>
      <c r="EH13" s="19">
        <f>IF(VLOOKUP(EH$2,Table1[[#All],[RC]:[Internal Corrosion rate]],13,FALSE)="",13,100)</f>
        <v>100</v>
      </c>
      <c r="EI13" s="19">
        <f>IF(VLOOKUP(EI$2,Table1[[#All],[RC]:[Internal Corrosion rate]],13,FALSE)="",13,100)</f>
        <v>100</v>
      </c>
      <c r="EJ13" s="19">
        <f>IF(VLOOKUP(EJ$2,Table1[[#All],[RC]:[Internal Corrosion rate]],13,FALSE)="",13,100)</f>
        <v>100</v>
      </c>
      <c r="EK13" s="19" t="e">
        <f>IF(VLOOKUP(EK$2,Table1[[#All],[RC]:[Internal Corrosion rate]],13,FALSE)="",13,100)</f>
        <v>#N/A</v>
      </c>
      <c r="EL13" s="19" t="e">
        <f>IF(VLOOKUP(EL$2,Table1[[#All],[RC]:[Internal Corrosion rate]],13,FALSE)="",13,100)</f>
        <v>#N/A</v>
      </c>
      <c r="EM13" s="19" t="e">
        <f>IF(VLOOKUP(EM$2,Table1[[#All],[RC]:[Internal Corrosion rate]],13,FALSE)="",13,100)</f>
        <v>#N/A</v>
      </c>
      <c r="EN13" s="19" t="e">
        <f>IF(VLOOKUP(EN$2,Table1[[#All],[RC]:[Internal Corrosion rate]],13,FALSE)="",13,100)</f>
        <v>#N/A</v>
      </c>
      <c r="EO13" s="19" t="e">
        <f>IF(VLOOKUP(EO$2,Table1[[#All],[RC]:[Internal Corrosion rate]],13,FALSE)="",13,100)</f>
        <v>#N/A</v>
      </c>
      <c r="EP13" s="19" t="e">
        <f>IF(VLOOKUP(EP$2,Table1[[#All],[RC]:[Internal Corrosion rate]],13,FALSE)="",13,100)</f>
        <v>#N/A</v>
      </c>
      <c r="EQ13" s="19" t="e">
        <f>IF(VLOOKUP(EQ$2,Table1[[#All],[RC]:[Internal Corrosion rate]],13,FALSE)="",13,100)</f>
        <v>#N/A</v>
      </c>
      <c r="ER13" s="19" t="e">
        <f>IF(VLOOKUP(ER$2,Table1[[#All],[RC]:[Internal Corrosion rate]],13,FALSE)="",13,100)</f>
        <v>#N/A</v>
      </c>
      <c r="ES13" s="19">
        <f>IF(VLOOKUP(ES$2,Table1[[#All],[RC]:[Internal Corrosion rate]],13,FALSE)="",13,100)</f>
        <v>100</v>
      </c>
      <c r="ET13" s="19">
        <f>IF(VLOOKUP(ET$2,Table1[[#All],[RC]:[Internal Corrosion rate]],13,FALSE)="",13,100)</f>
        <v>100</v>
      </c>
      <c r="EU13" s="19">
        <f>IF(VLOOKUP(EU$2,Table1[[#All],[RC]:[Internal Corrosion rate]],13,FALSE)="",13,100)</f>
        <v>100</v>
      </c>
      <c r="EV13" s="19">
        <f>IF(VLOOKUP(EV$2,Table1[[#All],[RC]:[Internal Corrosion rate]],13,FALSE)="",13,100)</f>
        <v>100</v>
      </c>
      <c r="EW13" s="19">
        <f>IF(VLOOKUP(EW$2,Table1[[#All],[RC]:[Internal Corrosion rate]],13,FALSE)="",13,100)</f>
        <v>100</v>
      </c>
      <c r="EX13" s="19">
        <f>IF(VLOOKUP(EX$2,Table1[[#All],[RC]:[Internal Corrosion rate]],13,FALSE)="",13,100)</f>
        <v>100</v>
      </c>
      <c r="EY13" s="19" t="e">
        <f>IF(VLOOKUP(EY$2,Table1[[#All],[RC]:[Internal Corrosion rate]],13,FALSE)="",13,100)</f>
        <v>#N/A</v>
      </c>
      <c r="EZ13" s="19" t="e">
        <f>IF(VLOOKUP(EZ$2,Table1[[#All],[RC]:[Internal Corrosion rate]],13,FALSE)="",13,100)</f>
        <v>#N/A</v>
      </c>
      <c r="FA13" s="19" t="e">
        <f>IF(VLOOKUP(FA$2,Table1[[#All],[RC]:[Internal Corrosion rate]],13,FALSE)="",13,100)</f>
        <v>#N/A</v>
      </c>
      <c r="FB13" s="19">
        <f>IF(VLOOKUP(FB$2,Table1[[#All],[RC]:[Internal Corrosion rate]],13,FALSE)="",13,100)</f>
        <v>100</v>
      </c>
      <c r="FC13" s="19" t="e">
        <f>IF(VLOOKUP(FC$2,Table1[[#All],[RC]:[Internal Corrosion rate]],13,FALSE)="",13,100)</f>
        <v>#N/A</v>
      </c>
      <c r="FD13" s="19">
        <f>IF(VLOOKUP(FD$2,Table1[[#All],[RC]:[Internal Corrosion rate]],13,FALSE)="",13,100)</f>
        <v>100</v>
      </c>
      <c r="FE13" s="19">
        <f>IF(VLOOKUP(FE$2,Table1[[#All],[RC]:[Internal Corrosion rate]],13,FALSE)="",13,100)</f>
        <v>100</v>
      </c>
      <c r="FF13" s="19">
        <f>IF(VLOOKUP(FF$2,Table1[[#All],[RC]:[Internal Corrosion rate]],13,FALSE)="",13,100)</f>
        <v>100</v>
      </c>
      <c r="FG13" s="19">
        <f>IF(VLOOKUP(FG$2,Table1[[#All],[RC]:[Internal Corrosion rate]],13,FALSE)="",13,100)</f>
        <v>100</v>
      </c>
      <c r="FH13" s="19" t="e">
        <f>IF(VLOOKUP(FH$2,Table1[[#All],[RC]:[Internal Corrosion rate]],13,FALSE)="",13,100)</f>
        <v>#N/A</v>
      </c>
      <c r="FI13" s="19" t="e">
        <f>IF(VLOOKUP(FI$2,Table1[[#All],[RC]:[Internal Corrosion rate]],13,FALSE)="",13,100)</f>
        <v>#N/A</v>
      </c>
      <c r="FJ13" s="19">
        <f>IF(VLOOKUP(FJ$2,Table1[[#All],[RC]:[Internal Corrosion rate]],13,FALSE)="",13,100)</f>
        <v>100</v>
      </c>
      <c r="FK13" s="19">
        <f>IF(VLOOKUP(FK$2,Table1[[#All],[RC]:[Internal Corrosion rate]],13,FALSE)="",13,100)</f>
        <v>100</v>
      </c>
      <c r="FL13" s="19" t="e">
        <f>IF(VLOOKUP(FL$2,Table1[[#All],[RC]:[Internal Corrosion rate]],13,FALSE)="",13,100)</f>
        <v>#N/A</v>
      </c>
      <c r="FM13" s="19" t="e">
        <f>IF(VLOOKUP(FM$2,Table1[[#All],[RC]:[Internal Corrosion rate]],13,FALSE)="",13,100)</f>
        <v>#N/A</v>
      </c>
      <c r="FN13" s="19" t="e">
        <f>IF(VLOOKUP(FN$2,Table1[[#All],[RC]:[Internal Corrosion rate]],13,FALSE)="",13,100)</f>
        <v>#N/A</v>
      </c>
      <c r="FO13" s="19">
        <f>IF(VLOOKUP(FO$2,Table1[[#All],[RC]:[Internal Corrosion rate]],13,FALSE)="",13,100)</f>
        <v>100</v>
      </c>
      <c r="FP13" s="19">
        <f>IF(VLOOKUP(FP$2,Table1[[#All],[RC]:[Internal Corrosion rate]],13,FALSE)="",13,100)</f>
        <v>100</v>
      </c>
      <c r="FQ13" s="19">
        <f>IF(VLOOKUP(FQ$2,Table1[[#All],[RC]:[Internal Corrosion rate]],13,FALSE)="",13,100)</f>
        <v>100</v>
      </c>
      <c r="FR13" s="19">
        <f>IF(VLOOKUP(FR$2,Table1[[#All],[RC]:[Internal Corrosion rate]],13,FALSE)="",13,100)</f>
        <v>100</v>
      </c>
      <c r="FS13" s="19" t="e">
        <f>IF(VLOOKUP(FS$2,Table1[[#All],[RC]:[Internal Corrosion rate]],13,FALSE)="",13,100)</f>
        <v>#N/A</v>
      </c>
      <c r="FT13" s="19" t="e">
        <f>IF(VLOOKUP(FT$2,Table1[[#All],[RC]:[Internal Corrosion rate]],13,FALSE)="",13,100)</f>
        <v>#N/A</v>
      </c>
      <c r="FU13" s="19" t="e">
        <f>IF(VLOOKUP(FU$2,Table1[[#All],[RC]:[Internal Corrosion rate]],13,FALSE)="",13,100)</f>
        <v>#N/A</v>
      </c>
      <c r="FV13" s="19" t="e">
        <f>IF(VLOOKUP(FV$2,Table1[[#All],[RC]:[Internal Corrosion rate]],13,FALSE)="",13,100)</f>
        <v>#N/A</v>
      </c>
    </row>
    <row r="14" spans="1:178">
      <c r="A14" s="60" t="s">
        <v>69</v>
      </c>
      <c r="B14" s="19" t="e">
        <f>IF(VLOOKUP(B$2,Table1[[#All],[RC]:[Internal Corrosion rate]],14,FALSE)="",14,100)</f>
        <v>#N/A</v>
      </c>
      <c r="C14" s="19" t="e">
        <f>IF(VLOOKUP(C$2,Table1[[#All],[RC]:[Internal Corrosion rate]],14,FALSE)="",14,100)</f>
        <v>#N/A</v>
      </c>
      <c r="D14" s="19" t="e">
        <f>IF(VLOOKUP(D$2,Table1[[#All],[RC]:[Internal Corrosion rate]],14,FALSE)="",14,100)</f>
        <v>#REF!</v>
      </c>
      <c r="E14" s="19" t="e">
        <f>IF(VLOOKUP(E$2,Table1[[#All],[RC]:[Internal Corrosion rate]],14,FALSE)="",14,100)</f>
        <v>#REF!</v>
      </c>
      <c r="F14" s="19" t="e">
        <f>IF(VLOOKUP(F$2,Table1[[#All],[RC]:[Internal Corrosion rate]],14,FALSE)="",14,100)</f>
        <v>#REF!</v>
      </c>
      <c r="G14" s="19" t="e">
        <f>IF(VLOOKUP(G$2,Table1[[#All],[RC]:[Internal Corrosion rate]],14,FALSE)="",14,100)</f>
        <v>#REF!</v>
      </c>
      <c r="H14" s="19" t="e">
        <f>IF(VLOOKUP(H$2,Table1[[#All],[RC]:[Internal Corrosion rate]],14,FALSE)="",14,100)</f>
        <v>#REF!</v>
      </c>
      <c r="I14" s="19" t="e">
        <f>IF(VLOOKUP(I$2,Table1[[#All],[RC]:[Internal Corrosion rate]],14,FALSE)="",14,100)</f>
        <v>#REF!</v>
      </c>
      <c r="J14" s="19" t="e">
        <f>IF(VLOOKUP(J$2,Table1[[#All],[RC]:[Internal Corrosion rate]],14,FALSE)="",14,100)</f>
        <v>#REF!</v>
      </c>
      <c r="K14" s="19" t="e">
        <f>IF(VLOOKUP(K$2,Table1[[#All],[RC]:[Internal Corrosion rate]],14,FALSE)="",14,100)</f>
        <v>#REF!</v>
      </c>
      <c r="L14" s="19" t="e">
        <f>IF(VLOOKUP(L$2,Table1[[#All],[RC]:[Internal Corrosion rate]],14,FALSE)="",14,100)</f>
        <v>#REF!</v>
      </c>
      <c r="M14" s="19" t="e">
        <f>IF(VLOOKUP(M$2,Table1[[#All],[RC]:[Internal Corrosion rate]],14,FALSE)="",14,100)</f>
        <v>#N/A</v>
      </c>
      <c r="N14" s="19" t="e">
        <f>IF(VLOOKUP(N$2,Table1[[#All],[RC]:[Internal Corrosion rate]],14,FALSE)="",14,100)</f>
        <v>#REF!</v>
      </c>
      <c r="O14" s="19" t="e">
        <f>IF(VLOOKUP(O$2,Table1[[#All],[RC]:[Internal Corrosion rate]],14,FALSE)="",14,100)</f>
        <v>#REF!</v>
      </c>
      <c r="P14" s="19" t="e">
        <f>IF(VLOOKUP(P$2,Table1[[#All],[RC]:[Internal Corrosion rate]],14,FALSE)="",14,100)</f>
        <v>#REF!</v>
      </c>
      <c r="Q14" s="19" t="e">
        <f>IF(VLOOKUP(Q$2,Table1[[#All],[RC]:[Internal Corrosion rate]],14,FALSE)="",14,100)</f>
        <v>#REF!</v>
      </c>
      <c r="R14" s="19" t="e">
        <f>IF(VLOOKUP(R$2,Table1[[#All],[RC]:[Internal Corrosion rate]],14,FALSE)="",14,100)</f>
        <v>#REF!</v>
      </c>
      <c r="S14" s="19" t="e">
        <f>IF(VLOOKUP(S$2,Table1[[#All],[RC]:[Internal Corrosion rate]],14,FALSE)="",14,100)</f>
        <v>#REF!</v>
      </c>
      <c r="T14" s="19" t="e">
        <f>IF(VLOOKUP(T$2,Table1[[#All],[RC]:[Internal Corrosion rate]],14,FALSE)="",14,100)</f>
        <v>#REF!</v>
      </c>
      <c r="U14" s="19" t="e">
        <f>IF(VLOOKUP(U$2,Table1[[#All],[RC]:[Internal Corrosion rate]],14,FALSE)="",14,100)</f>
        <v>#REF!</v>
      </c>
      <c r="V14" s="19" t="e">
        <f>IF(VLOOKUP(V$2,Table1[[#All],[RC]:[Internal Corrosion rate]],14,FALSE)="",14,100)</f>
        <v>#REF!</v>
      </c>
      <c r="W14" s="19" t="e">
        <f>IF(VLOOKUP(W$2,Table1[[#All],[RC]:[Internal Corrosion rate]],14,FALSE)="",14,100)</f>
        <v>#REF!</v>
      </c>
      <c r="X14" s="19" t="e">
        <f>IF(VLOOKUP(X$2,Table1[[#All],[RC]:[Internal Corrosion rate]],14,FALSE)="",14,100)</f>
        <v>#REF!</v>
      </c>
      <c r="Y14" s="19" t="e">
        <f>IF(VLOOKUP(Y$2,Table1[[#All],[RC]:[Internal Corrosion rate]],14,FALSE)="",14,100)</f>
        <v>#N/A</v>
      </c>
      <c r="Z14" s="19" t="e">
        <f>IF(VLOOKUP(Z$2,Table1[[#All],[RC]:[Internal Corrosion rate]],14,FALSE)="",14,100)</f>
        <v>#N/A</v>
      </c>
      <c r="AA14" s="19" t="e">
        <f>IF(VLOOKUP(AA$2,Table1[[#All],[RC]:[Internal Corrosion rate]],14,FALSE)="",14,100)</f>
        <v>#REF!</v>
      </c>
      <c r="AB14" s="19" t="e">
        <f>IF(VLOOKUP(AB$2,Table1[[#All],[RC]:[Internal Corrosion rate]],14,FALSE)="",14,100)</f>
        <v>#REF!</v>
      </c>
      <c r="AC14" s="19" t="e">
        <f>IF(VLOOKUP(AC$2,Table1[[#All],[RC]:[Internal Corrosion rate]],14,FALSE)="",14,100)</f>
        <v>#REF!</v>
      </c>
      <c r="AD14" s="19" t="e">
        <f>IF(VLOOKUP(AD$2,Table1[[#All],[RC]:[Internal Corrosion rate]],14,FALSE)="",14,100)</f>
        <v>#REF!</v>
      </c>
      <c r="AE14" s="19" t="e">
        <f>IF(VLOOKUP(AE$2,Table1[[#All],[RC]:[Internal Corrosion rate]],14,FALSE)="",14,100)</f>
        <v>#N/A</v>
      </c>
      <c r="AF14" s="19" t="e">
        <f>IF(VLOOKUP(AF$2,Table1[[#All],[RC]:[Internal Corrosion rate]],14,FALSE)="",14,100)</f>
        <v>#REF!</v>
      </c>
      <c r="AG14" s="19" t="e">
        <f>IF(VLOOKUP(AG$2,Table1[[#All],[RC]:[Internal Corrosion rate]],14,FALSE)="",14,100)</f>
        <v>#REF!</v>
      </c>
      <c r="AH14" s="19" t="e">
        <f>IF(VLOOKUP(AH$2,Table1[[#All],[RC]:[Internal Corrosion rate]],14,FALSE)="",14,100)</f>
        <v>#REF!</v>
      </c>
      <c r="AI14" s="19" t="e">
        <f>IF(VLOOKUP(AI$2,Table1[[#All],[RC]:[Internal Corrosion rate]],14,FALSE)="",14,100)</f>
        <v>#REF!</v>
      </c>
      <c r="AJ14" s="19" t="e">
        <f>IF(VLOOKUP(AJ$2,Table1[[#All],[RC]:[Internal Corrosion rate]],14,FALSE)="",14,100)</f>
        <v>#REF!</v>
      </c>
      <c r="AK14" s="19" t="e">
        <f>IF(VLOOKUP(AK$2,Table1[[#All],[RC]:[Internal Corrosion rate]],14,FALSE)="",14,100)</f>
        <v>#REF!</v>
      </c>
      <c r="AL14" s="19" t="e">
        <f>IF(VLOOKUP(AL$2,Table1[[#All],[RC]:[Internal Corrosion rate]],14,FALSE)="",14,100)</f>
        <v>#N/A</v>
      </c>
      <c r="AM14" s="19" t="e">
        <f>IF(VLOOKUP(AM$2,Table1[[#All],[RC]:[Internal Corrosion rate]],14,FALSE)="",14,100)</f>
        <v>#N/A</v>
      </c>
      <c r="AN14" s="19" t="e">
        <f>IF(VLOOKUP(AN$2,Table1[[#All],[RC]:[Internal Corrosion rate]],14,FALSE)="",14,100)</f>
        <v>#N/A</v>
      </c>
      <c r="AO14" s="19" t="e">
        <f>IF(VLOOKUP(AO$2,Table1[[#All],[RC]:[Internal Corrosion rate]],14,FALSE)="",14,100)</f>
        <v>#REF!</v>
      </c>
      <c r="AP14" s="19" t="e">
        <f>IF(VLOOKUP(AP$2,Table1[[#All],[RC]:[Internal Corrosion rate]],14,FALSE)="",14,100)</f>
        <v>#REF!</v>
      </c>
      <c r="AQ14" s="19" t="e">
        <f>IF(VLOOKUP(AQ$2,Table1[[#All],[RC]:[Internal Corrosion rate]],14,FALSE)="",14,100)</f>
        <v>#N/A</v>
      </c>
      <c r="AR14" s="19" t="e">
        <f>IF(VLOOKUP(AR$2,Table1[[#All],[RC]:[Internal Corrosion rate]],14,FALSE)="",14,100)</f>
        <v>#N/A</v>
      </c>
      <c r="AS14" s="19" t="e">
        <f>IF(VLOOKUP(AS$2,Table1[[#All],[RC]:[Internal Corrosion rate]],14,FALSE)="",14,100)</f>
        <v>#N/A</v>
      </c>
      <c r="AT14" s="19" t="e">
        <f>IF(VLOOKUP(AT$2,Table1[[#All],[RC]:[Internal Corrosion rate]],14,FALSE)="",14,100)</f>
        <v>#REF!</v>
      </c>
      <c r="AU14" s="19" t="e">
        <f>IF(VLOOKUP(AU$2,Table1[[#All],[RC]:[Internal Corrosion rate]],14,FALSE)="",14,100)</f>
        <v>#REF!</v>
      </c>
      <c r="AV14" s="19" t="e">
        <f>IF(VLOOKUP(AV$2,Table1[[#All],[RC]:[Internal Corrosion rate]],14,FALSE)="",14,100)</f>
        <v>#REF!</v>
      </c>
      <c r="AW14" s="19" t="e">
        <f>IF(VLOOKUP(AW$2,Table1[[#All],[RC]:[Internal Corrosion rate]],14,FALSE)="",14,100)</f>
        <v>#N/A</v>
      </c>
      <c r="AX14" s="19" t="e">
        <f>IF(VLOOKUP(AX$2,Table1[[#All],[RC]:[Internal Corrosion rate]],14,FALSE)="",14,100)</f>
        <v>#REF!</v>
      </c>
      <c r="AY14" s="19" t="e">
        <f>IF(VLOOKUP(AY$2,Table1[[#All],[RC]:[Internal Corrosion rate]],14,FALSE)="",14,100)</f>
        <v>#REF!</v>
      </c>
      <c r="AZ14" s="19" t="e">
        <f>IF(VLOOKUP(AZ$2,Table1[[#All],[RC]:[Internal Corrosion rate]],14,FALSE)="",14,100)</f>
        <v>#REF!</v>
      </c>
      <c r="BA14" s="19" t="e">
        <f>IF(VLOOKUP(BA$2,Table1[[#All],[RC]:[Internal Corrosion rate]],14,FALSE)="",14,100)</f>
        <v>#N/A</v>
      </c>
      <c r="BB14" s="19" t="e">
        <f>IF(VLOOKUP(BB$2,Table1[[#All],[RC]:[Internal Corrosion rate]],14,FALSE)="",14,100)</f>
        <v>#REF!</v>
      </c>
      <c r="BC14" s="19" t="e">
        <f>IF(VLOOKUP(BC$2,Table1[[#All],[RC]:[Internal Corrosion rate]],14,FALSE)="",14,100)</f>
        <v>#REF!</v>
      </c>
      <c r="BD14" s="19" t="e">
        <f>IF(VLOOKUP(BD$2,Table1[[#All],[RC]:[Internal Corrosion rate]],14,FALSE)="",14,100)</f>
        <v>#N/A</v>
      </c>
      <c r="BE14" s="19" t="e">
        <f>IF(VLOOKUP(BE$2,Table1[[#All],[RC]:[Internal Corrosion rate]],14,FALSE)="",14,100)</f>
        <v>#REF!</v>
      </c>
      <c r="BF14" s="19" t="e">
        <f>IF(VLOOKUP(BF$2,Table1[[#All],[RC]:[Internal Corrosion rate]],14,FALSE)="",14,100)</f>
        <v>#REF!</v>
      </c>
      <c r="BG14" s="19" t="e">
        <f>IF(VLOOKUP(BG$2,Table1[[#All],[RC]:[Internal Corrosion rate]],14,FALSE)="",14,100)</f>
        <v>#REF!</v>
      </c>
      <c r="BH14" s="19" t="e">
        <f>IF(VLOOKUP(BH$2,Table1[[#All],[RC]:[Internal Corrosion rate]],14,FALSE)="",14,100)</f>
        <v>#N/A</v>
      </c>
      <c r="BI14" s="19" t="e">
        <f>IF(VLOOKUP(BI$2,Table1[[#All],[RC]:[Internal Corrosion rate]],14,FALSE)="",14,100)</f>
        <v>#N/A</v>
      </c>
      <c r="BJ14" s="19" t="e">
        <f>IF(VLOOKUP(BJ$2,Table1[[#All],[RC]:[Internal Corrosion rate]],14,FALSE)="",14,100)</f>
        <v>#N/A</v>
      </c>
      <c r="BK14" s="19" t="e">
        <f>IF(VLOOKUP(BK$2,Table1[[#All],[RC]:[Internal Corrosion rate]],14,FALSE)="",14,100)</f>
        <v>#REF!</v>
      </c>
      <c r="BL14" s="19" t="e">
        <f>IF(VLOOKUP(BL$2,Table1[[#All],[RC]:[Internal Corrosion rate]],14,FALSE)="",14,100)</f>
        <v>#REF!</v>
      </c>
      <c r="BM14" s="19" t="e">
        <f>IF(VLOOKUP(BM$2,Table1[[#All],[RC]:[Internal Corrosion rate]],14,FALSE)="",14,100)</f>
        <v>#N/A</v>
      </c>
      <c r="BN14" s="19" t="e">
        <f>IF(VLOOKUP(BN$2,Table1[[#All],[RC]:[Internal Corrosion rate]],14,FALSE)="",14,100)</f>
        <v>#REF!</v>
      </c>
      <c r="BO14" s="19" t="e">
        <f>IF(VLOOKUP(BO$2,Table1[[#All],[RC]:[Internal Corrosion rate]],14,FALSE)="",14,100)</f>
        <v>#REF!</v>
      </c>
      <c r="BP14" s="19" t="e">
        <f>IF(VLOOKUP(BP$2,Table1[[#All],[RC]:[Internal Corrosion rate]],14,FALSE)="",14,100)</f>
        <v>#REF!</v>
      </c>
      <c r="BQ14" s="19" t="e">
        <f>IF(VLOOKUP(BQ$2,Table1[[#All],[RC]:[Internal Corrosion rate]],14,FALSE)="",14,100)</f>
        <v>#REF!</v>
      </c>
      <c r="BR14" s="19" t="e">
        <f>IF(VLOOKUP(BR$2,Table1[[#All],[RC]:[Internal Corrosion rate]],14,FALSE)="",14,100)</f>
        <v>#REF!</v>
      </c>
      <c r="BS14" s="19" t="e">
        <f>IF(VLOOKUP(BS$2,Table1[[#All],[RC]:[Internal Corrosion rate]],14,FALSE)="",14,100)</f>
        <v>#REF!</v>
      </c>
      <c r="BT14" s="19" t="e">
        <f>IF(VLOOKUP(BT$2,Table1[[#All],[RC]:[Internal Corrosion rate]],14,FALSE)="",14,100)</f>
        <v>#N/A</v>
      </c>
      <c r="BU14" s="19" t="e">
        <f>IF(VLOOKUP(BU$2,Table1[[#All],[RC]:[Internal Corrosion rate]],14,FALSE)="",14,100)</f>
        <v>#REF!</v>
      </c>
      <c r="BV14" s="19" t="e">
        <f>IF(VLOOKUP(BV$2,Table1[[#All],[RC]:[Internal Corrosion rate]],14,FALSE)="",14,100)</f>
        <v>#N/A</v>
      </c>
      <c r="BW14" s="19" t="e">
        <f>IF(VLOOKUP(BW$2,Table1[[#All],[RC]:[Internal Corrosion rate]],14,FALSE)="",14,100)</f>
        <v>#REF!</v>
      </c>
      <c r="BX14" s="19" t="e">
        <f>IF(VLOOKUP(BX$2,Table1[[#All],[RC]:[Internal Corrosion rate]],14,FALSE)="",14,100)</f>
        <v>#REF!</v>
      </c>
      <c r="BY14" s="19" t="e">
        <f>IF(VLOOKUP(BY$2,Table1[[#All],[RC]:[Internal Corrosion rate]],14,FALSE)="",14,100)</f>
        <v>#REF!</v>
      </c>
      <c r="BZ14" s="19" t="e">
        <f>IF(VLOOKUP(BZ$2,Table1[[#All],[RC]:[Internal Corrosion rate]],14,FALSE)="",14,100)</f>
        <v>#REF!</v>
      </c>
      <c r="CA14" s="19" t="e">
        <f>IF(VLOOKUP(CA$2,Table1[[#All],[RC]:[Internal Corrosion rate]],14,FALSE)="",14,100)</f>
        <v>#REF!</v>
      </c>
      <c r="CB14" s="19" t="e">
        <f>IF(VLOOKUP(CB$2,Table1[[#All],[RC]:[Internal Corrosion rate]],14,FALSE)="",14,100)</f>
        <v>#N/A</v>
      </c>
      <c r="CC14" s="19" t="e">
        <f>IF(VLOOKUP(CC$2,Table1[[#All],[RC]:[Internal Corrosion rate]],14,FALSE)="",14,100)</f>
        <v>#N/A</v>
      </c>
      <c r="CD14" s="19" t="e">
        <f>IF(VLOOKUP(CD$2,Table1[[#All],[RC]:[Internal Corrosion rate]],14,FALSE)="",14,100)</f>
        <v>#REF!</v>
      </c>
      <c r="CE14" s="19" t="e">
        <f>IF(VLOOKUP(CE$2,Table1[[#All],[RC]:[Internal Corrosion rate]],14,FALSE)="",14,100)</f>
        <v>#REF!</v>
      </c>
      <c r="CF14" s="19" t="e">
        <f>IF(VLOOKUP(CF$2,Table1[[#All],[RC]:[Internal Corrosion rate]],14,FALSE)="",14,100)</f>
        <v>#REF!</v>
      </c>
      <c r="CG14" s="19" t="e">
        <f>IF(VLOOKUP(CG$2,Table1[[#All],[RC]:[Internal Corrosion rate]],14,FALSE)="",14,100)</f>
        <v>#REF!</v>
      </c>
      <c r="CH14" s="19" t="e">
        <f>IF(VLOOKUP(CH$2,Table1[[#All],[RC]:[Internal Corrosion rate]],14,FALSE)="",14,100)</f>
        <v>#REF!</v>
      </c>
      <c r="CI14" s="19" t="e">
        <f>IF(VLOOKUP(CI$2,Table1[[#All],[RC]:[Internal Corrosion rate]],14,FALSE)="",14,100)</f>
        <v>#REF!</v>
      </c>
      <c r="CJ14" s="19" t="e">
        <f>IF(VLOOKUP(CJ$2,Table1[[#All],[RC]:[Internal Corrosion rate]],14,FALSE)="",14,100)</f>
        <v>#REF!</v>
      </c>
      <c r="CK14" s="19" t="e">
        <f>IF(VLOOKUP(CK$2,Table1[[#All],[RC]:[Internal Corrosion rate]],14,FALSE)="",14,100)</f>
        <v>#REF!</v>
      </c>
      <c r="CL14" s="19" t="e">
        <f>IF(VLOOKUP(CL$2,Table1[[#All],[RC]:[Internal Corrosion rate]],14,FALSE)="",14,100)</f>
        <v>#REF!</v>
      </c>
      <c r="CM14" s="19" t="e">
        <f>IF(VLOOKUP(CM$2,Table1[[#All],[RC]:[Internal Corrosion rate]],14,FALSE)="",14,100)</f>
        <v>#REF!</v>
      </c>
      <c r="CN14" s="19" t="e">
        <f>IF(VLOOKUP(CN$2,Table1[[#All],[RC]:[Internal Corrosion rate]],14,FALSE)="",14,100)</f>
        <v>#REF!</v>
      </c>
      <c r="CO14" s="19" t="e">
        <f>IF(VLOOKUP(CO$2,Table1[[#All],[RC]:[Internal Corrosion rate]],14,FALSE)="",14,100)</f>
        <v>#REF!</v>
      </c>
      <c r="CP14" s="19" t="e">
        <f>IF(VLOOKUP(CP$2,Table1[[#All],[RC]:[Internal Corrosion rate]],14,FALSE)="",14,100)</f>
        <v>#REF!</v>
      </c>
      <c r="CQ14" s="19" t="e">
        <f>IF(VLOOKUP(CQ$2,Table1[[#All],[RC]:[Internal Corrosion rate]],14,FALSE)="",14,100)</f>
        <v>#REF!</v>
      </c>
      <c r="CR14" s="19" t="e">
        <f>IF(VLOOKUP(CR$2,Table1[[#All],[RC]:[Internal Corrosion rate]],14,FALSE)="",14,100)</f>
        <v>#REF!</v>
      </c>
      <c r="CS14" s="19" t="e">
        <f>IF(VLOOKUP(CS$2,Table1[[#All],[RC]:[Internal Corrosion rate]],14,FALSE)="",14,100)</f>
        <v>#REF!</v>
      </c>
      <c r="CT14" s="19" t="e">
        <f>IF(VLOOKUP(CT$2,Table1[[#All],[RC]:[Internal Corrosion rate]],14,FALSE)="",14,100)</f>
        <v>#REF!</v>
      </c>
      <c r="CU14" s="19" t="e">
        <f>IF(VLOOKUP(CU$2,Table1[[#All],[RC]:[Internal Corrosion rate]],14,FALSE)="",14,100)</f>
        <v>#REF!</v>
      </c>
      <c r="CV14" s="19" t="e">
        <f>IF(VLOOKUP(CV$2,Table1[[#All],[RC]:[Internal Corrosion rate]],14,FALSE)="",14,100)</f>
        <v>#REF!</v>
      </c>
      <c r="CW14" s="19" t="e">
        <f>IF(VLOOKUP(CW$2,Table1[[#All],[RC]:[Internal Corrosion rate]],14,FALSE)="",14,100)</f>
        <v>#REF!</v>
      </c>
      <c r="CX14" s="19" t="e">
        <f>IF(VLOOKUP(CX$2,Table1[[#All],[RC]:[Internal Corrosion rate]],14,FALSE)="",14,100)</f>
        <v>#REF!</v>
      </c>
      <c r="CY14" s="19" t="e">
        <f>IF(VLOOKUP(CY$2,Table1[[#All],[RC]:[Internal Corrosion rate]],14,FALSE)="",14,100)</f>
        <v>#REF!</v>
      </c>
      <c r="CZ14" s="19" t="e">
        <f>IF(VLOOKUP(CZ$2,Table1[[#All],[RC]:[Internal Corrosion rate]],14,FALSE)="",14,100)</f>
        <v>#REF!</v>
      </c>
      <c r="DA14" s="19" t="e">
        <f>IF(VLOOKUP(DA$2,Table1[[#All],[RC]:[Internal Corrosion rate]],14,FALSE)="",14,100)</f>
        <v>#REF!</v>
      </c>
      <c r="DB14" s="19" t="e">
        <f>IF(VLOOKUP(DB$2,Table1[[#All],[RC]:[Internal Corrosion rate]],14,FALSE)="",14,100)</f>
        <v>#REF!</v>
      </c>
      <c r="DC14" s="19" t="e">
        <f>IF(VLOOKUP(DC$2,Table1[[#All],[RC]:[Internal Corrosion rate]],14,FALSE)="",14,100)</f>
        <v>#REF!</v>
      </c>
      <c r="DD14" s="19" t="e">
        <f>IF(VLOOKUP(DD$2,Table1[[#All],[RC]:[Internal Corrosion rate]],14,FALSE)="",14,100)</f>
        <v>#REF!</v>
      </c>
      <c r="DE14" s="19" t="e">
        <f>IF(VLOOKUP(DE$2,Table1[[#All],[RC]:[Internal Corrosion rate]],14,FALSE)="",14,100)</f>
        <v>#REF!</v>
      </c>
      <c r="DF14" s="19" t="e">
        <f>IF(VLOOKUP(DF$2,Table1[[#All],[RC]:[Internal Corrosion rate]],14,FALSE)="",14,100)</f>
        <v>#REF!</v>
      </c>
      <c r="DG14" s="19" t="e">
        <f>IF(VLOOKUP(DG$2,Table1[[#All],[RC]:[Internal Corrosion rate]],14,FALSE)="",14,100)</f>
        <v>#N/A</v>
      </c>
      <c r="DH14" s="19" t="e">
        <f>IF(VLOOKUP(DH$2,Table1[[#All],[RC]:[Internal Corrosion rate]],14,FALSE)="",14,100)</f>
        <v>#N/A</v>
      </c>
      <c r="DI14" s="19" t="e">
        <f>IF(VLOOKUP(DI$2,Table1[[#All],[RC]:[Internal Corrosion rate]],14,FALSE)="",14,100)</f>
        <v>#N/A</v>
      </c>
      <c r="DJ14" s="19" t="e">
        <f>IF(VLOOKUP(DJ$2,Table1[[#All],[RC]:[Internal Corrosion rate]],14,FALSE)="",14,100)</f>
        <v>#REF!</v>
      </c>
      <c r="DK14" s="19" t="e">
        <f>IF(VLOOKUP(DK$2,Table1[[#All],[RC]:[Internal Corrosion rate]],14,FALSE)="",14,100)</f>
        <v>#REF!</v>
      </c>
      <c r="DL14" s="19" t="e">
        <f>IF(VLOOKUP(DL$2,Table1[[#All],[RC]:[Internal Corrosion rate]],14,FALSE)="",14,100)</f>
        <v>#REF!</v>
      </c>
      <c r="DM14" s="19" t="e">
        <f>IF(VLOOKUP(DM$2,Table1[[#All],[RC]:[Internal Corrosion rate]],14,FALSE)="",14,100)</f>
        <v>#REF!</v>
      </c>
      <c r="DN14" s="19" t="e">
        <f>IF(VLOOKUP(DN$2,Table1[[#All],[RC]:[Internal Corrosion rate]],14,FALSE)="",14,100)</f>
        <v>#REF!</v>
      </c>
      <c r="DO14" s="19" t="e">
        <f>IF(VLOOKUP(DO$2,Table1[[#All],[RC]:[Internal Corrosion rate]],14,FALSE)="",14,100)</f>
        <v>#REF!</v>
      </c>
      <c r="DP14" s="19" t="e">
        <f>IF(VLOOKUP(DP$2,Table1[[#All],[RC]:[Internal Corrosion rate]],14,FALSE)="",14,100)</f>
        <v>#N/A</v>
      </c>
      <c r="DQ14" s="19" t="e">
        <f>IF(VLOOKUP(DQ$2,Table1[[#All],[RC]:[Internal Corrosion rate]],14,FALSE)="",14,100)</f>
        <v>#N/A</v>
      </c>
      <c r="DR14" s="19" t="e">
        <f>IF(VLOOKUP(DR$2,Table1[[#All],[RC]:[Internal Corrosion rate]],14,FALSE)="",14,100)</f>
        <v>#N/A</v>
      </c>
      <c r="DS14" s="19" t="e">
        <f>IF(VLOOKUP(DS$2,Table1[[#All],[RC]:[Internal Corrosion rate]],14,FALSE)="",14,100)</f>
        <v>#N/A</v>
      </c>
      <c r="DT14" s="19" t="e">
        <f>IF(VLOOKUP(DT$2,Table1[[#All],[RC]:[Internal Corrosion rate]],14,FALSE)="",14,100)</f>
        <v>#REF!</v>
      </c>
      <c r="DU14" s="19" t="e">
        <f>IF(VLOOKUP(DU$2,Table1[[#All],[RC]:[Internal Corrosion rate]],14,FALSE)="",14,100)</f>
        <v>#N/A</v>
      </c>
      <c r="DV14" s="19" t="e">
        <f>IF(VLOOKUP(DV$2,Table1[[#All],[RC]:[Internal Corrosion rate]],14,FALSE)="",14,100)</f>
        <v>#N/A</v>
      </c>
      <c r="DW14" s="19" t="e">
        <f>IF(VLOOKUP(DW$2,Table1[[#All],[RC]:[Internal Corrosion rate]],14,FALSE)="",14,100)</f>
        <v>#REF!</v>
      </c>
      <c r="DX14" s="19" t="e">
        <f>IF(VLOOKUP(DX$2,Table1[[#All],[RC]:[Internal Corrosion rate]],14,FALSE)="",14,100)</f>
        <v>#REF!</v>
      </c>
      <c r="DY14" s="19" t="e">
        <f>IF(VLOOKUP(DY$2,Table1[[#All],[RC]:[Internal Corrosion rate]],14,FALSE)="",14,100)</f>
        <v>#REF!</v>
      </c>
      <c r="DZ14" s="19" t="e">
        <f>IF(VLOOKUP(DZ$2,Table1[[#All],[RC]:[Internal Corrosion rate]],14,FALSE)="",14,100)</f>
        <v>#REF!</v>
      </c>
      <c r="EA14" s="19" t="e">
        <f>IF(VLOOKUP(EA$2,Table1[[#All],[RC]:[Internal Corrosion rate]],14,FALSE)="",14,100)</f>
        <v>#N/A</v>
      </c>
      <c r="EB14" s="19" t="e">
        <f>IF(VLOOKUP(EB$2,Table1[[#All],[RC]:[Internal Corrosion rate]],14,FALSE)="",14,100)</f>
        <v>#N/A</v>
      </c>
      <c r="EC14" s="19" t="e">
        <f>IF(VLOOKUP(EC$2,Table1[[#All],[RC]:[Internal Corrosion rate]],14,FALSE)="",14,100)</f>
        <v>#REF!</v>
      </c>
      <c r="ED14" s="19" t="e">
        <f>IF(VLOOKUP(ED$2,Table1[[#All],[RC]:[Internal Corrosion rate]],14,FALSE)="",14,100)</f>
        <v>#REF!</v>
      </c>
      <c r="EE14" s="19" t="e">
        <f>IF(VLOOKUP(EE$2,Table1[[#All],[RC]:[Internal Corrosion rate]],14,FALSE)="",14,100)</f>
        <v>#N/A</v>
      </c>
      <c r="EF14" s="19" t="e">
        <f>IF(VLOOKUP(EF$2,Table1[[#All],[RC]:[Internal Corrosion rate]],14,FALSE)="",14,100)</f>
        <v>#REF!</v>
      </c>
      <c r="EG14" s="19" t="e">
        <f>IF(VLOOKUP(EG$2,Table1[[#All],[RC]:[Internal Corrosion rate]],14,FALSE)="",14,100)</f>
        <v>#REF!</v>
      </c>
      <c r="EH14" s="19" t="e">
        <f>IF(VLOOKUP(EH$2,Table1[[#All],[RC]:[Internal Corrosion rate]],14,FALSE)="",14,100)</f>
        <v>#REF!</v>
      </c>
      <c r="EI14" s="19" t="e">
        <f>IF(VLOOKUP(EI$2,Table1[[#All],[RC]:[Internal Corrosion rate]],14,FALSE)="",14,100)</f>
        <v>#REF!</v>
      </c>
      <c r="EJ14" s="19" t="e">
        <f>IF(VLOOKUP(EJ$2,Table1[[#All],[RC]:[Internal Corrosion rate]],14,FALSE)="",14,100)</f>
        <v>#REF!</v>
      </c>
      <c r="EK14" s="19" t="e">
        <f>IF(VLOOKUP(EK$2,Table1[[#All],[RC]:[Internal Corrosion rate]],14,FALSE)="",14,100)</f>
        <v>#N/A</v>
      </c>
      <c r="EL14" s="19" t="e">
        <f>IF(VLOOKUP(EL$2,Table1[[#All],[RC]:[Internal Corrosion rate]],14,FALSE)="",14,100)</f>
        <v>#N/A</v>
      </c>
      <c r="EM14" s="19" t="e">
        <f>IF(VLOOKUP(EM$2,Table1[[#All],[RC]:[Internal Corrosion rate]],14,FALSE)="",14,100)</f>
        <v>#N/A</v>
      </c>
      <c r="EN14" s="19" t="e">
        <f>IF(VLOOKUP(EN$2,Table1[[#All],[RC]:[Internal Corrosion rate]],14,FALSE)="",14,100)</f>
        <v>#N/A</v>
      </c>
      <c r="EO14" s="19" t="e">
        <f>IF(VLOOKUP(EO$2,Table1[[#All],[RC]:[Internal Corrosion rate]],14,FALSE)="",14,100)</f>
        <v>#N/A</v>
      </c>
      <c r="EP14" s="19" t="e">
        <f>IF(VLOOKUP(EP$2,Table1[[#All],[RC]:[Internal Corrosion rate]],14,FALSE)="",14,100)</f>
        <v>#N/A</v>
      </c>
      <c r="EQ14" s="19" t="e">
        <f>IF(VLOOKUP(EQ$2,Table1[[#All],[RC]:[Internal Corrosion rate]],14,FALSE)="",14,100)</f>
        <v>#N/A</v>
      </c>
      <c r="ER14" s="19" t="e">
        <f>IF(VLOOKUP(ER$2,Table1[[#All],[RC]:[Internal Corrosion rate]],14,FALSE)="",14,100)</f>
        <v>#N/A</v>
      </c>
      <c r="ES14" s="19" t="e">
        <f>IF(VLOOKUP(ES$2,Table1[[#All],[RC]:[Internal Corrosion rate]],14,FALSE)="",14,100)</f>
        <v>#REF!</v>
      </c>
      <c r="ET14" s="19" t="e">
        <f>IF(VLOOKUP(ET$2,Table1[[#All],[RC]:[Internal Corrosion rate]],14,FALSE)="",14,100)</f>
        <v>#REF!</v>
      </c>
      <c r="EU14" s="19" t="e">
        <f>IF(VLOOKUP(EU$2,Table1[[#All],[RC]:[Internal Corrosion rate]],14,FALSE)="",14,100)</f>
        <v>#REF!</v>
      </c>
      <c r="EV14" s="19" t="e">
        <f>IF(VLOOKUP(EV$2,Table1[[#All],[RC]:[Internal Corrosion rate]],14,FALSE)="",14,100)</f>
        <v>#REF!</v>
      </c>
      <c r="EW14" s="19" t="e">
        <f>IF(VLOOKUP(EW$2,Table1[[#All],[RC]:[Internal Corrosion rate]],14,FALSE)="",14,100)</f>
        <v>#REF!</v>
      </c>
      <c r="EX14" s="19" t="e">
        <f>IF(VLOOKUP(EX$2,Table1[[#All],[RC]:[Internal Corrosion rate]],14,FALSE)="",14,100)</f>
        <v>#REF!</v>
      </c>
      <c r="EY14" s="19" t="e">
        <f>IF(VLOOKUP(EY$2,Table1[[#All],[RC]:[Internal Corrosion rate]],14,FALSE)="",14,100)</f>
        <v>#N/A</v>
      </c>
      <c r="EZ14" s="19" t="e">
        <f>IF(VLOOKUP(EZ$2,Table1[[#All],[RC]:[Internal Corrosion rate]],14,FALSE)="",14,100)</f>
        <v>#N/A</v>
      </c>
      <c r="FA14" s="19" t="e">
        <f>IF(VLOOKUP(FA$2,Table1[[#All],[RC]:[Internal Corrosion rate]],14,FALSE)="",14,100)</f>
        <v>#N/A</v>
      </c>
      <c r="FB14" s="19" t="e">
        <f>IF(VLOOKUP(FB$2,Table1[[#All],[RC]:[Internal Corrosion rate]],14,FALSE)="",14,100)</f>
        <v>#REF!</v>
      </c>
      <c r="FC14" s="19" t="e">
        <f>IF(VLOOKUP(FC$2,Table1[[#All],[RC]:[Internal Corrosion rate]],14,FALSE)="",14,100)</f>
        <v>#N/A</v>
      </c>
      <c r="FD14" s="19" t="e">
        <f>IF(VLOOKUP(FD$2,Table1[[#All],[RC]:[Internal Corrosion rate]],14,FALSE)="",14,100)</f>
        <v>#REF!</v>
      </c>
      <c r="FE14" s="19" t="e">
        <f>IF(VLOOKUP(FE$2,Table1[[#All],[RC]:[Internal Corrosion rate]],14,FALSE)="",14,100)</f>
        <v>#REF!</v>
      </c>
      <c r="FF14" s="19" t="e">
        <f>IF(VLOOKUP(FF$2,Table1[[#All],[RC]:[Internal Corrosion rate]],14,FALSE)="",14,100)</f>
        <v>#REF!</v>
      </c>
      <c r="FG14" s="19" t="e">
        <f>IF(VLOOKUP(FG$2,Table1[[#All],[RC]:[Internal Corrosion rate]],14,FALSE)="",14,100)</f>
        <v>#REF!</v>
      </c>
      <c r="FH14" s="19" t="e">
        <f>IF(VLOOKUP(FH$2,Table1[[#All],[RC]:[Internal Corrosion rate]],14,FALSE)="",14,100)</f>
        <v>#N/A</v>
      </c>
      <c r="FI14" s="19" t="e">
        <f>IF(VLOOKUP(FI$2,Table1[[#All],[RC]:[Internal Corrosion rate]],14,FALSE)="",14,100)</f>
        <v>#N/A</v>
      </c>
      <c r="FJ14" s="19" t="e">
        <f>IF(VLOOKUP(FJ$2,Table1[[#All],[RC]:[Internal Corrosion rate]],14,FALSE)="",14,100)</f>
        <v>#REF!</v>
      </c>
      <c r="FK14" s="19" t="e">
        <f>IF(VLOOKUP(FK$2,Table1[[#All],[RC]:[Internal Corrosion rate]],14,FALSE)="",14,100)</f>
        <v>#REF!</v>
      </c>
      <c r="FL14" s="19" t="e">
        <f>IF(VLOOKUP(FL$2,Table1[[#All],[RC]:[Internal Corrosion rate]],14,FALSE)="",14,100)</f>
        <v>#N/A</v>
      </c>
      <c r="FM14" s="19" t="e">
        <f>IF(VLOOKUP(FM$2,Table1[[#All],[RC]:[Internal Corrosion rate]],14,FALSE)="",14,100)</f>
        <v>#N/A</v>
      </c>
      <c r="FN14" s="19" t="e">
        <f>IF(VLOOKUP(FN$2,Table1[[#All],[RC]:[Internal Corrosion rate]],14,FALSE)="",14,100)</f>
        <v>#N/A</v>
      </c>
      <c r="FO14" s="19" t="e">
        <f>IF(VLOOKUP(FO$2,Table1[[#All],[RC]:[Internal Corrosion rate]],14,FALSE)="",14,100)</f>
        <v>#REF!</v>
      </c>
      <c r="FP14" s="19" t="e">
        <f>IF(VLOOKUP(FP$2,Table1[[#All],[RC]:[Internal Corrosion rate]],14,FALSE)="",14,100)</f>
        <v>#REF!</v>
      </c>
      <c r="FQ14" s="19" t="e">
        <f>IF(VLOOKUP(FQ$2,Table1[[#All],[RC]:[Internal Corrosion rate]],14,FALSE)="",14,100)</f>
        <v>#REF!</v>
      </c>
      <c r="FR14" s="19" t="e">
        <f>IF(VLOOKUP(FR$2,Table1[[#All],[RC]:[Internal Corrosion rate]],14,FALSE)="",14,100)</f>
        <v>#REF!</v>
      </c>
      <c r="FS14" s="19" t="e">
        <f>IF(VLOOKUP(FS$2,Table1[[#All],[RC]:[Internal Corrosion rate]],14,FALSE)="",14,100)</f>
        <v>#N/A</v>
      </c>
      <c r="FT14" s="19" t="e">
        <f>IF(VLOOKUP(FT$2,Table1[[#All],[RC]:[Internal Corrosion rate]],14,FALSE)="",14,100)</f>
        <v>#N/A</v>
      </c>
      <c r="FU14" s="19" t="e">
        <f>IF(VLOOKUP(FU$2,Table1[[#All],[RC]:[Internal Corrosion rate]],14,FALSE)="",14,100)</f>
        <v>#N/A</v>
      </c>
      <c r="FV14" s="19" t="e">
        <f>IF(VLOOKUP(FV$2,Table1[[#All],[RC]:[Internal Corrosion rate]],14,FALSE)="",14,100)</f>
        <v>#N/A</v>
      </c>
    </row>
    <row r="15" spans="1:178">
      <c r="A15" s="262" t="s">
        <v>535</v>
      </c>
      <c r="B15" s="262"/>
      <c r="C15" s="262"/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  <c r="CA15" s="262"/>
      <c r="CB15" s="262"/>
      <c r="CC15" s="262"/>
      <c r="CD15" s="262"/>
      <c r="CE15" s="262"/>
      <c r="CF15" s="262"/>
      <c r="CG15" s="262"/>
      <c r="CH15" s="262"/>
      <c r="CI15" s="262"/>
      <c r="CJ15" s="262"/>
      <c r="CK15" s="262"/>
      <c r="CL15" s="262"/>
      <c r="CM15" s="262"/>
      <c r="CN15" s="262"/>
      <c r="CO15" s="262"/>
      <c r="CP15" s="262"/>
      <c r="CQ15" s="262"/>
      <c r="CR15" s="262"/>
      <c r="CS15" s="262"/>
      <c r="CT15" s="262"/>
      <c r="CU15" s="262"/>
      <c r="CV15" s="262"/>
      <c r="CW15" s="262"/>
      <c r="CX15" s="262"/>
      <c r="CY15" s="262"/>
      <c r="CZ15" s="262"/>
      <c r="DA15" s="262"/>
      <c r="DB15" s="262"/>
      <c r="DC15" s="262"/>
      <c r="DD15" s="262"/>
      <c r="DE15" s="262"/>
      <c r="DF15" s="262"/>
      <c r="DG15" s="262"/>
      <c r="DH15" s="262"/>
      <c r="DI15" s="262"/>
      <c r="DJ15" s="262"/>
      <c r="DK15" s="262"/>
      <c r="DL15" s="262"/>
      <c r="DM15" s="262"/>
      <c r="DN15" s="262"/>
      <c r="DO15" s="262"/>
      <c r="DP15" s="262"/>
      <c r="DQ15" s="262"/>
      <c r="DR15" s="262"/>
      <c r="DS15" s="262"/>
      <c r="DT15" s="262"/>
      <c r="DU15" s="262"/>
      <c r="DV15" s="262"/>
      <c r="DW15" s="262"/>
      <c r="DX15" s="262"/>
      <c r="DY15" s="262"/>
      <c r="DZ15" s="262"/>
      <c r="EA15" s="262"/>
      <c r="EB15" s="262"/>
      <c r="EC15" s="262"/>
      <c r="ED15" s="262"/>
      <c r="EE15" s="262"/>
      <c r="EF15" s="262"/>
      <c r="EG15" s="262"/>
      <c r="EH15" s="262"/>
      <c r="EI15" s="262"/>
      <c r="EJ15" s="262"/>
      <c r="EK15" s="262"/>
      <c r="EL15" s="262"/>
      <c r="EM15" s="262"/>
      <c r="EN15" s="262"/>
      <c r="EO15" s="262"/>
      <c r="EP15" s="262"/>
      <c r="EQ15" s="262"/>
      <c r="ER15" s="262"/>
      <c r="ES15" s="262"/>
      <c r="ET15" s="262"/>
      <c r="EU15" s="262"/>
      <c r="EV15" s="262"/>
      <c r="EW15" s="262"/>
      <c r="EX15" s="262"/>
      <c r="EY15" s="262"/>
      <c r="EZ15" s="262"/>
      <c r="FA15" s="262"/>
      <c r="FB15" s="262"/>
      <c r="FC15" s="262"/>
      <c r="FD15" s="262"/>
      <c r="FE15" s="262"/>
      <c r="FF15" s="262"/>
      <c r="FG15" s="262"/>
      <c r="FH15" s="262"/>
      <c r="FI15" s="262"/>
      <c r="FJ15" s="262"/>
      <c r="FK15" s="262"/>
      <c r="FL15" s="262"/>
      <c r="FM15" s="262"/>
      <c r="FN15" s="262"/>
      <c r="FO15" s="262"/>
      <c r="FP15" s="262"/>
      <c r="FQ15" s="262"/>
      <c r="FR15" s="262"/>
      <c r="FS15" s="262"/>
      <c r="FT15" s="262"/>
      <c r="FU15" s="262"/>
      <c r="FV15" s="262"/>
    </row>
    <row r="16" spans="1:178">
      <c r="A16" s="61" t="s">
        <v>99</v>
      </c>
      <c r="B16" s="19" t="e">
        <f>IF(VLOOKUP(B$2,Table2[[#All],[RC]:[Total External Corrosion Score]],6,FALSE)="",0,100)</f>
        <v>#N/A</v>
      </c>
      <c r="C16" s="19" t="e">
        <f>IF(VLOOKUP(C$2,Table2[[#All],[RC]:[Total External Corrosion Score]],6,FALSE)="",0,100)</f>
        <v>#N/A</v>
      </c>
      <c r="D16" s="19">
        <f>IF(VLOOKUP(D$2,Table2[[#All],[RC]:[Total External Corrosion Score]],6,FALSE)="",0,100)</f>
        <v>100</v>
      </c>
      <c r="E16" s="19">
        <f>IF(VLOOKUP(E$2,Table2[[#All],[RC]:[Total External Corrosion Score]],6,FALSE)="",0,100)</f>
        <v>100</v>
      </c>
      <c r="F16" s="19">
        <f>IF(VLOOKUP(F$2,Table2[[#All],[RC]:[Total External Corrosion Score]],6,FALSE)="",0,100)</f>
        <v>100</v>
      </c>
      <c r="G16" s="19">
        <f>IF(VLOOKUP(G$2,Table2[[#All],[RC]:[Total External Corrosion Score]],6,FALSE)="",0,100)</f>
        <v>100</v>
      </c>
      <c r="H16" s="19">
        <f>IF(VLOOKUP(H$2,Table2[[#All],[RC]:[Total External Corrosion Score]],6,FALSE)="",0,100)</f>
        <v>100</v>
      </c>
      <c r="I16" s="19">
        <f>IF(VLOOKUP(I$2,Table2[[#All],[RC]:[Total External Corrosion Score]],6,FALSE)="",0,100)</f>
        <v>100</v>
      </c>
      <c r="J16" s="19">
        <f>IF(VLOOKUP(J$2,Table2[[#All],[RC]:[Total External Corrosion Score]],6,FALSE)="",0,100)</f>
        <v>100</v>
      </c>
      <c r="K16" s="19">
        <f>IF(VLOOKUP(K$2,Table2[[#All],[RC]:[Total External Corrosion Score]],6,FALSE)="",0,100)</f>
        <v>100</v>
      </c>
      <c r="L16" s="19">
        <f>IF(VLOOKUP(L$2,Table2[[#All],[RC]:[Total External Corrosion Score]],6,FALSE)="",0,100)</f>
        <v>100</v>
      </c>
      <c r="M16" s="19" t="e">
        <f>IF(VLOOKUP(M$2,Table2[[#All],[RC]:[Total External Corrosion Score]],6,FALSE)="",0,100)</f>
        <v>#N/A</v>
      </c>
      <c r="N16" s="19">
        <f>IF(VLOOKUP(N$2,Table2[[#All],[RC]:[Total External Corrosion Score]],6,FALSE)="",0,100)</f>
        <v>100</v>
      </c>
      <c r="O16" s="19">
        <f>IF(VLOOKUP(O$2,Table2[[#All],[RC]:[Total External Corrosion Score]],6,FALSE)="",0,100)</f>
        <v>100</v>
      </c>
      <c r="P16" s="19">
        <f>IF(VLOOKUP(P$2,Table2[[#All],[RC]:[Total External Corrosion Score]],6,FALSE)="",0,100)</f>
        <v>100</v>
      </c>
      <c r="Q16" s="19">
        <f>IF(VLOOKUP(Q$2,Table2[[#All],[RC]:[Total External Corrosion Score]],6,FALSE)="",0,100)</f>
        <v>100</v>
      </c>
      <c r="R16" s="19">
        <f>IF(VLOOKUP(R$2,Table2[[#All],[RC]:[Total External Corrosion Score]],6,FALSE)="",0,100)</f>
        <v>100</v>
      </c>
      <c r="S16" s="19">
        <f>IF(VLOOKUP(S$2,Table2[[#All],[RC]:[Total External Corrosion Score]],6,FALSE)="",0,100)</f>
        <v>100</v>
      </c>
      <c r="T16" s="19">
        <f>IF(VLOOKUP(T$2,Table2[[#All],[RC]:[Total External Corrosion Score]],6,FALSE)="",0,100)</f>
        <v>100</v>
      </c>
      <c r="U16" s="19">
        <f>IF(VLOOKUP(U$2,Table2[[#All],[RC]:[Total External Corrosion Score]],6,FALSE)="",0,100)</f>
        <v>100</v>
      </c>
      <c r="V16" s="19">
        <f>IF(VLOOKUP(V$2,Table2[[#All],[RC]:[Total External Corrosion Score]],6,FALSE)="",0,100)</f>
        <v>100</v>
      </c>
      <c r="W16" s="19">
        <f>IF(VLOOKUP(W$2,Table2[[#All],[RC]:[Total External Corrosion Score]],6,FALSE)="",0,100)</f>
        <v>100</v>
      </c>
      <c r="X16" s="19">
        <f>IF(VLOOKUP(X$2,Table2[[#All],[RC]:[Total External Corrosion Score]],6,FALSE)="",0,100)</f>
        <v>100</v>
      </c>
      <c r="Y16" s="19" t="e">
        <f>IF(VLOOKUP(Y$2,Table2[[#All],[RC]:[Total External Corrosion Score]],6,FALSE)="",0,100)</f>
        <v>#N/A</v>
      </c>
      <c r="Z16" s="19" t="e">
        <f>IF(VLOOKUP(Z$2,Table2[[#All],[RC]:[Total External Corrosion Score]],6,FALSE)="",0,100)</f>
        <v>#N/A</v>
      </c>
      <c r="AA16" s="19">
        <f>IF(VLOOKUP(AA$2,Table2[[#All],[RC]:[Total External Corrosion Score]],6,FALSE)="",0,100)</f>
        <v>100</v>
      </c>
      <c r="AB16" s="19">
        <f>IF(VLOOKUP(AB$2,Table2[[#All],[RC]:[Total External Corrosion Score]],6,FALSE)="",0,100)</f>
        <v>100</v>
      </c>
      <c r="AC16" s="19">
        <f>IF(VLOOKUP(AC$2,Table2[[#All],[RC]:[Total External Corrosion Score]],6,FALSE)="",0,100)</f>
        <v>100</v>
      </c>
      <c r="AD16" s="19">
        <f>IF(VLOOKUP(AD$2,Table2[[#All],[RC]:[Total External Corrosion Score]],6,FALSE)="",0,100)</f>
        <v>100</v>
      </c>
      <c r="AE16" s="19" t="e">
        <f>IF(VLOOKUP(AE$2,Table2[[#All],[RC]:[Total External Corrosion Score]],6,FALSE)="",0,100)</f>
        <v>#N/A</v>
      </c>
      <c r="AF16" s="19">
        <f>IF(VLOOKUP(AF$2,Table2[[#All],[RC]:[Total External Corrosion Score]],6,FALSE)="",0,100)</f>
        <v>100</v>
      </c>
      <c r="AG16" s="19">
        <f>IF(VLOOKUP(AG$2,Table2[[#All],[RC]:[Total External Corrosion Score]],6,FALSE)="",0,100)</f>
        <v>100</v>
      </c>
      <c r="AH16" s="19">
        <f>IF(VLOOKUP(AH$2,Table2[[#All],[RC]:[Total External Corrosion Score]],6,FALSE)="",0,100)</f>
        <v>100</v>
      </c>
      <c r="AI16" s="19">
        <f>IF(VLOOKUP(AI$2,Table2[[#All],[RC]:[Total External Corrosion Score]],6,FALSE)="",0,100)</f>
        <v>100</v>
      </c>
      <c r="AJ16" s="19">
        <f>IF(VLOOKUP(AJ$2,Table2[[#All],[RC]:[Total External Corrosion Score]],6,FALSE)="",0,100)</f>
        <v>100</v>
      </c>
      <c r="AK16" s="19">
        <f>IF(VLOOKUP(AK$2,Table2[[#All],[RC]:[Total External Corrosion Score]],6,FALSE)="",0,100)</f>
        <v>100</v>
      </c>
      <c r="AL16" s="19" t="e">
        <f>IF(VLOOKUP(AL$2,Table2[[#All],[RC]:[Total External Corrosion Score]],6,FALSE)="",0,100)</f>
        <v>#N/A</v>
      </c>
      <c r="AM16" s="19" t="e">
        <f>IF(VLOOKUP(AM$2,Table2[[#All],[RC]:[Total External Corrosion Score]],6,FALSE)="",0,100)</f>
        <v>#N/A</v>
      </c>
      <c r="AN16" s="19" t="e">
        <f>IF(VLOOKUP(AN$2,Table2[[#All],[RC]:[Total External Corrosion Score]],6,FALSE)="",0,100)</f>
        <v>#N/A</v>
      </c>
      <c r="AO16" s="19">
        <f>IF(VLOOKUP(AO$2,Table2[[#All],[RC]:[Total External Corrosion Score]],6,FALSE)="",0,100)</f>
        <v>100</v>
      </c>
      <c r="AP16" s="19">
        <f>IF(VLOOKUP(AP$2,Table2[[#All],[RC]:[Total External Corrosion Score]],6,FALSE)="",0,100)</f>
        <v>100</v>
      </c>
      <c r="AQ16" s="19" t="e">
        <f>IF(VLOOKUP(AQ$2,Table2[[#All],[RC]:[Total External Corrosion Score]],6,FALSE)="",0,100)</f>
        <v>#N/A</v>
      </c>
      <c r="AR16" s="19" t="e">
        <f>IF(VLOOKUP(AR$2,Table2[[#All],[RC]:[Total External Corrosion Score]],6,FALSE)="",0,100)</f>
        <v>#N/A</v>
      </c>
      <c r="AS16" s="19" t="e">
        <f>IF(VLOOKUP(AS$2,Table2[[#All],[RC]:[Total External Corrosion Score]],6,FALSE)="",0,100)</f>
        <v>#N/A</v>
      </c>
      <c r="AT16" s="19">
        <f>IF(VLOOKUP(AT$2,Table2[[#All],[RC]:[Total External Corrosion Score]],6,FALSE)="",0,100)</f>
        <v>100</v>
      </c>
      <c r="AU16" s="19">
        <f>IF(VLOOKUP(AU$2,Table2[[#All],[RC]:[Total External Corrosion Score]],6,FALSE)="",0,100)</f>
        <v>100</v>
      </c>
      <c r="AV16" s="19">
        <f>IF(VLOOKUP(AV$2,Table2[[#All],[RC]:[Total External Corrosion Score]],6,FALSE)="",0,100)</f>
        <v>100</v>
      </c>
      <c r="AW16" s="19" t="e">
        <f>IF(VLOOKUP(AW$2,Table2[[#All],[RC]:[Total External Corrosion Score]],6,FALSE)="",0,100)</f>
        <v>#N/A</v>
      </c>
      <c r="AX16" s="19">
        <f>IF(VLOOKUP(AX$2,Table2[[#All],[RC]:[Total External Corrosion Score]],6,FALSE)="",0,100)</f>
        <v>100</v>
      </c>
      <c r="AY16" s="19">
        <f>IF(VLOOKUP(AY$2,Table2[[#All],[RC]:[Total External Corrosion Score]],6,FALSE)="",0,100)</f>
        <v>100</v>
      </c>
      <c r="AZ16" s="19">
        <f>IF(VLOOKUP(AZ$2,Table2[[#All],[RC]:[Total External Corrosion Score]],6,FALSE)="",0,100)</f>
        <v>100</v>
      </c>
      <c r="BA16" s="19" t="e">
        <f>IF(VLOOKUP(BA$2,Table2[[#All],[RC]:[Total External Corrosion Score]],6,FALSE)="",0,100)</f>
        <v>#N/A</v>
      </c>
      <c r="BB16" s="19">
        <f>IF(VLOOKUP(BB$2,Table2[[#All],[RC]:[Total External Corrosion Score]],6,FALSE)="",0,100)</f>
        <v>100</v>
      </c>
      <c r="BC16" s="19">
        <f>IF(VLOOKUP(BC$2,Table2[[#All],[RC]:[Total External Corrosion Score]],6,FALSE)="",0,100)</f>
        <v>100</v>
      </c>
      <c r="BD16" s="19" t="e">
        <f>IF(VLOOKUP(BD$2,Table2[[#All],[RC]:[Total External Corrosion Score]],6,FALSE)="",0,100)</f>
        <v>#N/A</v>
      </c>
      <c r="BE16" s="19">
        <f>IF(VLOOKUP(BE$2,Table2[[#All],[RC]:[Total External Corrosion Score]],6,FALSE)="",0,100)</f>
        <v>100</v>
      </c>
      <c r="BF16" s="19">
        <f>IF(VLOOKUP(BF$2,Table2[[#All],[RC]:[Total External Corrosion Score]],6,FALSE)="",0,100)</f>
        <v>100</v>
      </c>
      <c r="BG16" s="19">
        <f>IF(VLOOKUP(BG$2,Table2[[#All],[RC]:[Total External Corrosion Score]],6,FALSE)="",0,100)</f>
        <v>100</v>
      </c>
      <c r="BH16" s="19" t="e">
        <f>IF(VLOOKUP(BH$2,Table2[[#All],[RC]:[Total External Corrosion Score]],6,FALSE)="",0,100)</f>
        <v>#N/A</v>
      </c>
      <c r="BI16" s="19" t="e">
        <f>IF(VLOOKUP(BI$2,Table2[[#All],[RC]:[Total External Corrosion Score]],6,FALSE)="",0,100)</f>
        <v>#N/A</v>
      </c>
      <c r="BJ16" s="19" t="e">
        <f>IF(VLOOKUP(BJ$2,Table2[[#All],[RC]:[Total External Corrosion Score]],6,FALSE)="",0,100)</f>
        <v>#N/A</v>
      </c>
      <c r="BK16" s="19">
        <f>IF(VLOOKUP(BK$2,Table2[[#All],[RC]:[Total External Corrosion Score]],6,FALSE)="",0,100)</f>
        <v>100</v>
      </c>
      <c r="BL16" s="19">
        <f>IF(VLOOKUP(BL$2,Table2[[#All],[RC]:[Total External Corrosion Score]],6,FALSE)="",0,100)</f>
        <v>100</v>
      </c>
      <c r="BM16" s="19" t="e">
        <f>IF(VLOOKUP(BM$2,Table2[[#All],[RC]:[Total External Corrosion Score]],6,FALSE)="",0,100)</f>
        <v>#N/A</v>
      </c>
      <c r="BN16" s="19">
        <f>IF(VLOOKUP(BN$2,Table2[[#All],[RC]:[Total External Corrosion Score]],6,FALSE)="",0,100)</f>
        <v>100</v>
      </c>
      <c r="BO16" s="19">
        <f>IF(VLOOKUP(BO$2,Table2[[#All],[RC]:[Total External Corrosion Score]],6,FALSE)="",0,100)</f>
        <v>100</v>
      </c>
      <c r="BP16" s="19">
        <f>IF(VLOOKUP(BP$2,Table2[[#All],[RC]:[Total External Corrosion Score]],6,FALSE)="",0,100)</f>
        <v>100</v>
      </c>
      <c r="BQ16" s="19">
        <f>IF(VLOOKUP(BQ$2,Table2[[#All],[RC]:[Total External Corrosion Score]],6,FALSE)="",0,100)</f>
        <v>100</v>
      </c>
      <c r="BR16" s="19">
        <f>IF(VLOOKUP(BR$2,Table2[[#All],[RC]:[Total External Corrosion Score]],6,FALSE)="",0,100)</f>
        <v>100</v>
      </c>
      <c r="BS16" s="19">
        <f>IF(VLOOKUP(BS$2,Table2[[#All],[RC]:[Total External Corrosion Score]],6,FALSE)="",0,100)</f>
        <v>100</v>
      </c>
      <c r="BT16" s="19" t="e">
        <f>IF(VLOOKUP(BT$2,Table2[[#All],[RC]:[Total External Corrosion Score]],6,FALSE)="",0,100)</f>
        <v>#N/A</v>
      </c>
      <c r="BU16" s="19">
        <f>IF(VLOOKUP(BU$2,Table2[[#All],[RC]:[Total External Corrosion Score]],6,FALSE)="",0,100)</f>
        <v>100</v>
      </c>
      <c r="BV16" s="19" t="e">
        <f>IF(VLOOKUP(BV$2,Table2[[#All],[RC]:[Total External Corrosion Score]],6,FALSE)="",0,100)</f>
        <v>#N/A</v>
      </c>
      <c r="BW16" s="19">
        <f>IF(VLOOKUP(BW$2,Table2[[#All],[RC]:[Total External Corrosion Score]],6,FALSE)="",0,100)</f>
        <v>100</v>
      </c>
      <c r="BX16" s="19">
        <f>IF(VLOOKUP(BX$2,Table2[[#All],[RC]:[Total External Corrosion Score]],6,FALSE)="",0,100)</f>
        <v>100</v>
      </c>
      <c r="BY16" s="19">
        <f>IF(VLOOKUP(BY$2,Table2[[#All],[RC]:[Total External Corrosion Score]],6,FALSE)="",0,100)</f>
        <v>100</v>
      </c>
      <c r="BZ16" s="19">
        <f>IF(VLOOKUP(BZ$2,Table2[[#All],[RC]:[Total External Corrosion Score]],6,FALSE)="",0,100)</f>
        <v>100</v>
      </c>
      <c r="CA16" s="19">
        <f>IF(VLOOKUP(CA$2,Table2[[#All],[RC]:[Total External Corrosion Score]],6,FALSE)="",0,100)</f>
        <v>100</v>
      </c>
      <c r="CB16" s="19" t="e">
        <f>IF(VLOOKUP(CB$2,Table2[[#All],[RC]:[Total External Corrosion Score]],6,FALSE)="",0,100)</f>
        <v>#N/A</v>
      </c>
      <c r="CC16" s="19" t="e">
        <f>IF(VLOOKUP(CC$2,Table2[[#All],[RC]:[Total External Corrosion Score]],6,FALSE)="",0,100)</f>
        <v>#N/A</v>
      </c>
      <c r="CD16" s="19">
        <f>IF(VLOOKUP(CD$2,Table2[[#All],[RC]:[Total External Corrosion Score]],6,FALSE)="",0,100)</f>
        <v>100</v>
      </c>
      <c r="CE16" s="19">
        <f>IF(VLOOKUP(CE$2,Table2[[#All],[RC]:[Total External Corrosion Score]],6,FALSE)="",0,100)</f>
        <v>100</v>
      </c>
      <c r="CF16" s="19">
        <f>IF(VLOOKUP(CF$2,Table2[[#All],[RC]:[Total External Corrosion Score]],6,FALSE)="",0,100)</f>
        <v>100</v>
      </c>
      <c r="CG16" s="19">
        <f>IF(VLOOKUP(CG$2,Table2[[#All],[RC]:[Total External Corrosion Score]],6,FALSE)="",0,100)</f>
        <v>100</v>
      </c>
      <c r="CH16" s="19">
        <f>IF(VLOOKUP(CH$2,Table2[[#All],[RC]:[Total External Corrosion Score]],6,FALSE)="",0,100)</f>
        <v>100</v>
      </c>
      <c r="CI16" s="19">
        <f>IF(VLOOKUP(CI$2,Table2[[#All],[RC]:[Total External Corrosion Score]],6,FALSE)="",0,100)</f>
        <v>100</v>
      </c>
      <c r="CJ16" s="19">
        <f>IF(VLOOKUP(CJ$2,Table2[[#All],[RC]:[Total External Corrosion Score]],6,FALSE)="",0,100)</f>
        <v>100</v>
      </c>
      <c r="CK16" s="19">
        <f>IF(VLOOKUP(CK$2,Table2[[#All],[RC]:[Total External Corrosion Score]],6,FALSE)="",0,100)</f>
        <v>100</v>
      </c>
      <c r="CL16" s="19">
        <f>IF(VLOOKUP(CL$2,Table2[[#All],[RC]:[Total External Corrosion Score]],6,FALSE)="",0,100)</f>
        <v>100</v>
      </c>
      <c r="CM16" s="19">
        <f>IF(VLOOKUP(CM$2,Table2[[#All],[RC]:[Total External Corrosion Score]],6,FALSE)="",0,100)</f>
        <v>100</v>
      </c>
      <c r="CN16" s="19">
        <f>IF(VLOOKUP(CN$2,Table2[[#All],[RC]:[Total External Corrosion Score]],6,FALSE)="",0,100)</f>
        <v>100</v>
      </c>
      <c r="CO16" s="19">
        <f>IF(VLOOKUP(CO$2,Table2[[#All],[RC]:[Total External Corrosion Score]],6,FALSE)="",0,100)</f>
        <v>100</v>
      </c>
      <c r="CP16" s="19">
        <f>IF(VLOOKUP(CP$2,Table2[[#All],[RC]:[Total External Corrosion Score]],6,FALSE)="",0,100)</f>
        <v>100</v>
      </c>
      <c r="CQ16" s="19">
        <f>IF(VLOOKUP(CQ$2,Table2[[#All],[RC]:[Total External Corrosion Score]],6,FALSE)="",0,100)</f>
        <v>100</v>
      </c>
      <c r="CR16" s="19">
        <f>IF(VLOOKUP(CR$2,Table2[[#All],[RC]:[Total External Corrosion Score]],6,FALSE)="",0,100)</f>
        <v>100</v>
      </c>
      <c r="CS16" s="19">
        <f>IF(VLOOKUP(CS$2,Table2[[#All],[RC]:[Total External Corrosion Score]],6,FALSE)="",0,100)</f>
        <v>100</v>
      </c>
      <c r="CT16" s="19">
        <f>IF(VLOOKUP(CT$2,Table2[[#All],[RC]:[Total External Corrosion Score]],6,FALSE)="",0,100)</f>
        <v>100</v>
      </c>
      <c r="CU16" s="19">
        <f>IF(VLOOKUP(CU$2,Table2[[#All],[RC]:[Total External Corrosion Score]],6,FALSE)="",0,100)</f>
        <v>100</v>
      </c>
      <c r="CV16" s="19">
        <f>IF(VLOOKUP(CV$2,Table2[[#All],[RC]:[Total External Corrosion Score]],6,FALSE)="",0,100)</f>
        <v>100</v>
      </c>
      <c r="CW16" s="19">
        <f>IF(VLOOKUP(CW$2,Table2[[#All],[RC]:[Total External Corrosion Score]],6,FALSE)="",0,100)</f>
        <v>100</v>
      </c>
      <c r="CX16" s="19">
        <f>IF(VLOOKUP(CX$2,Table2[[#All],[RC]:[Total External Corrosion Score]],6,FALSE)="",0,100)</f>
        <v>100</v>
      </c>
      <c r="CY16" s="19">
        <f>IF(VLOOKUP(CY$2,Table2[[#All],[RC]:[Total External Corrosion Score]],6,FALSE)="",0,100)</f>
        <v>100</v>
      </c>
      <c r="CZ16" s="19">
        <f>IF(VLOOKUP(CZ$2,Table2[[#All],[RC]:[Total External Corrosion Score]],6,FALSE)="",0,100)</f>
        <v>100</v>
      </c>
      <c r="DA16" s="19">
        <f>IF(VLOOKUP(DA$2,Table2[[#All],[RC]:[Total External Corrosion Score]],6,FALSE)="",0,100)</f>
        <v>100</v>
      </c>
      <c r="DB16" s="19">
        <f>IF(VLOOKUP(DB$2,Table2[[#All],[RC]:[Total External Corrosion Score]],6,FALSE)="",0,100)</f>
        <v>100</v>
      </c>
      <c r="DC16" s="19">
        <f>IF(VLOOKUP(DC$2,Table2[[#All],[RC]:[Total External Corrosion Score]],6,FALSE)="",0,100)</f>
        <v>100</v>
      </c>
      <c r="DD16" s="19">
        <f>IF(VLOOKUP(DD$2,Table2[[#All],[RC]:[Total External Corrosion Score]],6,FALSE)="",0,100)</f>
        <v>100</v>
      </c>
      <c r="DE16" s="19">
        <f>IF(VLOOKUP(DE$2,Table2[[#All],[RC]:[Total External Corrosion Score]],6,FALSE)="",0,100)</f>
        <v>100</v>
      </c>
      <c r="DF16" s="19">
        <f>IF(VLOOKUP(DF$2,Table2[[#All],[RC]:[Total External Corrosion Score]],6,FALSE)="",0,100)</f>
        <v>100</v>
      </c>
      <c r="DG16" s="19" t="e">
        <f>IF(VLOOKUP(DG$2,Table2[[#All],[RC]:[Total External Corrosion Score]],6,FALSE)="",0,100)</f>
        <v>#N/A</v>
      </c>
      <c r="DH16" s="19" t="e">
        <f>IF(VLOOKUP(DH$2,Table2[[#All],[RC]:[Total External Corrosion Score]],6,FALSE)="",0,100)</f>
        <v>#N/A</v>
      </c>
      <c r="DI16" s="19" t="e">
        <f>IF(VLOOKUP(DI$2,Table2[[#All],[RC]:[Total External Corrosion Score]],6,FALSE)="",0,100)</f>
        <v>#N/A</v>
      </c>
      <c r="DJ16" s="19">
        <f>IF(VLOOKUP(DJ$2,Table2[[#All],[RC]:[Total External Corrosion Score]],6,FALSE)="",0,100)</f>
        <v>100</v>
      </c>
      <c r="DK16" s="19">
        <f>IF(VLOOKUP(DK$2,Table2[[#All],[RC]:[Total External Corrosion Score]],6,FALSE)="",0,100)</f>
        <v>100</v>
      </c>
      <c r="DL16" s="19">
        <f>IF(VLOOKUP(DL$2,Table2[[#All],[RC]:[Total External Corrosion Score]],6,FALSE)="",0,100)</f>
        <v>100</v>
      </c>
      <c r="DM16" s="19">
        <f>IF(VLOOKUP(DM$2,Table2[[#All],[RC]:[Total External Corrosion Score]],6,FALSE)="",0,100)</f>
        <v>100</v>
      </c>
      <c r="DN16" s="19">
        <f>IF(VLOOKUP(DN$2,Table2[[#All],[RC]:[Total External Corrosion Score]],6,FALSE)="",0,100)</f>
        <v>100</v>
      </c>
      <c r="DO16" s="19">
        <f>IF(VLOOKUP(DO$2,Table2[[#All],[RC]:[Total External Corrosion Score]],6,FALSE)="",0,100)</f>
        <v>100</v>
      </c>
      <c r="DP16" s="19" t="e">
        <f>IF(VLOOKUP(DP$2,Table2[[#All],[RC]:[Total External Corrosion Score]],6,FALSE)="",0,100)</f>
        <v>#N/A</v>
      </c>
      <c r="DQ16" s="19" t="e">
        <f>IF(VLOOKUP(DQ$2,Table2[[#All],[RC]:[Total External Corrosion Score]],6,FALSE)="",0,100)</f>
        <v>#N/A</v>
      </c>
      <c r="DR16" s="19" t="e">
        <f>IF(VLOOKUP(DR$2,Table2[[#All],[RC]:[Total External Corrosion Score]],6,FALSE)="",0,100)</f>
        <v>#N/A</v>
      </c>
      <c r="DS16" s="19" t="e">
        <f>IF(VLOOKUP(DS$2,Table2[[#All],[RC]:[Total External Corrosion Score]],6,FALSE)="",0,100)</f>
        <v>#N/A</v>
      </c>
      <c r="DT16" s="19">
        <f>IF(VLOOKUP(DT$2,Table2[[#All],[RC]:[Total External Corrosion Score]],6,FALSE)="",0,100)</f>
        <v>100</v>
      </c>
      <c r="DU16" s="19" t="e">
        <f>IF(VLOOKUP(DU$2,Table2[[#All],[RC]:[Total External Corrosion Score]],6,FALSE)="",0,100)</f>
        <v>#N/A</v>
      </c>
      <c r="DV16" s="19" t="e">
        <f>IF(VLOOKUP(DV$2,Table2[[#All],[RC]:[Total External Corrosion Score]],6,FALSE)="",0,100)</f>
        <v>#N/A</v>
      </c>
      <c r="DW16" s="19">
        <f>IF(VLOOKUP(DW$2,Table2[[#All],[RC]:[Total External Corrosion Score]],6,FALSE)="",0,100)</f>
        <v>100</v>
      </c>
      <c r="DX16" s="19">
        <f>IF(VLOOKUP(DX$2,Table2[[#All],[RC]:[Total External Corrosion Score]],6,FALSE)="",0,100)</f>
        <v>100</v>
      </c>
      <c r="DY16" s="19">
        <f>IF(VLOOKUP(DY$2,Table2[[#All],[RC]:[Total External Corrosion Score]],6,FALSE)="",0,100)</f>
        <v>100</v>
      </c>
      <c r="DZ16" s="19">
        <f>IF(VLOOKUP(DZ$2,Table2[[#All],[RC]:[Total External Corrosion Score]],6,FALSE)="",0,100)</f>
        <v>100</v>
      </c>
      <c r="EA16" s="19" t="e">
        <f>IF(VLOOKUP(EA$2,Table2[[#All],[RC]:[Total External Corrosion Score]],6,FALSE)="",0,100)</f>
        <v>#N/A</v>
      </c>
      <c r="EB16" s="19" t="e">
        <f>IF(VLOOKUP(EB$2,Table2[[#All],[RC]:[Total External Corrosion Score]],6,FALSE)="",0,100)</f>
        <v>#N/A</v>
      </c>
      <c r="EC16" s="19">
        <f>IF(VLOOKUP(EC$2,Table2[[#All],[RC]:[Total External Corrosion Score]],6,FALSE)="",0,100)</f>
        <v>100</v>
      </c>
      <c r="ED16" s="19">
        <f>IF(VLOOKUP(ED$2,Table2[[#All],[RC]:[Total External Corrosion Score]],6,FALSE)="",0,100)</f>
        <v>100</v>
      </c>
      <c r="EE16" s="19" t="e">
        <f>IF(VLOOKUP(EE$2,Table2[[#All],[RC]:[Total External Corrosion Score]],6,FALSE)="",0,100)</f>
        <v>#N/A</v>
      </c>
      <c r="EF16" s="19">
        <f>IF(VLOOKUP(EF$2,Table2[[#All],[RC]:[Total External Corrosion Score]],6,FALSE)="",0,100)</f>
        <v>100</v>
      </c>
      <c r="EG16" s="19">
        <f>IF(VLOOKUP(EG$2,Table2[[#All],[RC]:[Total External Corrosion Score]],6,FALSE)="",0,100)</f>
        <v>100</v>
      </c>
      <c r="EH16" s="19">
        <f>IF(VLOOKUP(EH$2,Table2[[#All],[RC]:[Total External Corrosion Score]],6,FALSE)="",0,100)</f>
        <v>100</v>
      </c>
      <c r="EI16" s="19">
        <f>IF(VLOOKUP(EI$2,Table2[[#All],[RC]:[Total External Corrosion Score]],6,FALSE)="",0,100)</f>
        <v>100</v>
      </c>
      <c r="EJ16" s="19">
        <f>IF(VLOOKUP(EJ$2,Table2[[#All],[RC]:[Total External Corrosion Score]],6,FALSE)="",0,100)</f>
        <v>100</v>
      </c>
      <c r="EK16" s="19" t="e">
        <f>IF(VLOOKUP(EK$2,Table2[[#All],[RC]:[Total External Corrosion Score]],6,FALSE)="",0,100)</f>
        <v>#N/A</v>
      </c>
      <c r="EL16" s="19" t="e">
        <f>IF(VLOOKUP(EL$2,Table2[[#All],[RC]:[Total External Corrosion Score]],6,FALSE)="",0,100)</f>
        <v>#N/A</v>
      </c>
      <c r="EM16" s="19" t="e">
        <f>IF(VLOOKUP(EM$2,Table2[[#All],[RC]:[Total External Corrosion Score]],6,FALSE)="",0,100)</f>
        <v>#N/A</v>
      </c>
      <c r="EN16" s="19" t="e">
        <f>IF(VLOOKUP(EN$2,Table2[[#All],[RC]:[Total External Corrosion Score]],6,FALSE)="",0,100)</f>
        <v>#N/A</v>
      </c>
      <c r="EO16" s="19" t="e">
        <f>IF(VLOOKUP(EO$2,Table2[[#All],[RC]:[Total External Corrosion Score]],6,FALSE)="",0,100)</f>
        <v>#N/A</v>
      </c>
      <c r="EP16" s="19" t="e">
        <f>IF(VLOOKUP(EP$2,Table2[[#All],[RC]:[Total External Corrosion Score]],6,FALSE)="",0,100)</f>
        <v>#N/A</v>
      </c>
      <c r="EQ16" s="19" t="e">
        <f>IF(VLOOKUP(EQ$2,Table2[[#All],[RC]:[Total External Corrosion Score]],6,FALSE)="",0,100)</f>
        <v>#N/A</v>
      </c>
      <c r="ER16" s="19" t="e">
        <f>IF(VLOOKUP(ER$2,Table2[[#All],[RC]:[Total External Corrosion Score]],6,FALSE)="",0,100)</f>
        <v>#N/A</v>
      </c>
      <c r="ES16" s="19">
        <f>IF(VLOOKUP(ES$2,Table2[[#All],[RC]:[Total External Corrosion Score]],6,FALSE)="",0,100)</f>
        <v>100</v>
      </c>
      <c r="ET16" s="19">
        <f>IF(VLOOKUP(ET$2,Table2[[#All],[RC]:[Total External Corrosion Score]],6,FALSE)="",0,100)</f>
        <v>100</v>
      </c>
      <c r="EU16" s="19">
        <f>IF(VLOOKUP(EU$2,Table2[[#All],[RC]:[Total External Corrosion Score]],6,FALSE)="",0,100)</f>
        <v>100</v>
      </c>
      <c r="EV16" s="19">
        <f>IF(VLOOKUP(EV$2,Table2[[#All],[RC]:[Total External Corrosion Score]],6,FALSE)="",0,100)</f>
        <v>100</v>
      </c>
      <c r="EW16" s="19">
        <f>IF(VLOOKUP(EW$2,Table2[[#All],[RC]:[Total External Corrosion Score]],6,FALSE)="",0,100)</f>
        <v>100</v>
      </c>
      <c r="EX16" s="19">
        <f>IF(VLOOKUP(EX$2,Table2[[#All],[RC]:[Total External Corrosion Score]],6,FALSE)="",0,100)</f>
        <v>100</v>
      </c>
      <c r="EY16" s="19" t="e">
        <f>IF(VLOOKUP(EY$2,Table2[[#All],[RC]:[Total External Corrosion Score]],6,FALSE)="",0,100)</f>
        <v>#N/A</v>
      </c>
      <c r="EZ16" s="19" t="e">
        <f>IF(VLOOKUP(EZ$2,Table2[[#All],[RC]:[Total External Corrosion Score]],6,FALSE)="",0,100)</f>
        <v>#N/A</v>
      </c>
      <c r="FA16" s="19" t="e">
        <f>IF(VLOOKUP(FA$2,Table2[[#All],[RC]:[Total External Corrosion Score]],6,FALSE)="",0,100)</f>
        <v>#N/A</v>
      </c>
      <c r="FB16" s="19">
        <f>IF(VLOOKUP(FB$2,Table2[[#All],[RC]:[Total External Corrosion Score]],6,FALSE)="",0,100)</f>
        <v>100</v>
      </c>
      <c r="FC16" s="19" t="e">
        <f>IF(VLOOKUP(FC$2,Table2[[#All],[RC]:[Total External Corrosion Score]],6,FALSE)="",0,100)</f>
        <v>#N/A</v>
      </c>
      <c r="FD16" s="19">
        <f>IF(VLOOKUP(FD$2,Table2[[#All],[RC]:[Total External Corrosion Score]],6,FALSE)="",0,100)</f>
        <v>100</v>
      </c>
      <c r="FE16" s="19">
        <f>IF(VLOOKUP(FE$2,Table2[[#All],[RC]:[Total External Corrosion Score]],6,FALSE)="",0,100)</f>
        <v>100</v>
      </c>
      <c r="FF16" s="19">
        <f>IF(VLOOKUP(FF$2,Table2[[#All],[RC]:[Total External Corrosion Score]],6,FALSE)="",0,100)</f>
        <v>100</v>
      </c>
      <c r="FG16" s="19">
        <f>IF(VLOOKUP(FG$2,Table2[[#All],[RC]:[Total External Corrosion Score]],6,FALSE)="",0,100)</f>
        <v>100</v>
      </c>
      <c r="FH16" s="19" t="e">
        <f>IF(VLOOKUP(FH$2,Table2[[#All],[RC]:[Total External Corrosion Score]],6,FALSE)="",0,100)</f>
        <v>#N/A</v>
      </c>
      <c r="FI16" s="19" t="e">
        <f>IF(VLOOKUP(FI$2,Table2[[#All],[RC]:[Total External Corrosion Score]],6,FALSE)="",0,100)</f>
        <v>#N/A</v>
      </c>
      <c r="FJ16" s="19">
        <f>IF(VLOOKUP(FJ$2,Table2[[#All],[RC]:[Total External Corrosion Score]],6,FALSE)="",0,100)</f>
        <v>100</v>
      </c>
      <c r="FK16" s="19">
        <f>IF(VLOOKUP(FK$2,Table2[[#All],[RC]:[Total External Corrosion Score]],6,FALSE)="",0,100)</f>
        <v>100</v>
      </c>
      <c r="FL16" s="19" t="e">
        <f>IF(VLOOKUP(FL$2,Table2[[#All],[RC]:[Total External Corrosion Score]],6,FALSE)="",0,100)</f>
        <v>#N/A</v>
      </c>
      <c r="FM16" s="19" t="e">
        <f>IF(VLOOKUP(FM$2,Table2[[#All],[RC]:[Total External Corrosion Score]],6,FALSE)="",0,100)</f>
        <v>#N/A</v>
      </c>
      <c r="FN16" s="19" t="e">
        <f>IF(VLOOKUP(FN$2,Table2[[#All],[RC]:[Total External Corrosion Score]],6,FALSE)="",0,100)</f>
        <v>#N/A</v>
      </c>
      <c r="FO16" s="19">
        <f>IF(VLOOKUP(FO$2,Table2[[#All],[RC]:[Total External Corrosion Score]],6,FALSE)="",0,100)</f>
        <v>100</v>
      </c>
      <c r="FP16" s="19">
        <f>IF(VLOOKUP(FP$2,Table2[[#All],[RC]:[Total External Corrosion Score]],6,FALSE)="",0,100)</f>
        <v>100</v>
      </c>
      <c r="FQ16" s="19">
        <f>IF(VLOOKUP(FQ$2,Table2[[#All],[RC]:[Total External Corrosion Score]],6,FALSE)="",0,100)</f>
        <v>100</v>
      </c>
      <c r="FR16" s="19">
        <f>IF(VLOOKUP(FR$2,Table2[[#All],[RC]:[Total External Corrosion Score]],6,FALSE)="",0,100)</f>
        <v>100</v>
      </c>
      <c r="FS16" s="19" t="e">
        <f>IF(VLOOKUP(FS$2,Table2[[#All],[RC]:[Total External Corrosion Score]],6,FALSE)="",0,100)</f>
        <v>#N/A</v>
      </c>
      <c r="FT16" s="19" t="e">
        <f>IF(VLOOKUP(FT$2,Table2[[#All],[RC]:[Total External Corrosion Score]],6,FALSE)="",0,100)</f>
        <v>#N/A</v>
      </c>
      <c r="FU16" s="19" t="e">
        <f>IF(VLOOKUP(FU$2,Table2[[#All],[RC]:[Total External Corrosion Score]],6,FALSE)="",0,100)</f>
        <v>#N/A</v>
      </c>
      <c r="FV16" s="19" t="e">
        <f>IF(VLOOKUP(FV$2,Table2[[#All],[RC]:[Total External Corrosion Score]],6,FALSE)="",0,100)</f>
        <v>#N/A</v>
      </c>
    </row>
    <row r="17" spans="1:178">
      <c r="A17" s="61" t="s">
        <v>106</v>
      </c>
      <c r="B17" s="19" t="e">
        <f>IF(VLOOKUP(B$2,Table2[[#All],[RC]:[Total External Corrosion Score]],7,FALSE)="",0,100)</f>
        <v>#N/A</v>
      </c>
      <c r="C17" s="19" t="e">
        <f>IF(VLOOKUP(C$2,Table2[[#All],[RC]:[Total External Corrosion Score]],7,FALSE)="",0,100)</f>
        <v>#N/A</v>
      </c>
      <c r="D17" s="19">
        <f>IF(VLOOKUP(D$2,Table2[[#All],[RC]:[Total External Corrosion Score]],7,FALSE)="",0,100)</f>
        <v>100</v>
      </c>
      <c r="E17" s="19">
        <f>IF(VLOOKUP(E$2,Table2[[#All],[RC]:[Total External Corrosion Score]],7,FALSE)="",0,100)</f>
        <v>100</v>
      </c>
      <c r="F17" s="19">
        <f>IF(VLOOKUP(F$2,Table2[[#All],[RC]:[Total External Corrosion Score]],7,FALSE)="",0,100)</f>
        <v>100</v>
      </c>
      <c r="G17" s="19">
        <f>IF(VLOOKUP(G$2,Table2[[#All],[RC]:[Total External Corrosion Score]],7,FALSE)="",0,100)</f>
        <v>100</v>
      </c>
      <c r="H17" s="19">
        <f>IF(VLOOKUP(H$2,Table2[[#All],[RC]:[Total External Corrosion Score]],7,FALSE)="",0,100)</f>
        <v>100</v>
      </c>
      <c r="I17" s="19">
        <f>IF(VLOOKUP(I$2,Table2[[#All],[RC]:[Total External Corrosion Score]],7,FALSE)="",0,100)</f>
        <v>100</v>
      </c>
      <c r="J17" s="19">
        <f>IF(VLOOKUP(J$2,Table2[[#All],[RC]:[Total External Corrosion Score]],7,FALSE)="",0,100)</f>
        <v>100</v>
      </c>
      <c r="K17" s="19">
        <f>IF(VLOOKUP(K$2,Table2[[#All],[RC]:[Total External Corrosion Score]],7,FALSE)="",0,100)</f>
        <v>100</v>
      </c>
      <c r="L17" s="19">
        <f>IF(VLOOKUP(L$2,Table2[[#All],[RC]:[Total External Corrosion Score]],7,FALSE)="",0,100)</f>
        <v>100</v>
      </c>
      <c r="M17" s="19" t="e">
        <f>IF(VLOOKUP(M$2,Table2[[#All],[RC]:[Total External Corrosion Score]],7,FALSE)="",0,100)</f>
        <v>#N/A</v>
      </c>
      <c r="N17" s="19">
        <f>IF(VLOOKUP(N$2,Table2[[#All],[RC]:[Total External Corrosion Score]],7,FALSE)="",0,100)</f>
        <v>100</v>
      </c>
      <c r="O17" s="19">
        <f>IF(VLOOKUP(O$2,Table2[[#All],[RC]:[Total External Corrosion Score]],7,FALSE)="",0,100)</f>
        <v>100</v>
      </c>
      <c r="P17" s="19">
        <f>IF(VLOOKUP(P$2,Table2[[#All],[RC]:[Total External Corrosion Score]],7,FALSE)="",0,100)</f>
        <v>100</v>
      </c>
      <c r="Q17" s="19">
        <f>IF(VLOOKUP(Q$2,Table2[[#All],[RC]:[Total External Corrosion Score]],7,FALSE)="",0,100)</f>
        <v>100</v>
      </c>
      <c r="R17" s="19">
        <f>IF(VLOOKUP(R$2,Table2[[#All],[RC]:[Total External Corrosion Score]],7,FALSE)="",0,100)</f>
        <v>100</v>
      </c>
      <c r="S17" s="19">
        <f>IF(VLOOKUP(S$2,Table2[[#All],[RC]:[Total External Corrosion Score]],7,FALSE)="",0,100)</f>
        <v>100</v>
      </c>
      <c r="T17" s="19">
        <f>IF(VLOOKUP(T$2,Table2[[#All],[RC]:[Total External Corrosion Score]],7,FALSE)="",0,100)</f>
        <v>100</v>
      </c>
      <c r="U17" s="19">
        <f>IF(VLOOKUP(U$2,Table2[[#All],[RC]:[Total External Corrosion Score]],7,FALSE)="",0,100)</f>
        <v>100</v>
      </c>
      <c r="V17" s="19">
        <f>IF(VLOOKUP(V$2,Table2[[#All],[RC]:[Total External Corrosion Score]],7,FALSE)="",0,100)</f>
        <v>100</v>
      </c>
      <c r="W17" s="19">
        <f>IF(VLOOKUP(W$2,Table2[[#All],[RC]:[Total External Corrosion Score]],7,FALSE)="",0,100)</f>
        <v>100</v>
      </c>
      <c r="X17" s="19">
        <f>IF(VLOOKUP(X$2,Table2[[#All],[RC]:[Total External Corrosion Score]],7,FALSE)="",0,100)</f>
        <v>100</v>
      </c>
      <c r="Y17" s="19" t="e">
        <f>IF(VLOOKUP(Y$2,Table2[[#All],[RC]:[Total External Corrosion Score]],7,FALSE)="",0,100)</f>
        <v>#N/A</v>
      </c>
      <c r="Z17" s="19" t="e">
        <f>IF(VLOOKUP(Z$2,Table2[[#All],[RC]:[Total External Corrosion Score]],7,FALSE)="",0,100)</f>
        <v>#N/A</v>
      </c>
      <c r="AA17" s="19">
        <f>IF(VLOOKUP(AA$2,Table2[[#All],[RC]:[Total External Corrosion Score]],7,FALSE)="",0,100)</f>
        <v>100</v>
      </c>
      <c r="AB17" s="19">
        <f>IF(VLOOKUP(AB$2,Table2[[#All],[RC]:[Total External Corrosion Score]],7,FALSE)="",0,100)</f>
        <v>100</v>
      </c>
      <c r="AC17" s="19">
        <f>IF(VLOOKUP(AC$2,Table2[[#All],[RC]:[Total External Corrosion Score]],7,FALSE)="",0,100)</f>
        <v>100</v>
      </c>
      <c r="AD17" s="19">
        <f>IF(VLOOKUP(AD$2,Table2[[#All],[RC]:[Total External Corrosion Score]],7,FALSE)="",0,100)</f>
        <v>100</v>
      </c>
      <c r="AE17" s="19" t="e">
        <f>IF(VLOOKUP(AE$2,Table2[[#All],[RC]:[Total External Corrosion Score]],7,FALSE)="",0,100)</f>
        <v>#N/A</v>
      </c>
      <c r="AF17" s="19">
        <f>IF(VLOOKUP(AF$2,Table2[[#All],[RC]:[Total External Corrosion Score]],7,FALSE)="",0,100)</f>
        <v>100</v>
      </c>
      <c r="AG17" s="19">
        <f>IF(VLOOKUP(AG$2,Table2[[#All],[RC]:[Total External Corrosion Score]],7,FALSE)="",0,100)</f>
        <v>100</v>
      </c>
      <c r="AH17" s="19">
        <f>IF(VLOOKUP(AH$2,Table2[[#All],[RC]:[Total External Corrosion Score]],7,FALSE)="",0,100)</f>
        <v>100</v>
      </c>
      <c r="AI17" s="19">
        <f>IF(VLOOKUP(AI$2,Table2[[#All],[RC]:[Total External Corrosion Score]],7,FALSE)="",0,100)</f>
        <v>100</v>
      </c>
      <c r="AJ17" s="19">
        <f>IF(VLOOKUP(AJ$2,Table2[[#All],[RC]:[Total External Corrosion Score]],7,FALSE)="",0,100)</f>
        <v>100</v>
      </c>
      <c r="AK17" s="19">
        <f>IF(VLOOKUP(AK$2,Table2[[#All],[RC]:[Total External Corrosion Score]],7,FALSE)="",0,100)</f>
        <v>100</v>
      </c>
      <c r="AL17" s="19" t="e">
        <f>IF(VLOOKUP(AL$2,Table2[[#All],[RC]:[Total External Corrosion Score]],7,FALSE)="",0,100)</f>
        <v>#N/A</v>
      </c>
      <c r="AM17" s="19" t="e">
        <f>IF(VLOOKUP(AM$2,Table2[[#All],[RC]:[Total External Corrosion Score]],7,FALSE)="",0,100)</f>
        <v>#N/A</v>
      </c>
      <c r="AN17" s="19" t="e">
        <f>IF(VLOOKUP(AN$2,Table2[[#All],[RC]:[Total External Corrosion Score]],7,FALSE)="",0,100)</f>
        <v>#N/A</v>
      </c>
      <c r="AO17" s="19">
        <f>IF(VLOOKUP(AO$2,Table2[[#All],[RC]:[Total External Corrosion Score]],7,FALSE)="",0,100)</f>
        <v>100</v>
      </c>
      <c r="AP17" s="19">
        <f>IF(VLOOKUP(AP$2,Table2[[#All],[RC]:[Total External Corrosion Score]],7,FALSE)="",0,100)</f>
        <v>100</v>
      </c>
      <c r="AQ17" s="19" t="e">
        <f>IF(VLOOKUP(AQ$2,Table2[[#All],[RC]:[Total External Corrosion Score]],7,FALSE)="",0,100)</f>
        <v>#N/A</v>
      </c>
      <c r="AR17" s="19" t="e">
        <f>IF(VLOOKUP(AR$2,Table2[[#All],[RC]:[Total External Corrosion Score]],7,FALSE)="",0,100)</f>
        <v>#N/A</v>
      </c>
      <c r="AS17" s="19" t="e">
        <f>IF(VLOOKUP(AS$2,Table2[[#All],[RC]:[Total External Corrosion Score]],7,FALSE)="",0,100)</f>
        <v>#N/A</v>
      </c>
      <c r="AT17" s="19">
        <f>IF(VLOOKUP(AT$2,Table2[[#All],[RC]:[Total External Corrosion Score]],7,FALSE)="",0,100)</f>
        <v>100</v>
      </c>
      <c r="AU17" s="19">
        <f>IF(VLOOKUP(AU$2,Table2[[#All],[RC]:[Total External Corrosion Score]],7,FALSE)="",0,100)</f>
        <v>100</v>
      </c>
      <c r="AV17" s="19">
        <f>IF(VLOOKUP(AV$2,Table2[[#All],[RC]:[Total External Corrosion Score]],7,FALSE)="",0,100)</f>
        <v>100</v>
      </c>
      <c r="AW17" s="19" t="e">
        <f>IF(VLOOKUP(AW$2,Table2[[#All],[RC]:[Total External Corrosion Score]],7,FALSE)="",0,100)</f>
        <v>#N/A</v>
      </c>
      <c r="AX17" s="19">
        <f>IF(VLOOKUP(AX$2,Table2[[#All],[RC]:[Total External Corrosion Score]],7,FALSE)="",0,100)</f>
        <v>100</v>
      </c>
      <c r="AY17" s="19">
        <f>IF(VLOOKUP(AY$2,Table2[[#All],[RC]:[Total External Corrosion Score]],7,FALSE)="",0,100)</f>
        <v>100</v>
      </c>
      <c r="AZ17" s="19">
        <f>IF(VLOOKUP(AZ$2,Table2[[#All],[RC]:[Total External Corrosion Score]],7,FALSE)="",0,100)</f>
        <v>100</v>
      </c>
      <c r="BA17" s="19" t="e">
        <f>IF(VLOOKUP(BA$2,Table2[[#All],[RC]:[Total External Corrosion Score]],7,FALSE)="",0,100)</f>
        <v>#N/A</v>
      </c>
      <c r="BB17" s="19">
        <f>IF(VLOOKUP(BB$2,Table2[[#All],[RC]:[Total External Corrosion Score]],7,FALSE)="",0,100)</f>
        <v>100</v>
      </c>
      <c r="BC17" s="19">
        <f>IF(VLOOKUP(BC$2,Table2[[#All],[RC]:[Total External Corrosion Score]],7,FALSE)="",0,100)</f>
        <v>100</v>
      </c>
      <c r="BD17" s="19" t="e">
        <f>IF(VLOOKUP(BD$2,Table2[[#All],[RC]:[Total External Corrosion Score]],7,FALSE)="",0,100)</f>
        <v>#N/A</v>
      </c>
      <c r="BE17" s="19">
        <f>IF(VLOOKUP(BE$2,Table2[[#All],[RC]:[Total External Corrosion Score]],7,FALSE)="",0,100)</f>
        <v>100</v>
      </c>
      <c r="BF17" s="19">
        <f>IF(VLOOKUP(BF$2,Table2[[#All],[RC]:[Total External Corrosion Score]],7,FALSE)="",0,100)</f>
        <v>100</v>
      </c>
      <c r="BG17" s="19">
        <f>IF(VLOOKUP(BG$2,Table2[[#All],[RC]:[Total External Corrosion Score]],7,FALSE)="",0,100)</f>
        <v>100</v>
      </c>
      <c r="BH17" s="19" t="e">
        <f>IF(VLOOKUP(BH$2,Table2[[#All],[RC]:[Total External Corrosion Score]],7,FALSE)="",0,100)</f>
        <v>#N/A</v>
      </c>
      <c r="BI17" s="19" t="e">
        <f>IF(VLOOKUP(BI$2,Table2[[#All],[RC]:[Total External Corrosion Score]],7,FALSE)="",0,100)</f>
        <v>#N/A</v>
      </c>
      <c r="BJ17" s="19" t="e">
        <f>IF(VLOOKUP(BJ$2,Table2[[#All],[RC]:[Total External Corrosion Score]],7,FALSE)="",0,100)</f>
        <v>#N/A</v>
      </c>
      <c r="BK17" s="19">
        <f>IF(VLOOKUP(BK$2,Table2[[#All],[RC]:[Total External Corrosion Score]],7,FALSE)="",0,100)</f>
        <v>100</v>
      </c>
      <c r="BL17" s="19">
        <f>IF(VLOOKUP(BL$2,Table2[[#All],[RC]:[Total External Corrosion Score]],7,FALSE)="",0,100)</f>
        <v>100</v>
      </c>
      <c r="BM17" s="19" t="e">
        <f>IF(VLOOKUP(BM$2,Table2[[#All],[RC]:[Total External Corrosion Score]],7,FALSE)="",0,100)</f>
        <v>#N/A</v>
      </c>
      <c r="BN17" s="19">
        <f>IF(VLOOKUP(BN$2,Table2[[#All],[RC]:[Total External Corrosion Score]],7,FALSE)="",0,100)</f>
        <v>100</v>
      </c>
      <c r="BO17" s="19">
        <f>IF(VLOOKUP(BO$2,Table2[[#All],[RC]:[Total External Corrosion Score]],7,FALSE)="",0,100)</f>
        <v>100</v>
      </c>
      <c r="BP17" s="19">
        <f>IF(VLOOKUP(BP$2,Table2[[#All],[RC]:[Total External Corrosion Score]],7,FALSE)="",0,100)</f>
        <v>100</v>
      </c>
      <c r="BQ17" s="19">
        <f>IF(VLOOKUP(BQ$2,Table2[[#All],[RC]:[Total External Corrosion Score]],7,FALSE)="",0,100)</f>
        <v>100</v>
      </c>
      <c r="BR17" s="19">
        <f>IF(VLOOKUP(BR$2,Table2[[#All],[RC]:[Total External Corrosion Score]],7,FALSE)="",0,100)</f>
        <v>100</v>
      </c>
      <c r="BS17" s="19">
        <f>IF(VLOOKUP(BS$2,Table2[[#All],[RC]:[Total External Corrosion Score]],7,FALSE)="",0,100)</f>
        <v>100</v>
      </c>
      <c r="BT17" s="19" t="e">
        <f>IF(VLOOKUP(BT$2,Table2[[#All],[RC]:[Total External Corrosion Score]],7,FALSE)="",0,100)</f>
        <v>#N/A</v>
      </c>
      <c r="BU17" s="19">
        <f>IF(VLOOKUP(BU$2,Table2[[#All],[RC]:[Total External Corrosion Score]],7,FALSE)="",0,100)</f>
        <v>100</v>
      </c>
      <c r="BV17" s="19" t="e">
        <f>IF(VLOOKUP(BV$2,Table2[[#All],[RC]:[Total External Corrosion Score]],7,FALSE)="",0,100)</f>
        <v>#N/A</v>
      </c>
      <c r="BW17" s="19">
        <f>IF(VLOOKUP(BW$2,Table2[[#All],[RC]:[Total External Corrosion Score]],7,FALSE)="",0,100)</f>
        <v>100</v>
      </c>
      <c r="BX17" s="19">
        <f>IF(VLOOKUP(BX$2,Table2[[#All],[RC]:[Total External Corrosion Score]],7,FALSE)="",0,100)</f>
        <v>100</v>
      </c>
      <c r="BY17" s="19">
        <f>IF(VLOOKUP(BY$2,Table2[[#All],[RC]:[Total External Corrosion Score]],7,FALSE)="",0,100)</f>
        <v>100</v>
      </c>
      <c r="BZ17" s="19">
        <f>IF(VLOOKUP(BZ$2,Table2[[#All],[RC]:[Total External Corrosion Score]],7,FALSE)="",0,100)</f>
        <v>100</v>
      </c>
      <c r="CA17" s="19">
        <f>IF(VLOOKUP(CA$2,Table2[[#All],[RC]:[Total External Corrosion Score]],7,FALSE)="",0,100)</f>
        <v>100</v>
      </c>
      <c r="CB17" s="19" t="e">
        <f>IF(VLOOKUP(CB$2,Table2[[#All],[RC]:[Total External Corrosion Score]],7,FALSE)="",0,100)</f>
        <v>#N/A</v>
      </c>
      <c r="CC17" s="19" t="e">
        <f>IF(VLOOKUP(CC$2,Table2[[#All],[RC]:[Total External Corrosion Score]],7,FALSE)="",0,100)</f>
        <v>#N/A</v>
      </c>
      <c r="CD17" s="19">
        <f>IF(VLOOKUP(CD$2,Table2[[#All],[RC]:[Total External Corrosion Score]],7,FALSE)="",0,100)</f>
        <v>100</v>
      </c>
      <c r="CE17" s="19">
        <f>IF(VLOOKUP(CE$2,Table2[[#All],[RC]:[Total External Corrosion Score]],7,FALSE)="",0,100)</f>
        <v>100</v>
      </c>
      <c r="CF17" s="19">
        <f>IF(VLOOKUP(CF$2,Table2[[#All],[RC]:[Total External Corrosion Score]],7,FALSE)="",0,100)</f>
        <v>100</v>
      </c>
      <c r="CG17" s="19">
        <f>IF(VLOOKUP(CG$2,Table2[[#All],[RC]:[Total External Corrosion Score]],7,FALSE)="",0,100)</f>
        <v>100</v>
      </c>
      <c r="CH17" s="19">
        <f>IF(VLOOKUP(CH$2,Table2[[#All],[RC]:[Total External Corrosion Score]],7,FALSE)="",0,100)</f>
        <v>100</v>
      </c>
      <c r="CI17" s="19">
        <f>IF(VLOOKUP(CI$2,Table2[[#All],[RC]:[Total External Corrosion Score]],7,FALSE)="",0,100)</f>
        <v>100</v>
      </c>
      <c r="CJ17" s="19">
        <f>IF(VLOOKUP(CJ$2,Table2[[#All],[RC]:[Total External Corrosion Score]],7,FALSE)="",0,100)</f>
        <v>100</v>
      </c>
      <c r="CK17" s="19">
        <f>IF(VLOOKUP(CK$2,Table2[[#All],[RC]:[Total External Corrosion Score]],7,FALSE)="",0,100)</f>
        <v>100</v>
      </c>
      <c r="CL17" s="19">
        <f>IF(VLOOKUP(CL$2,Table2[[#All],[RC]:[Total External Corrosion Score]],7,FALSE)="",0,100)</f>
        <v>100</v>
      </c>
      <c r="CM17" s="19">
        <f>IF(VLOOKUP(CM$2,Table2[[#All],[RC]:[Total External Corrosion Score]],7,FALSE)="",0,100)</f>
        <v>100</v>
      </c>
      <c r="CN17" s="19">
        <f>IF(VLOOKUP(CN$2,Table2[[#All],[RC]:[Total External Corrosion Score]],7,FALSE)="",0,100)</f>
        <v>100</v>
      </c>
      <c r="CO17" s="19">
        <f>IF(VLOOKUP(CO$2,Table2[[#All],[RC]:[Total External Corrosion Score]],7,FALSE)="",0,100)</f>
        <v>100</v>
      </c>
      <c r="CP17" s="19">
        <f>IF(VLOOKUP(CP$2,Table2[[#All],[RC]:[Total External Corrosion Score]],7,FALSE)="",0,100)</f>
        <v>100</v>
      </c>
      <c r="CQ17" s="19">
        <f>IF(VLOOKUP(CQ$2,Table2[[#All],[RC]:[Total External Corrosion Score]],7,FALSE)="",0,100)</f>
        <v>100</v>
      </c>
      <c r="CR17" s="19">
        <f>IF(VLOOKUP(CR$2,Table2[[#All],[RC]:[Total External Corrosion Score]],7,FALSE)="",0,100)</f>
        <v>100</v>
      </c>
      <c r="CS17" s="19">
        <f>IF(VLOOKUP(CS$2,Table2[[#All],[RC]:[Total External Corrosion Score]],7,FALSE)="",0,100)</f>
        <v>100</v>
      </c>
      <c r="CT17" s="19">
        <f>IF(VLOOKUP(CT$2,Table2[[#All],[RC]:[Total External Corrosion Score]],7,FALSE)="",0,100)</f>
        <v>100</v>
      </c>
      <c r="CU17" s="19">
        <f>IF(VLOOKUP(CU$2,Table2[[#All],[RC]:[Total External Corrosion Score]],7,FALSE)="",0,100)</f>
        <v>100</v>
      </c>
      <c r="CV17" s="19">
        <f>IF(VLOOKUP(CV$2,Table2[[#All],[RC]:[Total External Corrosion Score]],7,FALSE)="",0,100)</f>
        <v>100</v>
      </c>
      <c r="CW17" s="19">
        <f>IF(VLOOKUP(CW$2,Table2[[#All],[RC]:[Total External Corrosion Score]],7,FALSE)="",0,100)</f>
        <v>100</v>
      </c>
      <c r="CX17" s="19">
        <f>IF(VLOOKUP(CX$2,Table2[[#All],[RC]:[Total External Corrosion Score]],7,FALSE)="",0,100)</f>
        <v>100</v>
      </c>
      <c r="CY17" s="19">
        <f>IF(VLOOKUP(CY$2,Table2[[#All],[RC]:[Total External Corrosion Score]],7,FALSE)="",0,100)</f>
        <v>100</v>
      </c>
      <c r="CZ17" s="19">
        <f>IF(VLOOKUP(CZ$2,Table2[[#All],[RC]:[Total External Corrosion Score]],7,FALSE)="",0,100)</f>
        <v>100</v>
      </c>
      <c r="DA17" s="19">
        <f>IF(VLOOKUP(DA$2,Table2[[#All],[RC]:[Total External Corrosion Score]],7,FALSE)="",0,100)</f>
        <v>100</v>
      </c>
      <c r="DB17" s="19">
        <f>IF(VLOOKUP(DB$2,Table2[[#All],[RC]:[Total External Corrosion Score]],7,FALSE)="",0,100)</f>
        <v>100</v>
      </c>
      <c r="DC17" s="19">
        <f>IF(VLOOKUP(DC$2,Table2[[#All],[RC]:[Total External Corrosion Score]],7,FALSE)="",0,100)</f>
        <v>100</v>
      </c>
      <c r="DD17" s="19">
        <f>IF(VLOOKUP(DD$2,Table2[[#All],[RC]:[Total External Corrosion Score]],7,FALSE)="",0,100)</f>
        <v>100</v>
      </c>
      <c r="DE17" s="19">
        <f>IF(VLOOKUP(DE$2,Table2[[#All],[RC]:[Total External Corrosion Score]],7,FALSE)="",0,100)</f>
        <v>100</v>
      </c>
      <c r="DF17" s="19">
        <f>IF(VLOOKUP(DF$2,Table2[[#All],[RC]:[Total External Corrosion Score]],7,FALSE)="",0,100)</f>
        <v>100</v>
      </c>
      <c r="DG17" s="19" t="e">
        <f>IF(VLOOKUP(DG$2,Table2[[#All],[RC]:[Total External Corrosion Score]],7,FALSE)="",0,100)</f>
        <v>#N/A</v>
      </c>
      <c r="DH17" s="19" t="e">
        <f>IF(VLOOKUP(DH$2,Table2[[#All],[RC]:[Total External Corrosion Score]],7,FALSE)="",0,100)</f>
        <v>#N/A</v>
      </c>
      <c r="DI17" s="19" t="e">
        <f>IF(VLOOKUP(DI$2,Table2[[#All],[RC]:[Total External Corrosion Score]],7,FALSE)="",0,100)</f>
        <v>#N/A</v>
      </c>
      <c r="DJ17" s="19">
        <f>IF(VLOOKUP(DJ$2,Table2[[#All],[RC]:[Total External Corrosion Score]],7,FALSE)="",0,100)</f>
        <v>100</v>
      </c>
      <c r="DK17" s="19">
        <f>IF(VLOOKUP(DK$2,Table2[[#All],[RC]:[Total External Corrosion Score]],7,FALSE)="",0,100)</f>
        <v>100</v>
      </c>
      <c r="DL17" s="19">
        <f>IF(VLOOKUP(DL$2,Table2[[#All],[RC]:[Total External Corrosion Score]],7,FALSE)="",0,100)</f>
        <v>100</v>
      </c>
      <c r="DM17" s="19">
        <f>IF(VLOOKUP(DM$2,Table2[[#All],[RC]:[Total External Corrosion Score]],7,FALSE)="",0,100)</f>
        <v>100</v>
      </c>
      <c r="DN17" s="19">
        <f>IF(VLOOKUP(DN$2,Table2[[#All],[RC]:[Total External Corrosion Score]],7,FALSE)="",0,100)</f>
        <v>100</v>
      </c>
      <c r="DO17" s="19">
        <f>IF(VLOOKUP(DO$2,Table2[[#All],[RC]:[Total External Corrosion Score]],7,FALSE)="",0,100)</f>
        <v>100</v>
      </c>
      <c r="DP17" s="19" t="e">
        <f>IF(VLOOKUP(DP$2,Table2[[#All],[RC]:[Total External Corrosion Score]],7,FALSE)="",0,100)</f>
        <v>#N/A</v>
      </c>
      <c r="DQ17" s="19" t="e">
        <f>IF(VLOOKUP(DQ$2,Table2[[#All],[RC]:[Total External Corrosion Score]],7,FALSE)="",0,100)</f>
        <v>#N/A</v>
      </c>
      <c r="DR17" s="19" t="e">
        <f>IF(VLOOKUP(DR$2,Table2[[#All],[RC]:[Total External Corrosion Score]],7,FALSE)="",0,100)</f>
        <v>#N/A</v>
      </c>
      <c r="DS17" s="19" t="e">
        <f>IF(VLOOKUP(DS$2,Table2[[#All],[RC]:[Total External Corrosion Score]],7,FALSE)="",0,100)</f>
        <v>#N/A</v>
      </c>
      <c r="DT17" s="19">
        <f>IF(VLOOKUP(DT$2,Table2[[#All],[RC]:[Total External Corrosion Score]],7,FALSE)="",0,100)</f>
        <v>100</v>
      </c>
      <c r="DU17" s="19" t="e">
        <f>IF(VLOOKUP(DU$2,Table2[[#All],[RC]:[Total External Corrosion Score]],7,FALSE)="",0,100)</f>
        <v>#N/A</v>
      </c>
      <c r="DV17" s="19" t="e">
        <f>IF(VLOOKUP(DV$2,Table2[[#All],[RC]:[Total External Corrosion Score]],7,FALSE)="",0,100)</f>
        <v>#N/A</v>
      </c>
      <c r="DW17" s="19">
        <f>IF(VLOOKUP(DW$2,Table2[[#All],[RC]:[Total External Corrosion Score]],7,FALSE)="",0,100)</f>
        <v>100</v>
      </c>
      <c r="DX17" s="19">
        <f>IF(VLOOKUP(DX$2,Table2[[#All],[RC]:[Total External Corrosion Score]],7,FALSE)="",0,100)</f>
        <v>100</v>
      </c>
      <c r="DY17" s="19">
        <f>IF(VLOOKUP(DY$2,Table2[[#All],[RC]:[Total External Corrosion Score]],7,FALSE)="",0,100)</f>
        <v>100</v>
      </c>
      <c r="DZ17" s="19">
        <f>IF(VLOOKUP(DZ$2,Table2[[#All],[RC]:[Total External Corrosion Score]],7,FALSE)="",0,100)</f>
        <v>100</v>
      </c>
      <c r="EA17" s="19" t="e">
        <f>IF(VLOOKUP(EA$2,Table2[[#All],[RC]:[Total External Corrosion Score]],7,FALSE)="",0,100)</f>
        <v>#N/A</v>
      </c>
      <c r="EB17" s="19" t="e">
        <f>IF(VLOOKUP(EB$2,Table2[[#All],[RC]:[Total External Corrosion Score]],7,FALSE)="",0,100)</f>
        <v>#N/A</v>
      </c>
      <c r="EC17" s="19">
        <f>IF(VLOOKUP(EC$2,Table2[[#All],[RC]:[Total External Corrosion Score]],7,FALSE)="",0,100)</f>
        <v>100</v>
      </c>
      <c r="ED17" s="19">
        <f>IF(VLOOKUP(ED$2,Table2[[#All],[RC]:[Total External Corrosion Score]],7,FALSE)="",0,100)</f>
        <v>100</v>
      </c>
      <c r="EE17" s="19" t="e">
        <f>IF(VLOOKUP(EE$2,Table2[[#All],[RC]:[Total External Corrosion Score]],7,FALSE)="",0,100)</f>
        <v>#N/A</v>
      </c>
      <c r="EF17" s="19">
        <f>IF(VLOOKUP(EF$2,Table2[[#All],[RC]:[Total External Corrosion Score]],7,FALSE)="",0,100)</f>
        <v>100</v>
      </c>
      <c r="EG17" s="19">
        <f>IF(VLOOKUP(EG$2,Table2[[#All],[RC]:[Total External Corrosion Score]],7,FALSE)="",0,100)</f>
        <v>100</v>
      </c>
      <c r="EH17" s="19">
        <f>IF(VLOOKUP(EH$2,Table2[[#All],[RC]:[Total External Corrosion Score]],7,FALSE)="",0,100)</f>
        <v>100</v>
      </c>
      <c r="EI17" s="19">
        <f>IF(VLOOKUP(EI$2,Table2[[#All],[RC]:[Total External Corrosion Score]],7,FALSE)="",0,100)</f>
        <v>100</v>
      </c>
      <c r="EJ17" s="19">
        <f>IF(VLOOKUP(EJ$2,Table2[[#All],[RC]:[Total External Corrosion Score]],7,FALSE)="",0,100)</f>
        <v>100</v>
      </c>
      <c r="EK17" s="19" t="e">
        <f>IF(VLOOKUP(EK$2,Table2[[#All],[RC]:[Total External Corrosion Score]],7,FALSE)="",0,100)</f>
        <v>#N/A</v>
      </c>
      <c r="EL17" s="19" t="e">
        <f>IF(VLOOKUP(EL$2,Table2[[#All],[RC]:[Total External Corrosion Score]],7,FALSE)="",0,100)</f>
        <v>#N/A</v>
      </c>
      <c r="EM17" s="19" t="e">
        <f>IF(VLOOKUP(EM$2,Table2[[#All],[RC]:[Total External Corrosion Score]],7,FALSE)="",0,100)</f>
        <v>#N/A</v>
      </c>
      <c r="EN17" s="19" t="e">
        <f>IF(VLOOKUP(EN$2,Table2[[#All],[RC]:[Total External Corrosion Score]],7,FALSE)="",0,100)</f>
        <v>#N/A</v>
      </c>
      <c r="EO17" s="19" t="e">
        <f>IF(VLOOKUP(EO$2,Table2[[#All],[RC]:[Total External Corrosion Score]],7,FALSE)="",0,100)</f>
        <v>#N/A</v>
      </c>
      <c r="EP17" s="19" t="e">
        <f>IF(VLOOKUP(EP$2,Table2[[#All],[RC]:[Total External Corrosion Score]],7,FALSE)="",0,100)</f>
        <v>#N/A</v>
      </c>
      <c r="EQ17" s="19" t="e">
        <f>IF(VLOOKUP(EQ$2,Table2[[#All],[RC]:[Total External Corrosion Score]],7,FALSE)="",0,100)</f>
        <v>#N/A</v>
      </c>
      <c r="ER17" s="19" t="e">
        <f>IF(VLOOKUP(ER$2,Table2[[#All],[RC]:[Total External Corrosion Score]],7,FALSE)="",0,100)</f>
        <v>#N/A</v>
      </c>
      <c r="ES17" s="19">
        <f>IF(VLOOKUP(ES$2,Table2[[#All],[RC]:[Total External Corrosion Score]],7,FALSE)="",0,100)</f>
        <v>100</v>
      </c>
      <c r="ET17" s="19">
        <f>IF(VLOOKUP(ET$2,Table2[[#All],[RC]:[Total External Corrosion Score]],7,FALSE)="",0,100)</f>
        <v>100</v>
      </c>
      <c r="EU17" s="19">
        <f>IF(VLOOKUP(EU$2,Table2[[#All],[RC]:[Total External Corrosion Score]],7,FALSE)="",0,100)</f>
        <v>100</v>
      </c>
      <c r="EV17" s="19">
        <f>IF(VLOOKUP(EV$2,Table2[[#All],[RC]:[Total External Corrosion Score]],7,FALSE)="",0,100)</f>
        <v>100</v>
      </c>
      <c r="EW17" s="19">
        <f>IF(VLOOKUP(EW$2,Table2[[#All],[RC]:[Total External Corrosion Score]],7,FALSE)="",0,100)</f>
        <v>100</v>
      </c>
      <c r="EX17" s="19">
        <f>IF(VLOOKUP(EX$2,Table2[[#All],[RC]:[Total External Corrosion Score]],7,FALSE)="",0,100)</f>
        <v>100</v>
      </c>
      <c r="EY17" s="19" t="e">
        <f>IF(VLOOKUP(EY$2,Table2[[#All],[RC]:[Total External Corrosion Score]],7,FALSE)="",0,100)</f>
        <v>#N/A</v>
      </c>
      <c r="EZ17" s="19" t="e">
        <f>IF(VLOOKUP(EZ$2,Table2[[#All],[RC]:[Total External Corrosion Score]],7,FALSE)="",0,100)</f>
        <v>#N/A</v>
      </c>
      <c r="FA17" s="19" t="e">
        <f>IF(VLOOKUP(FA$2,Table2[[#All],[RC]:[Total External Corrosion Score]],7,FALSE)="",0,100)</f>
        <v>#N/A</v>
      </c>
      <c r="FB17" s="19">
        <f>IF(VLOOKUP(FB$2,Table2[[#All],[RC]:[Total External Corrosion Score]],7,FALSE)="",0,100)</f>
        <v>100</v>
      </c>
      <c r="FC17" s="19" t="e">
        <f>IF(VLOOKUP(FC$2,Table2[[#All],[RC]:[Total External Corrosion Score]],7,FALSE)="",0,100)</f>
        <v>#N/A</v>
      </c>
      <c r="FD17" s="19">
        <f>IF(VLOOKUP(FD$2,Table2[[#All],[RC]:[Total External Corrosion Score]],7,FALSE)="",0,100)</f>
        <v>100</v>
      </c>
      <c r="FE17" s="19">
        <f>IF(VLOOKUP(FE$2,Table2[[#All],[RC]:[Total External Corrosion Score]],7,FALSE)="",0,100)</f>
        <v>100</v>
      </c>
      <c r="FF17" s="19">
        <f>IF(VLOOKUP(FF$2,Table2[[#All],[RC]:[Total External Corrosion Score]],7,FALSE)="",0,100)</f>
        <v>100</v>
      </c>
      <c r="FG17" s="19">
        <f>IF(VLOOKUP(FG$2,Table2[[#All],[RC]:[Total External Corrosion Score]],7,FALSE)="",0,100)</f>
        <v>100</v>
      </c>
      <c r="FH17" s="19" t="e">
        <f>IF(VLOOKUP(FH$2,Table2[[#All],[RC]:[Total External Corrosion Score]],7,FALSE)="",0,100)</f>
        <v>#N/A</v>
      </c>
      <c r="FI17" s="19" t="e">
        <f>IF(VLOOKUP(FI$2,Table2[[#All],[RC]:[Total External Corrosion Score]],7,FALSE)="",0,100)</f>
        <v>#N/A</v>
      </c>
      <c r="FJ17" s="19">
        <f>IF(VLOOKUP(FJ$2,Table2[[#All],[RC]:[Total External Corrosion Score]],7,FALSE)="",0,100)</f>
        <v>100</v>
      </c>
      <c r="FK17" s="19">
        <f>IF(VLOOKUP(FK$2,Table2[[#All],[RC]:[Total External Corrosion Score]],7,FALSE)="",0,100)</f>
        <v>100</v>
      </c>
      <c r="FL17" s="19" t="e">
        <f>IF(VLOOKUP(FL$2,Table2[[#All],[RC]:[Total External Corrosion Score]],7,FALSE)="",0,100)</f>
        <v>#N/A</v>
      </c>
      <c r="FM17" s="19" t="e">
        <f>IF(VLOOKUP(FM$2,Table2[[#All],[RC]:[Total External Corrosion Score]],7,FALSE)="",0,100)</f>
        <v>#N/A</v>
      </c>
      <c r="FN17" s="19" t="e">
        <f>IF(VLOOKUP(FN$2,Table2[[#All],[RC]:[Total External Corrosion Score]],7,FALSE)="",0,100)</f>
        <v>#N/A</v>
      </c>
      <c r="FO17" s="19">
        <f>IF(VLOOKUP(FO$2,Table2[[#All],[RC]:[Total External Corrosion Score]],7,FALSE)="",0,100)</f>
        <v>100</v>
      </c>
      <c r="FP17" s="19">
        <f>IF(VLOOKUP(FP$2,Table2[[#All],[RC]:[Total External Corrosion Score]],7,FALSE)="",0,100)</f>
        <v>100</v>
      </c>
      <c r="FQ17" s="19">
        <f>IF(VLOOKUP(FQ$2,Table2[[#All],[RC]:[Total External Corrosion Score]],7,FALSE)="",0,100)</f>
        <v>100</v>
      </c>
      <c r="FR17" s="19">
        <f>IF(VLOOKUP(FR$2,Table2[[#All],[RC]:[Total External Corrosion Score]],7,FALSE)="",0,100)</f>
        <v>100</v>
      </c>
      <c r="FS17" s="19" t="e">
        <f>IF(VLOOKUP(FS$2,Table2[[#All],[RC]:[Total External Corrosion Score]],7,FALSE)="",0,100)</f>
        <v>#N/A</v>
      </c>
      <c r="FT17" s="19" t="e">
        <f>IF(VLOOKUP(FT$2,Table2[[#All],[RC]:[Total External Corrosion Score]],7,FALSE)="",0,100)</f>
        <v>#N/A</v>
      </c>
      <c r="FU17" s="19" t="e">
        <f>IF(VLOOKUP(FU$2,Table2[[#All],[RC]:[Total External Corrosion Score]],7,FALSE)="",0,100)</f>
        <v>#N/A</v>
      </c>
      <c r="FV17" s="19" t="e">
        <f>IF(VLOOKUP(FV$2,Table2[[#All],[RC]:[Total External Corrosion Score]],7,FALSE)="",0,100)</f>
        <v>#N/A</v>
      </c>
    </row>
    <row r="18" spans="1:178">
      <c r="A18" s="61" t="s">
        <v>112</v>
      </c>
      <c r="B18" s="19" t="e">
        <f>IF(VLOOKUP(B$2,Table2[[#All],[RC]:[Total External Corrosion Score]],8,FALSE)="",0,100)</f>
        <v>#N/A</v>
      </c>
      <c r="C18" s="19" t="e">
        <f>IF(VLOOKUP(C$2,Table2[[#All],[RC]:[Total External Corrosion Score]],8,FALSE)="",0,100)</f>
        <v>#N/A</v>
      </c>
      <c r="D18" s="19">
        <f>IF(VLOOKUP(D$2,Table2[[#All],[RC]:[Total External Corrosion Score]],8,FALSE)="",0,100)</f>
        <v>100</v>
      </c>
      <c r="E18" s="19">
        <f>IF(VLOOKUP(E$2,Table2[[#All],[RC]:[Total External Corrosion Score]],8,FALSE)="",0,100)</f>
        <v>100</v>
      </c>
      <c r="F18" s="19">
        <f>IF(VLOOKUP(F$2,Table2[[#All],[RC]:[Total External Corrosion Score]],8,FALSE)="",0,100)</f>
        <v>100</v>
      </c>
      <c r="G18" s="19">
        <f>IF(VLOOKUP(G$2,Table2[[#All],[RC]:[Total External Corrosion Score]],8,FALSE)="",0,100)</f>
        <v>100</v>
      </c>
      <c r="H18" s="19">
        <f>IF(VLOOKUP(H$2,Table2[[#All],[RC]:[Total External Corrosion Score]],8,FALSE)="",0,100)</f>
        <v>100</v>
      </c>
      <c r="I18" s="19">
        <f>IF(VLOOKUP(I$2,Table2[[#All],[RC]:[Total External Corrosion Score]],8,FALSE)="",0,100)</f>
        <v>100</v>
      </c>
      <c r="J18" s="19">
        <f>IF(VLOOKUP(J$2,Table2[[#All],[RC]:[Total External Corrosion Score]],8,FALSE)="",0,100)</f>
        <v>100</v>
      </c>
      <c r="K18" s="19">
        <f>IF(VLOOKUP(K$2,Table2[[#All],[RC]:[Total External Corrosion Score]],8,FALSE)="",0,100)</f>
        <v>100</v>
      </c>
      <c r="L18" s="19">
        <f>IF(VLOOKUP(L$2,Table2[[#All],[RC]:[Total External Corrosion Score]],8,FALSE)="",0,100)</f>
        <v>100</v>
      </c>
      <c r="M18" s="19" t="e">
        <f>IF(VLOOKUP(M$2,Table2[[#All],[RC]:[Total External Corrosion Score]],8,FALSE)="",0,100)</f>
        <v>#N/A</v>
      </c>
      <c r="N18" s="19">
        <f>IF(VLOOKUP(N$2,Table2[[#All],[RC]:[Total External Corrosion Score]],8,FALSE)="",0,100)</f>
        <v>100</v>
      </c>
      <c r="O18" s="19">
        <f>IF(VLOOKUP(O$2,Table2[[#All],[RC]:[Total External Corrosion Score]],8,FALSE)="",0,100)</f>
        <v>100</v>
      </c>
      <c r="P18" s="19">
        <f>IF(VLOOKUP(P$2,Table2[[#All],[RC]:[Total External Corrosion Score]],8,FALSE)="",0,100)</f>
        <v>100</v>
      </c>
      <c r="Q18" s="19">
        <f>IF(VLOOKUP(Q$2,Table2[[#All],[RC]:[Total External Corrosion Score]],8,FALSE)="",0,100)</f>
        <v>100</v>
      </c>
      <c r="R18" s="19">
        <f>IF(VLOOKUP(R$2,Table2[[#All],[RC]:[Total External Corrosion Score]],8,FALSE)="",0,100)</f>
        <v>100</v>
      </c>
      <c r="S18" s="19">
        <f>IF(VLOOKUP(S$2,Table2[[#All],[RC]:[Total External Corrosion Score]],8,FALSE)="",0,100)</f>
        <v>100</v>
      </c>
      <c r="T18" s="19">
        <f>IF(VLOOKUP(T$2,Table2[[#All],[RC]:[Total External Corrosion Score]],8,FALSE)="",0,100)</f>
        <v>100</v>
      </c>
      <c r="U18" s="19">
        <f>IF(VLOOKUP(U$2,Table2[[#All],[RC]:[Total External Corrosion Score]],8,FALSE)="",0,100)</f>
        <v>100</v>
      </c>
      <c r="V18" s="19">
        <f>IF(VLOOKUP(V$2,Table2[[#All],[RC]:[Total External Corrosion Score]],8,FALSE)="",0,100)</f>
        <v>100</v>
      </c>
      <c r="W18" s="19">
        <f>IF(VLOOKUP(W$2,Table2[[#All],[RC]:[Total External Corrosion Score]],8,FALSE)="",0,100)</f>
        <v>100</v>
      </c>
      <c r="X18" s="19">
        <f>IF(VLOOKUP(X$2,Table2[[#All],[RC]:[Total External Corrosion Score]],8,FALSE)="",0,100)</f>
        <v>100</v>
      </c>
      <c r="Y18" s="19" t="e">
        <f>IF(VLOOKUP(Y$2,Table2[[#All],[RC]:[Total External Corrosion Score]],8,FALSE)="",0,100)</f>
        <v>#N/A</v>
      </c>
      <c r="Z18" s="19" t="e">
        <f>IF(VLOOKUP(Z$2,Table2[[#All],[RC]:[Total External Corrosion Score]],8,FALSE)="",0,100)</f>
        <v>#N/A</v>
      </c>
      <c r="AA18" s="19">
        <f>IF(VLOOKUP(AA$2,Table2[[#All],[RC]:[Total External Corrosion Score]],8,FALSE)="",0,100)</f>
        <v>100</v>
      </c>
      <c r="AB18" s="19">
        <f>IF(VLOOKUP(AB$2,Table2[[#All],[RC]:[Total External Corrosion Score]],8,FALSE)="",0,100)</f>
        <v>100</v>
      </c>
      <c r="AC18" s="19">
        <f>IF(VLOOKUP(AC$2,Table2[[#All],[RC]:[Total External Corrosion Score]],8,FALSE)="",0,100)</f>
        <v>100</v>
      </c>
      <c r="AD18" s="19">
        <f>IF(VLOOKUP(AD$2,Table2[[#All],[RC]:[Total External Corrosion Score]],8,FALSE)="",0,100)</f>
        <v>100</v>
      </c>
      <c r="AE18" s="19" t="e">
        <f>IF(VLOOKUP(AE$2,Table2[[#All],[RC]:[Total External Corrosion Score]],8,FALSE)="",0,100)</f>
        <v>#N/A</v>
      </c>
      <c r="AF18" s="19">
        <f>IF(VLOOKUP(AF$2,Table2[[#All],[RC]:[Total External Corrosion Score]],8,FALSE)="",0,100)</f>
        <v>100</v>
      </c>
      <c r="AG18" s="19">
        <f>IF(VLOOKUP(AG$2,Table2[[#All],[RC]:[Total External Corrosion Score]],8,FALSE)="",0,100)</f>
        <v>100</v>
      </c>
      <c r="AH18" s="19">
        <f>IF(VLOOKUP(AH$2,Table2[[#All],[RC]:[Total External Corrosion Score]],8,FALSE)="",0,100)</f>
        <v>100</v>
      </c>
      <c r="AI18" s="19">
        <f>IF(VLOOKUP(AI$2,Table2[[#All],[RC]:[Total External Corrosion Score]],8,FALSE)="",0,100)</f>
        <v>100</v>
      </c>
      <c r="AJ18" s="19">
        <f>IF(VLOOKUP(AJ$2,Table2[[#All],[RC]:[Total External Corrosion Score]],8,FALSE)="",0,100)</f>
        <v>100</v>
      </c>
      <c r="AK18" s="19">
        <f>IF(VLOOKUP(AK$2,Table2[[#All],[RC]:[Total External Corrosion Score]],8,FALSE)="",0,100)</f>
        <v>100</v>
      </c>
      <c r="AL18" s="19" t="e">
        <f>IF(VLOOKUP(AL$2,Table2[[#All],[RC]:[Total External Corrosion Score]],8,FALSE)="",0,100)</f>
        <v>#N/A</v>
      </c>
      <c r="AM18" s="19" t="e">
        <f>IF(VLOOKUP(AM$2,Table2[[#All],[RC]:[Total External Corrosion Score]],8,FALSE)="",0,100)</f>
        <v>#N/A</v>
      </c>
      <c r="AN18" s="19" t="e">
        <f>IF(VLOOKUP(AN$2,Table2[[#All],[RC]:[Total External Corrosion Score]],8,FALSE)="",0,100)</f>
        <v>#N/A</v>
      </c>
      <c r="AO18" s="19">
        <f>IF(VLOOKUP(AO$2,Table2[[#All],[RC]:[Total External Corrosion Score]],8,FALSE)="",0,100)</f>
        <v>100</v>
      </c>
      <c r="AP18" s="19">
        <f>IF(VLOOKUP(AP$2,Table2[[#All],[RC]:[Total External Corrosion Score]],8,FALSE)="",0,100)</f>
        <v>100</v>
      </c>
      <c r="AQ18" s="19" t="e">
        <f>IF(VLOOKUP(AQ$2,Table2[[#All],[RC]:[Total External Corrosion Score]],8,FALSE)="",0,100)</f>
        <v>#N/A</v>
      </c>
      <c r="AR18" s="19" t="e">
        <f>IF(VLOOKUP(AR$2,Table2[[#All],[RC]:[Total External Corrosion Score]],8,FALSE)="",0,100)</f>
        <v>#N/A</v>
      </c>
      <c r="AS18" s="19" t="e">
        <f>IF(VLOOKUP(AS$2,Table2[[#All],[RC]:[Total External Corrosion Score]],8,FALSE)="",0,100)</f>
        <v>#N/A</v>
      </c>
      <c r="AT18" s="19">
        <f>IF(VLOOKUP(AT$2,Table2[[#All],[RC]:[Total External Corrosion Score]],8,FALSE)="",0,100)</f>
        <v>100</v>
      </c>
      <c r="AU18" s="19">
        <f>IF(VLOOKUP(AU$2,Table2[[#All],[RC]:[Total External Corrosion Score]],8,FALSE)="",0,100)</f>
        <v>100</v>
      </c>
      <c r="AV18" s="19">
        <f>IF(VLOOKUP(AV$2,Table2[[#All],[RC]:[Total External Corrosion Score]],8,FALSE)="",0,100)</f>
        <v>100</v>
      </c>
      <c r="AW18" s="19" t="e">
        <f>IF(VLOOKUP(AW$2,Table2[[#All],[RC]:[Total External Corrosion Score]],8,FALSE)="",0,100)</f>
        <v>#N/A</v>
      </c>
      <c r="AX18" s="19">
        <f>IF(VLOOKUP(AX$2,Table2[[#All],[RC]:[Total External Corrosion Score]],8,FALSE)="",0,100)</f>
        <v>100</v>
      </c>
      <c r="AY18" s="19">
        <f>IF(VLOOKUP(AY$2,Table2[[#All],[RC]:[Total External Corrosion Score]],8,FALSE)="",0,100)</f>
        <v>100</v>
      </c>
      <c r="AZ18" s="19">
        <f>IF(VLOOKUP(AZ$2,Table2[[#All],[RC]:[Total External Corrosion Score]],8,FALSE)="",0,100)</f>
        <v>100</v>
      </c>
      <c r="BA18" s="19" t="e">
        <f>IF(VLOOKUP(BA$2,Table2[[#All],[RC]:[Total External Corrosion Score]],8,FALSE)="",0,100)</f>
        <v>#N/A</v>
      </c>
      <c r="BB18" s="19">
        <f>IF(VLOOKUP(BB$2,Table2[[#All],[RC]:[Total External Corrosion Score]],8,FALSE)="",0,100)</f>
        <v>100</v>
      </c>
      <c r="BC18" s="19">
        <f>IF(VLOOKUP(BC$2,Table2[[#All],[RC]:[Total External Corrosion Score]],8,FALSE)="",0,100)</f>
        <v>100</v>
      </c>
      <c r="BD18" s="19" t="e">
        <f>IF(VLOOKUP(BD$2,Table2[[#All],[RC]:[Total External Corrosion Score]],8,FALSE)="",0,100)</f>
        <v>#N/A</v>
      </c>
      <c r="BE18" s="19">
        <f>IF(VLOOKUP(BE$2,Table2[[#All],[RC]:[Total External Corrosion Score]],8,FALSE)="",0,100)</f>
        <v>100</v>
      </c>
      <c r="BF18" s="19">
        <f>IF(VLOOKUP(BF$2,Table2[[#All],[RC]:[Total External Corrosion Score]],8,FALSE)="",0,100)</f>
        <v>100</v>
      </c>
      <c r="BG18" s="19">
        <f>IF(VLOOKUP(BG$2,Table2[[#All],[RC]:[Total External Corrosion Score]],8,FALSE)="",0,100)</f>
        <v>100</v>
      </c>
      <c r="BH18" s="19" t="e">
        <f>IF(VLOOKUP(BH$2,Table2[[#All],[RC]:[Total External Corrosion Score]],8,FALSE)="",0,100)</f>
        <v>#N/A</v>
      </c>
      <c r="BI18" s="19" t="e">
        <f>IF(VLOOKUP(BI$2,Table2[[#All],[RC]:[Total External Corrosion Score]],8,FALSE)="",0,100)</f>
        <v>#N/A</v>
      </c>
      <c r="BJ18" s="19" t="e">
        <f>IF(VLOOKUP(BJ$2,Table2[[#All],[RC]:[Total External Corrosion Score]],8,FALSE)="",0,100)</f>
        <v>#N/A</v>
      </c>
      <c r="BK18" s="19">
        <f>IF(VLOOKUP(BK$2,Table2[[#All],[RC]:[Total External Corrosion Score]],8,FALSE)="",0,100)</f>
        <v>100</v>
      </c>
      <c r="BL18" s="19">
        <f>IF(VLOOKUP(BL$2,Table2[[#All],[RC]:[Total External Corrosion Score]],8,FALSE)="",0,100)</f>
        <v>100</v>
      </c>
      <c r="BM18" s="19" t="e">
        <f>IF(VLOOKUP(BM$2,Table2[[#All],[RC]:[Total External Corrosion Score]],8,FALSE)="",0,100)</f>
        <v>#N/A</v>
      </c>
      <c r="BN18" s="19">
        <f>IF(VLOOKUP(BN$2,Table2[[#All],[RC]:[Total External Corrosion Score]],8,FALSE)="",0,100)</f>
        <v>100</v>
      </c>
      <c r="BO18" s="19">
        <f>IF(VLOOKUP(BO$2,Table2[[#All],[RC]:[Total External Corrosion Score]],8,FALSE)="",0,100)</f>
        <v>100</v>
      </c>
      <c r="BP18" s="19">
        <f>IF(VLOOKUP(BP$2,Table2[[#All],[RC]:[Total External Corrosion Score]],8,FALSE)="",0,100)</f>
        <v>100</v>
      </c>
      <c r="BQ18" s="19">
        <f>IF(VLOOKUP(BQ$2,Table2[[#All],[RC]:[Total External Corrosion Score]],8,FALSE)="",0,100)</f>
        <v>100</v>
      </c>
      <c r="BR18" s="19">
        <f>IF(VLOOKUP(BR$2,Table2[[#All],[RC]:[Total External Corrosion Score]],8,FALSE)="",0,100)</f>
        <v>100</v>
      </c>
      <c r="BS18" s="19">
        <f>IF(VLOOKUP(BS$2,Table2[[#All],[RC]:[Total External Corrosion Score]],8,FALSE)="",0,100)</f>
        <v>100</v>
      </c>
      <c r="BT18" s="19" t="e">
        <f>IF(VLOOKUP(BT$2,Table2[[#All],[RC]:[Total External Corrosion Score]],8,FALSE)="",0,100)</f>
        <v>#N/A</v>
      </c>
      <c r="BU18" s="19">
        <f>IF(VLOOKUP(BU$2,Table2[[#All],[RC]:[Total External Corrosion Score]],8,FALSE)="",0,100)</f>
        <v>100</v>
      </c>
      <c r="BV18" s="19" t="e">
        <f>IF(VLOOKUP(BV$2,Table2[[#All],[RC]:[Total External Corrosion Score]],8,FALSE)="",0,100)</f>
        <v>#N/A</v>
      </c>
      <c r="BW18" s="19">
        <f>IF(VLOOKUP(BW$2,Table2[[#All],[RC]:[Total External Corrosion Score]],8,FALSE)="",0,100)</f>
        <v>100</v>
      </c>
      <c r="BX18" s="19">
        <f>IF(VLOOKUP(BX$2,Table2[[#All],[RC]:[Total External Corrosion Score]],8,FALSE)="",0,100)</f>
        <v>100</v>
      </c>
      <c r="BY18" s="19">
        <f>IF(VLOOKUP(BY$2,Table2[[#All],[RC]:[Total External Corrosion Score]],8,FALSE)="",0,100)</f>
        <v>100</v>
      </c>
      <c r="BZ18" s="19">
        <f>IF(VLOOKUP(BZ$2,Table2[[#All],[RC]:[Total External Corrosion Score]],8,FALSE)="",0,100)</f>
        <v>100</v>
      </c>
      <c r="CA18" s="19">
        <f>IF(VLOOKUP(CA$2,Table2[[#All],[RC]:[Total External Corrosion Score]],8,FALSE)="",0,100)</f>
        <v>100</v>
      </c>
      <c r="CB18" s="19" t="e">
        <f>IF(VLOOKUP(CB$2,Table2[[#All],[RC]:[Total External Corrosion Score]],8,FALSE)="",0,100)</f>
        <v>#N/A</v>
      </c>
      <c r="CC18" s="19" t="e">
        <f>IF(VLOOKUP(CC$2,Table2[[#All],[RC]:[Total External Corrosion Score]],8,FALSE)="",0,100)</f>
        <v>#N/A</v>
      </c>
      <c r="CD18" s="19">
        <f>IF(VLOOKUP(CD$2,Table2[[#All],[RC]:[Total External Corrosion Score]],8,FALSE)="",0,100)</f>
        <v>100</v>
      </c>
      <c r="CE18" s="19">
        <f>IF(VLOOKUP(CE$2,Table2[[#All],[RC]:[Total External Corrosion Score]],8,FALSE)="",0,100)</f>
        <v>100</v>
      </c>
      <c r="CF18" s="19">
        <f>IF(VLOOKUP(CF$2,Table2[[#All],[RC]:[Total External Corrosion Score]],8,FALSE)="",0,100)</f>
        <v>100</v>
      </c>
      <c r="CG18" s="19">
        <f>IF(VLOOKUP(CG$2,Table2[[#All],[RC]:[Total External Corrosion Score]],8,FALSE)="",0,100)</f>
        <v>100</v>
      </c>
      <c r="CH18" s="19">
        <f>IF(VLOOKUP(CH$2,Table2[[#All],[RC]:[Total External Corrosion Score]],8,FALSE)="",0,100)</f>
        <v>100</v>
      </c>
      <c r="CI18" s="19">
        <f>IF(VLOOKUP(CI$2,Table2[[#All],[RC]:[Total External Corrosion Score]],8,FALSE)="",0,100)</f>
        <v>100</v>
      </c>
      <c r="CJ18" s="19">
        <f>IF(VLOOKUP(CJ$2,Table2[[#All],[RC]:[Total External Corrosion Score]],8,FALSE)="",0,100)</f>
        <v>100</v>
      </c>
      <c r="CK18" s="19">
        <f>IF(VLOOKUP(CK$2,Table2[[#All],[RC]:[Total External Corrosion Score]],8,FALSE)="",0,100)</f>
        <v>100</v>
      </c>
      <c r="CL18" s="19">
        <f>IF(VLOOKUP(CL$2,Table2[[#All],[RC]:[Total External Corrosion Score]],8,FALSE)="",0,100)</f>
        <v>100</v>
      </c>
      <c r="CM18" s="19">
        <f>IF(VLOOKUP(CM$2,Table2[[#All],[RC]:[Total External Corrosion Score]],8,FALSE)="",0,100)</f>
        <v>100</v>
      </c>
      <c r="CN18" s="19">
        <f>IF(VLOOKUP(CN$2,Table2[[#All],[RC]:[Total External Corrosion Score]],8,FALSE)="",0,100)</f>
        <v>100</v>
      </c>
      <c r="CO18" s="19">
        <f>IF(VLOOKUP(CO$2,Table2[[#All],[RC]:[Total External Corrosion Score]],8,FALSE)="",0,100)</f>
        <v>100</v>
      </c>
      <c r="CP18" s="19">
        <f>IF(VLOOKUP(CP$2,Table2[[#All],[RC]:[Total External Corrosion Score]],8,FALSE)="",0,100)</f>
        <v>100</v>
      </c>
      <c r="CQ18" s="19">
        <f>IF(VLOOKUP(CQ$2,Table2[[#All],[RC]:[Total External Corrosion Score]],8,FALSE)="",0,100)</f>
        <v>100</v>
      </c>
      <c r="CR18" s="19">
        <f>IF(VLOOKUP(CR$2,Table2[[#All],[RC]:[Total External Corrosion Score]],8,FALSE)="",0,100)</f>
        <v>100</v>
      </c>
      <c r="CS18" s="19">
        <f>IF(VLOOKUP(CS$2,Table2[[#All],[RC]:[Total External Corrosion Score]],8,FALSE)="",0,100)</f>
        <v>100</v>
      </c>
      <c r="CT18" s="19">
        <f>IF(VLOOKUP(CT$2,Table2[[#All],[RC]:[Total External Corrosion Score]],8,FALSE)="",0,100)</f>
        <v>100</v>
      </c>
      <c r="CU18" s="19">
        <f>IF(VLOOKUP(CU$2,Table2[[#All],[RC]:[Total External Corrosion Score]],8,FALSE)="",0,100)</f>
        <v>100</v>
      </c>
      <c r="CV18" s="19">
        <f>IF(VLOOKUP(CV$2,Table2[[#All],[RC]:[Total External Corrosion Score]],8,FALSE)="",0,100)</f>
        <v>100</v>
      </c>
      <c r="CW18" s="19">
        <f>IF(VLOOKUP(CW$2,Table2[[#All],[RC]:[Total External Corrosion Score]],8,FALSE)="",0,100)</f>
        <v>100</v>
      </c>
      <c r="CX18" s="19">
        <f>IF(VLOOKUP(CX$2,Table2[[#All],[RC]:[Total External Corrosion Score]],8,FALSE)="",0,100)</f>
        <v>100</v>
      </c>
      <c r="CY18" s="19">
        <f>IF(VLOOKUP(CY$2,Table2[[#All],[RC]:[Total External Corrosion Score]],8,FALSE)="",0,100)</f>
        <v>100</v>
      </c>
      <c r="CZ18" s="19">
        <f>IF(VLOOKUP(CZ$2,Table2[[#All],[RC]:[Total External Corrosion Score]],8,FALSE)="",0,100)</f>
        <v>100</v>
      </c>
      <c r="DA18" s="19">
        <f>IF(VLOOKUP(DA$2,Table2[[#All],[RC]:[Total External Corrosion Score]],8,FALSE)="",0,100)</f>
        <v>100</v>
      </c>
      <c r="DB18" s="19">
        <f>IF(VLOOKUP(DB$2,Table2[[#All],[RC]:[Total External Corrosion Score]],8,FALSE)="",0,100)</f>
        <v>100</v>
      </c>
      <c r="DC18" s="19">
        <f>IF(VLOOKUP(DC$2,Table2[[#All],[RC]:[Total External Corrosion Score]],8,FALSE)="",0,100)</f>
        <v>100</v>
      </c>
      <c r="DD18" s="19">
        <f>IF(VLOOKUP(DD$2,Table2[[#All],[RC]:[Total External Corrosion Score]],8,FALSE)="",0,100)</f>
        <v>100</v>
      </c>
      <c r="DE18" s="19">
        <f>IF(VLOOKUP(DE$2,Table2[[#All],[RC]:[Total External Corrosion Score]],8,FALSE)="",0,100)</f>
        <v>100</v>
      </c>
      <c r="DF18" s="19">
        <f>IF(VLOOKUP(DF$2,Table2[[#All],[RC]:[Total External Corrosion Score]],8,FALSE)="",0,100)</f>
        <v>100</v>
      </c>
      <c r="DG18" s="19" t="e">
        <f>IF(VLOOKUP(DG$2,Table2[[#All],[RC]:[Total External Corrosion Score]],8,FALSE)="",0,100)</f>
        <v>#N/A</v>
      </c>
      <c r="DH18" s="19" t="e">
        <f>IF(VLOOKUP(DH$2,Table2[[#All],[RC]:[Total External Corrosion Score]],8,FALSE)="",0,100)</f>
        <v>#N/A</v>
      </c>
      <c r="DI18" s="19" t="e">
        <f>IF(VLOOKUP(DI$2,Table2[[#All],[RC]:[Total External Corrosion Score]],8,FALSE)="",0,100)</f>
        <v>#N/A</v>
      </c>
      <c r="DJ18" s="19">
        <f>IF(VLOOKUP(DJ$2,Table2[[#All],[RC]:[Total External Corrosion Score]],8,FALSE)="",0,100)</f>
        <v>100</v>
      </c>
      <c r="DK18" s="19">
        <f>IF(VLOOKUP(DK$2,Table2[[#All],[RC]:[Total External Corrosion Score]],8,FALSE)="",0,100)</f>
        <v>100</v>
      </c>
      <c r="DL18" s="19">
        <f>IF(VLOOKUP(DL$2,Table2[[#All],[RC]:[Total External Corrosion Score]],8,FALSE)="",0,100)</f>
        <v>100</v>
      </c>
      <c r="DM18" s="19">
        <f>IF(VLOOKUP(DM$2,Table2[[#All],[RC]:[Total External Corrosion Score]],8,FALSE)="",0,100)</f>
        <v>100</v>
      </c>
      <c r="DN18" s="19">
        <f>IF(VLOOKUP(DN$2,Table2[[#All],[RC]:[Total External Corrosion Score]],8,FALSE)="",0,100)</f>
        <v>100</v>
      </c>
      <c r="DO18" s="19">
        <f>IF(VLOOKUP(DO$2,Table2[[#All],[RC]:[Total External Corrosion Score]],8,FALSE)="",0,100)</f>
        <v>100</v>
      </c>
      <c r="DP18" s="19" t="e">
        <f>IF(VLOOKUP(DP$2,Table2[[#All],[RC]:[Total External Corrosion Score]],8,FALSE)="",0,100)</f>
        <v>#N/A</v>
      </c>
      <c r="DQ18" s="19" t="e">
        <f>IF(VLOOKUP(DQ$2,Table2[[#All],[RC]:[Total External Corrosion Score]],8,FALSE)="",0,100)</f>
        <v>#N/A</v>
      </c>
      <c r="DR18" s="19" t="e">
        <f>IF(VLOOKUP(DR$2,Table2[[#All],[RC]:[Total External Corrosion Score]],8,FALSE)="",0,100)</f>
        <v>#N/A</v>
      </c>
      <c r="DS18" s="19" t="e">
        <f>IF(VLOOKUP(DS$2,Table2[[#All],[RC]:[Total External Corrosion Score]],8,FALSE)="",0,100)</f>
        <v>#N/A</v>
      </c>
      <c r="DT18" s="19">
        <f>IF(VLOOKUP(DT$2,Table2[[#All],[RC]:[Total External Corrosion Score]],8,FALSE)="",0,100)</f>
        <v>100</v>
      </c>
      <c r="DU18" s="19" t="e">
        <f>IF(VLOOKUP(DU$2,Table2[[#All],[RC]:[Total External Corrosion Score]],8,FALSE)="",0,100)</f>
        <v>#N/A</v>
      </c>
      <c r="DV18" s="19" t="e">
        <f>IF(VLOOKUP(DV$2,Table2[[#All],[RC]:[Total External Corrosion Score]],8,FALSE)="",0,100)</f>
        <v>#N/A</v>
      </c>
      <c r="DW18" s="19">
        <f>IF(VLOOKUP(DW$2,Table2[[#All],[RC]:[Total External Corrosion Score]],8,FALSE)="",0,100)</f>
        <v>100</v>
      </c>
      <c r="DX18" s="19">
        <f>IF(VLOOKUP(DX$2,Table2[[#All],[RC]:[Total External Corrosion Score]],8,FALSE)="",0,100)</f>
        <v>100</v>
      </c>
      <c r="DY18" s="19">
        <f>IF(VLOOKUP(DY$2,Table2[[#All],[RC]:[Total External Corrosion Score]],8,FALSE)="",0,100)</f>
        <v>100</v>
      </c>
      <c r="DZ18" s="19">
        <f>IF(VLOOKUP(DZ$2,Table2[[#All],[RC]:[Total External Corrosion Score]],8,FALSE)="",0,100)</f>
        <v>100</v>
      </c>
      <c r="EA18" s="19" t="e">
        <f>IF(VLOOKUP(EA$2,Table2[[#All],[RC]:[Total External Corrosion Score]],8,FALSE)="",0,100)</f>
        <v>#N/A</v>
      </c>
      <c r="EB18" s="19" t="e">
        <f>IF(VLOOKUP(EB$2,Table2[[#All],[RC]:[Total External Corrosion Score]],8,FALSE)="",0,100)</f>
        <v>#N/A</v>
      </c>
      <c r="EC18" s="19">
        <f>IF(VLOOKUP(EC$2,Table2[[#All],[RC]:[Total External Corrosion Score]],8,FALSE)="",0,100)</f>
        <v>100</v>
      </c>
      <c r="ED18" s="19">
        <f>IF(VLOOKUP(ED$2,Table2[[#All],[RC]:[Total External Corrosion Score]],8,FALSE)="",0,100)</f>
        <v>100</v>
      </c>
      <c r="EE18" s="19" t="e">
        <f>IF(VLOOKUP(EE$2,Table2[[#All],[RC]:[Total External Corrosion Score]],8,FALSE)="",0,100)</f>
        <v>#N/A</v>
      </c>
      <c r="EF18" s="19">
        <f>IF(VLOOKUP(EF$2,Table2[[#All],[RC]:[Total External Corrosion Score]],8,FALSE)="",0,100)</f>
        <v>100</v>
      </c>
      <c r="EG18" s="19">
        <f>IF(VLOOKUP(EG$2,Table2[[#All],[RC]:[Total External Corrosion Score]],8,FALSE)="",0,100)</f>
        <v>100</v>
      </c>
      <c r="EH18" s="19">
        <f>IF(VLOOKUP(EH$2,Table2[[#All],[RC]:[Total External Corrosion Score]],8,FALSE)="",0,100)</f>
        <v>100</v>
      </c>
      <c r="EI18" s="19">
        <f>IF(VLOOKUP(EI$2,Table2[[#All],[RC]:[Total External Corrosion Score]],8,FALSE)="",0,100)</f>
        <v>100</v>
      </c>
      <c r="EJ18" s="19">
        <f>IF(VLOOKUP(EJ$2,Table2[[#All],[RC]:[Total External Corrosion Score]],8,FALSE)="",0,100)</f>
        <v>100</v>
      </c>
      <c r="EK18" s="19" t="e">
        <f>IF(VLOOKUP(EK$2,Table2[[#All],[RC]:[Total External Corrosion Score]],8,FALSE)="",0,100)</f>
        <v>#N/A</v>
      </c>
      <c r="EL18" s="19" t="e">
        <f>IF(VLOOKUP(EL$2,Table2[[#All],[RC]:[Total External Corrosion Score]],8,FALSE)="",0,100)</f>
        <v>#N/A</v>
      </c>
      <c r="EM18" s="19" t="e">
        <f>IF(VLOOKUP(EM$2,Table2[[#All],[RC]:[Total External Corrosion Score]],8,FALSE)="",0,100)</f>
        <v>#N/A</v>
      </c>
      <c r="EN18" s="19" t="e">
        <f>IF(VLOOKUP(EN$2,Table2[[#All],[RC]:[Total External Corrosion Score]],8,FALSE)="",0,100)</f>
        <v>#N/A</v>
      </c>
      <c r="EO18" s="19" t="e">
        <f>IF(VLOOKUP(EO$2,Table2[[#All],[RC]:[Total External Corrosion Score]],8,FALSE)="",0,100)</f>
        <v>#N/A</v>
      </c>
      <c r="EP18" s="19" t="e">
        <f>IF(VLOOKUP(EP$2,Table2[[#All],[RC]:[Total External Corrosion Score]],8,FALSE)="",0,100)</f>
        <v>#N/A</v>
      </c>
      <c r="EQ18" s="19" t="e">
        <f>IF(VLOOKUP(EQ$2,Table2[[#All],[RC]:[Total External Corrosion Score]],8,FALSE)="",0,100)</f>
        <v>#N/A</v>
      </c>
      <c r="ER18" s="19" t="e">
        <f>IF(VLOOKUP(ER$2,Table2[[#All],[RC]:[Total External Corrosion Score]],8,FALSE)="",0,100)</f>
        <v>#N/A</v>
      </c>
      <c r="ES18" s="19">
        <f>IF(VLOOKUP(ES$2,Table2[[#All],[RC]:[Total External Corrosion Score]],8,FALSE)="",0,100)</f>
        <v>100</v>
      </c>
      <c r="ET18" s="19">
        <f>IF(VLOOKUP(ET$2,Table2[[#All],[RC]:[Total External Corrosion Score]],8,FALSE)="",0,100)</f>
        <v>100</v>
      </c>
      <c r="EU18" s="19">
        <f>IF(VLOOKUP(EU$2,Table2[[#All],[RC]:[Total External Corrosion Score]],8,FALSE)="",0,100)</f>
        <v>100</v>
      </c>
      <c r="EV18" s="19">
        <f>IF(VLOOKUP(EV$2,Table2[[#All],[RC]:[Total External Corrosion Score]],8,FALSE)="",0,100)</f>
        <v>100</v>
      </c>
      <c r="EW18" s="19">
        <f>IF(VLOOKUP(EW$2,Table2[[#All],[RC]:[Total External Corrosion Score]],8,FALSE)="",0,100)</f>
        <v>100</v>
      </c>
      <c r="EX18" s="19">
        <f>IF(VLOOKUP(EX$2,Table2[[#All],[RC]:[Total External Corrosion Score]],8,FALSE)="",0,100)</f>
        <v>100</v>
      </c>
      <c r="EY18" s="19" t="e">
        <f>IF(VLOOKUP(EY$2,Table2[[#All],[RC]:[Total External Corrosion Score]],8,FALSE)="",0,100)</f>
        <v>#N/A</v>
      </c>
      <c r="EZ18" s="19" t="e">
        <f>IF(VLOOKUP(EZ$2,Table2[[#All],[RC]:[Total External Corrosion Score]],8,FALSE)="",0,100)</f>
        <v>#N/A</v>
      </c>
      <c r="FA18" s="19" t="e">
        <f>IF(VLOOKUP(FA$2,Table2[[#All],[RC]:[Total External Corrosion Score]],8,FALSE)="",0,100)</f>
        <v>#N/A</v>
      </c>
      <c r="FB18" s="19">
        <f>IF(VLOOKUP(FB$2,Table2[[#All],[RC]:[Total External Corrosion Score]],8,FALSE)="",0,100)</f>
        <v>100</v>
      </c>
      <c r="FC18" s="19" t="e">
        <f>IF(VLOOKUP(FC$2,Table2[[#All],[RC]:[Total External Corrosion Score]],8,FALSE)="",0,100)</f>
        <v>#N/A</v>
      </c>
      <c r="FD18" s="19">
        <f>IF(VLOOKUP(FD$2,Table2[[#All],[RC]:[Total External Corrosion Score]],8,FALSE)="",0,100)</f>
        <v>100</v>
      </c>
      <c r="FE18" s="19">
        <f>IF(VLOOKUP(FE$2,Table2[[#All],[RC]:[Total External Corrosion Score]],8,FALSE)="",0,100)</f>
        <v>100</v>
      </c>
      <c r="FF18" s="19">
        <f>IF(VLOOKUP(FF$2,Table2[[#All],[RC]:[Total External Corrosion Score]],8,FALSE)="",0,100)</f>
        <v>100</v>
      </c>
      <c r="FG18" s="19">
        <f>IF(VLOOKUP(FG$2,Table2[[#All],[RC]:[Total External Corrosion Score]],8,FALSE)="",0,100)</f>
        <v>100</v>
      </c>
      <c r="FH18" s="19" t="e">
        <f>IF(VLOOKUP(FH$2,Table2[[#All],[RC]:[Total External Corrosion Score]],8,FALSE)="",0,100)</f>
        <v>#N/A</v>
      </c>
      <c r="FI18" s="19" t="e">
        <f>IF(VLOOKUP(FI$2,Table2[[#All],[RC]:[Total External Corrosion Score]],8,FALSE)="",0,100)</f>
        <v>#N/A</v>
      </c>
      <c r="FJ18" s="19">
        <f>IF(VLOOKUP(FJ$2,Table2[[#All],[RC]:[Total External Corrosion Score]],8,FALSE)="",0,100)</f>
        <v>100</v>
      </c>
      <c r="FK18" s="19">
        <f>IF(VLOOKUP(FK$2,Table2[[#All],[RC]:[Total External Corrosion Score]],8,FALSE)="",0,100)</f>
        <v>100</v>
      </c>
      <c r="FL18" s="19" t="e">
        <f>IF(VLOOKUP(FL$2,Table2[[#All],[RC]:[Total External Corrosion Score]],8,FALSE)="",0,100)</f>
        <v>#N/A</v>
      </c>
      <c r="FM18" s="19" t="e">
        <f>IF(VLOOKUP(FM$2,Table2[[#All],[RC]:[Total External Corrosion Score]],8,FALSE)="",0,100)</f>
        <v>#N/A</v>
      </c>
      <c r="FN18" s="19" t="e">
        <f>IF(VLOOKUP(FN$2,Table2[[#All],[RC]:[Total External Corrosion Score]],8,FALSE)="",0,100)</f>
        <v>#N/A</v>
      </c>
      <c r="FO18" s="19">
        <f>IF(VLOOKUP(FO$2,Table2[[#All],[RC]:[Total External Corrosion Score]],8,FALSE)="",0,100)</f>
        <v>100</v>
      </c>
      <c r="FP18" s="19">
        <f>IF(VLOOKUP(FP$2,Table2[[#All],[RC]:[Total External Corrosion Score]],8,FALSE)="",0,100)</f>
        <v>100</v>
      </c>
      <c r="FQ18" s="19">
        <f>IF(VLOOKUP(FQ$2,Table2[[#All],[RC]:[Total External Corrosion Score]],8,FALSE)="",0,100)</f>
        <v>100</v>
      </c>
      <c r="FR18" s="19">
        <f>IF(VLOOKUP(FR$2,Table2[[#All],[RC]:[Total External Corrosion Score]],8,FALSE)="",0,100)</f>
        <v>100</v>
      </c>
      <c r="FS18" s="19" t="e">
        <f>IF(VLOOKUP(FS$2,Table2[[#All],[RC]:[Total External Corrosion Score]],8,FALSE)="",0,100)</f>
        <v>#N/A</v>
      </c>
      <c r="FT18" s="19" t="e">
        <f>IF(VLOOKUP(FT$2,Table2[[#All],[RC]:[Total External Corrosion Score]],8,FALSE)="",0,100)</f>
        <v>#N/A</v>
      </c>
      <c r="FU18" s="19" t="e">
        <f>IF(VLOOKUP(FU$2,Table2[[#All],[RC]:[Total External Corrosion Score]],8,FALSE)="",0,100)</f>
        <v>#N/A</v>
      </c>
      <c r="FV18" s="19" t="e">
        <f>IF(VLOOKUP(FV$2,Table2[[#All],[RC]:[Total External Corrosion Score]],8,FALSE)="",0,100)</f>
        <v>#N/A</v>
      </c>
    </row>
    <row r="19" spans="1:178" ht="42.75">
      <c r="A19" s="62" t="s">
        <v>159</v>
      </c>
      <c r="B19" s="19" t="e">
        <f>IF(VLOOKUP(B$2,Table2[[#All],[RC]:[Total External Corrosion Score]],9,FALSE)="",0,100)</f>
        <v>#N/A</v>
      </c>
      <c r="C19" s="19" t="e">
        <f>IF(VLOOKUP(C$2,Table2[[#All],[RC]:[Total External Corrosion Score]],9,FALSE)="",0,100)</f>
        <v>#N/A</v>
      </c>
      <c r="D19" s="19">
        <f>IF(VLOOKUP(D$2,Table2[[#All],[RC]:[Total External Corrosion Score]],9,FALSE)="",0,100)</f>
        <v>100</v>
      </c>
      <c r="E19" s="19">
        <f>IF(VLOOKUP(E$2,Table2[[#All],[RC]:[Total External Corrosion Score]],9,FALSE)="",0,100)</f>
        <v>100</v>
      </c>
      <c r="F19" s="19">
        <f>IF(VLOOKUP(F$2,Table2[[#All],[RC]:[Total External Corrosion Score]],9,FALSE)="",0,100)</f>
        <v>100</v>
      </c>
      <c r="G19" s="19">
        <f>IF(VLOOKUP(G$2,Table2[[#All],[RC]:[Total External Corrosion Score]],9,FALSE)="",0,100)</f>
        <v>100</v>
      </c>
      <c r="H19" s="19">
        <f>IF(VLOOKUP(H$2,Table2[[#All],[RC]:[Total External Corrosion Score]],9,FALSE)="",0,100)</f>
        <v>100</v>
      </c>
      <c r="I19" s="19">
        <f>IF(VLOOKUP(I$2,Table2[[#All],[RC]:[Total External Corrosion Score]],9,FALSE)="",0,100)</f>
        <v>100</v>
      </c>
      <c r="J19" s="19">
        <f>IF(VLOOKUP(J$2,Table2[[#All],[RC]:[Total External Corrosion Score]],9,FALSE)="",0,100)</f>
        <v>100</v>
      </c>
      <c r="K19" s="19">
        <f>IF(VLOOKUP(K$2,Table2[[#All],[RC]:[Total External Corrosion Score]],9,FALSE)="",0,100)</f>
        <v>100</v>
      </c>
      <c r="L19" s="19">
        <f>IF(VLOOKUP(L$2,Table2[[#All],[RC]:[Total External Corrosion Score]],9,FALSE)="",0,100)</f>
        <v>100</v>
      </c>
      <c r="M19" s="19" t="e">
        <f>IF(VLOOKUP(M$2,Table2[[#All],[RC]:[Total External Corrosion Score]],9,FALSE)="",0,100)</f>
        <v>#N/A</v>
      </c>
      <c r="N19" s="19">
        <f>IF(VLOOKUP(N$2,Table2[[#All],[RC]:[Total External Corrosion Score]],9,FALSE)="",0,100)</f>
        <v>100</v>
      </c>
      <c r="O19" s="19">
        <f>IF(VLOOKUP(O$2,Table2[[#All],[RC]:[Total External Corrosion Score]],9,FALSE)="",0,100)</f>
        <v>100</v>
      </c>
      <c r="P19" s="19">
        <f>IF(VLOOKUP(P$2,Table2[[#All],[RC]:[Total External Corrosion Score]],9,FALSE)="",0,100)</f>
        <v>100</v>
      </c>
      <c r="Q19" s="19">
        <f>IF(VLOOKUP(Q$2,Table2[[#All],[RC]:[Total External Corrosion Score]],9,FALSE)="",0,100)</f>
        <v>100</v>
      </c>
      <c r="R19" s="19">
        <f>IF(VLOOKUP(R$2,Table2[[#All],[RC]:[Total External Corrosion Score]],9,FALSE)="",0,100)</f>
        <v>100</v>
      </c>
      <c r="S19" s="19">
        <f>IF(VLOOKUP(S$2,Table2[[#All],[RC]:[Total External Corrosion Score]],9,FALSE)="",0,100)</f>
        <v>100</v>
      </c>
      <c r="T19" s="19">
        <f>IF(VLOOKUP(T$2,Table2[[#All],[RC]:[Total External Corrosion Score]],9,FALSE)="",0,100)</f>
        <v>100</v>
      </c>
      <c r="U19" s="19">
        <f>IF(VLOOKUP(U$2,Table2[[#All],[RC]:[Total External Corrosion Score]],9,FALSE)="",0,100)</f>
        <v>100</v>
      </c>
      <c r="V19" s="19">
        <f>IF(VLOOKUP(V$2,Table2[[#All],[RC]:[Total External Corrosion Score]],9,FALSE)="",0,100)</f>
        <v>100</v>
      </c>
      <c r="W19" s="19">
        <f>IF(VLOOKUP(W$2,Table2[[#All],[RC]:[Total External Corrosion Score]],9,FALSE)="",0,100)</f>
        <v>100</v>
      </c>
      <c r="X19" s="19">
        <f>IF(VLOOKUP(X$2,Table2[[#All],[RC]:[Total External Corrosion Score]],9,FALSE)="",0,100)</f>
        <v>100</v>
      </c>
      <c r="Y19" s="19" t="e">
        <f>IF(VLOOKUP(Y$2,Table2[[#All],[RC]:[Total External Corrosion Score]],9,FALSE)="",0,100)</f>
        <v>#N/A</v>
      </c>
      <c r="Z19" s="19" t="e">
        <f>IF(VLOOKUP(Z$2,Table2[[#All],[RC]:[Total External Corrosion Score]],9,FALSE)="",0,100)</f>
        <v>#N/A</v>
      </c>
      <c r="AA19" s="19">
        <f>IF(VLOOKUP(AA$2,Table2[[#All],[RC]:[Total External Corrosion Score]],9,FALSE)="",0,100)</f>
        <v>100</v>
      </c>
      <c r="AB19" s="19">
        <f>IF(VLOOKUP(AB$2,Table2[[#All],[RC]:[Total External Corrosion Score]],9,FALSE)="",0,100)</f>
        <v>100</v>
      </c>
      <c r="AC19" s="19">
        <f>IF(VLOOKUP(AC$2,Table2[[#All],[RC]:[Total External Corrosion Score]],9,FALSE)="",0,100)</f>
        <v>100</v>
      </c>
      <c r="AD19" s="19">
        <f>IF(VLOOKUP(AD$2,Table2[[#All],[RC]:[Total External Corrosion Score]],9,FALSE)="",0,100)</f>
        <v>100</v>
      </c>
      <c r="AE19" s="19" t="e">
        <f>IF(VLOOKUP(AE$2,Table2[[#All],[RC]:[Total External Corrosion Score]],9,FALSE)="",0,100)</f>
        <v>#N/A</v>
      </c>
      <c r="AF19" s="19">
        <f>IF(VLOOKUP(AF$2,Table2[[#All],[RC]:[Total External Corrosion Score]],9,FALSE)="",0,100)</f>
        <v>100</v>
      </c>
      <c r="AG19" s="19">
        <f>IF(VLOOKUP(AG$2,Table2[[#All],[RC]:[Total External Corrosion Score]],9,FALSE)="",0,100)</f>
        <v>100</v>
      </c>
      <c r="AH19" s="19">
        <f>IF(VLOOKUP(AH$2,Table2[[#All],[RC]:[Total External Corrosion Score]],9,FALSE)="",0,100)</f>
        <v>100</v>
      </c>
      <c r="AI19" s="19">
        <f>IF(VLOOKUP(AI$2,Table2[[#All],[RC]:[Total External Corrosion Score]],9,FALSE)="",0,100)</f>
        <v>100</v>
      </c>
      <c r="AJ19" s="19">
        <f>IF(VLOOKUP(AJ$2,Table2[[#All],[RC]:[Total External Corrosion Score]],9,FALSE)="",0,100)</f>
        <v>100</v>
      </c>
      <c r="AK19" s="19">
        <f>IF(VLOOKUP(AK$2,Table2[[#All],[RC]:[Total External Corrosion Score]],9,FALSE)="",0,100)</f>
        <v>100</v>
      </c>
      <c r="AL19" s="19" t="e">
        <f>IF(VLOOKUP(AL$2,Table2[[#All],[RC]:[Total External Corrosion Score]],9,FALSE)="",0,100)</f>
        <v>#N/A</v>
      </c>
      <c r="AM19" s="19" t="e">
        <f>IF(VLOOKUP(AM$2,Table2[[#All],[RC]:[Total External Corrosion Score]],9,FALSE)="",0,100)</f>
        <v>#N/A</v>
      </c>
      <c r="AN19" s="19" t="e">
        <f>IF(VLOOKUP(AN$2,Table2[[#All],[RC]:[Total External Corrosion Score]],9,FALSE)="",0,100)</f>
        <v>#N/A</v>
      </c>
      <c r="AO19" s="19">
        <f>IF(VLOOKUP(AO$2,Table2[[#All],[RC]:[Total External Corrosion Score]],9,FALSE)="",0,100)</f>
        <v>100</v>
      </c>
      <c r="AP19" s="19">
        <f>IF(VLOOKUP(AP$2,Table2[[#All],[RC]:[Total External Corrosion Score]],9,FALSE)="",0,100)</f>
        <v>100</v>
      </c>
      <c r="AQ19" s="19" t="e">
        <f>IF(VLOOKUP(AQ$2,Table2[[#All],[RC]:[Total External Corrosion Score]],9,FALSE)="",0,100)</f>
        <v>#N/A</v>
      </c>
      <c r="AR19" s="19" t="e">
        <f>IF(VLOOKUP(AR$2,Table2[[#All],[RC]:[Total External Corrosion Score]],9,FALSE)="",0,100)</f>
        <v>#N/A</v>
      </c>
      <c r="AS19" s="19" t="e">
        <f>IF(VLOOKUP(AS$2,Table2[[#All],[RC]:[Total External Corrosion Score]],9,FALSE)="",0,100)</f>
        <v>#N/A</v>
      </c>
      <c r="AT19" s="19">
        <f>IF(VLOOKUP(AT$2,Table2[[#All],[RC]:[Total External Corrosion Score]],9,FALSE)="",0,100)</f>
        <v>100</v>
      </c>
      <c r="AU19" s="19">
        <f>IF(VLOOKUP(AU$2,Table2[[#All],[RC]:[Total External Corrosion Score]],9,FALSE)="",0,100)</f>
        <v>100</v>
      </c>
      <c r="AV19" s="19">
        <f>IF(VLOOKUP(AV$2,Table2[[#All],[RC]:[Total External Corrosion Score]],9,FALSE)="",0,100)</f>
        <v>100</v>
      </c>
      <c r="AW19" s="19" t="e">
        <f>IF(VLOOKUP(AW$2,Table2[[#All],[RC]:[Total External Corrosion Score]],9,FALSE)="",0,100)</f>
        <v>#N/A</v>
      </c>
      <c r="AX19" s="19">
        <f>IF(VLOOKUP(AX$2,Table2[[#All],[RC]:[Total External Corrosion Score]],9,FALSE)="",0,100)</f>
        <v>100</v>
      </c>
      <c r="AY19" s="19">
        <f>IF(VLOOKUP(AY$2,Table2[[#All],[RC]:[Total External Corrosion Score]],9,FALSE)="",0,100)</f>
        <v>100</v>
      </c>
      <c r="AZ19" s="19">
        <f>IF(VLOOKUP(AZ$2,Table2[[#All],[RC]:[Total External Corrosion Score]],9,FALSE)="",0,100)</f>
        <v>100</v>
      </c>
      <c r="BA19" s="19" t="e">
        <f>IF(VLOOKUP(BA$2,Table2[[#All],[RC]:[Total External Corrosion Score]],9,FALSE)="",0,100)</f>
        <v>#N/A</v>
      </c>
      <c r="BB19" s="19">
        <f>IF(VLOOKUP(BB$2,Table2[[#All],[RC]:[Total External Corrosion Score]],9,FALSE)="",0,100)</f>
        <v>100</v>
      </c>
      <c r="BC19" s="19">
        <f>IF(VLOOKUP(BC$2,Table2[[#All],[RC]:[Total External Corrosion Score]],9,FALSE)="",0,100)</f>
        <v>100</v>
      </c>
      <c r="BD19" s="19" t="e">
        <f>IF(VLOOKUP(BD$2,Table2[[#All],[RC]:[Total External Corrosion Score]],9,FALSE)="",0,100)</f>
        <v>#N/A</v>
      </c>
      <c r="BE19" s="19">
        <f>IF(VLOOKUP(BE$2,Table2[[#All],[RC]:[Total External Corrosion Score]],9,FALSE)="",0,100)</f>
        <v>100</v>
      </c>
      <c r="BF19" s="19">
        <f>IF(VLOOKUP(BF$2,Table2[[#All],[RC]:[Total External Corrosion Score]],9,FALSE)="",0,100)</f>
        <v>100</v>
      </c>
      <c r="BG19" s="19">
        <f>IF(VLOOKUP(BG$2,Table2[[#All],[RC]:[Total External Corrosion Score]],9,FALSE)="",0,100)</f>
        <v>100</v>
      </c>
      <c r="BH19" s="19" t="e">
        <f>IF(VLOOKUP(BH$2,Table2[[#All],[RC]:[Total External Corrosion Score]],9,FALSE)="",0,100)</f>
        <v>#N/A</v>
      </c>
      <c r="BI19" s="19" t="e">
        <f>IF(VLOOKUP(BI$2,Table2[[#All],[RC]:[Total External Corrosion Score]],9,FALSE)="",0,100)</f>
        <v>#N/A</v>
      </c>
      <c r="BJ19" s="19" t="e">
        <f>IF(VLOOKUP(BJ$2,Table2[[#All],[RC]:[Total External Corrosion Score]],9,FALSE)="",0,100)</f>
        <v>#N/A</v>
      </c>
      <c r="BK19" s="19">
        <f>IF(VLOOKUP(BK$2,Table2[[#All],[RC]:[Total External Corrosion Score]],9,FALSE)="",0,100)</f>
        <v>100</v>
      </c>
      <c r="BL19" s="19">
        <f>IF(VLOOKUP(BL$2,Table2[[#All],[RC]:[Total External Corrosion Score]],9,FALSE)="",0,100)</f>
        <v>100</v>
      </c>
      <c r="BM19" s="19" t="e">
        <f>IF(VLOOKUP(BM$2,Table2[[#All],[RC]:[Total External Corrosion Score]],9,FALSE)="",0,100)</f>
        <v>#N/A</v>
      </c>
      <c r="BN19" s="19">
        <f>IF(VLOOKUP(BN$2,Table2[[#All],[RC]:[Total External Corrosion Score]],9,FALSE)="",0,100)</f>
        <v>100</v>
      </c>
      <c r="BO19" s="19">
        <f>IF(VLOOKUP(BO$2,Table2[[#All],[RC]:[Total External Corrosion Score]],9,FALSE)="",0,100)</f>
        <v>100</v>
      </c>
      <c r="BP19" s="19">
        <f>IF(VLOOKUP(BP$2,Table2[[#All],[RC]:[Total External Corrosion Score]],9,FALSE)="",0,100)</f>
        <v>100</v>
      </c>
      <c r="BQ19" s="19">
        <f>IF(VLOOKUP(BQ$2,Table2[[#All],[RC]:[Total External Corrosion Score]],9,FALSE)="",0,100)</f>
        <v>100</v>
      </c>
      <c r="BR19" s="19">
        <f>IF(VLOOKUP(BR$2,Table2[[#All],[RC]:[Total External Corrosion Score]],9,FALSE)="",0,100)</f>
        <v>100</v>
      </c>
      <c r="BS19" s="19">
        <f>IF(VLOOKUP(BS$2,Table2[[#All],[RC]:[Total External Corrosion Score]],9,FALSE)="",0,100)</f>
        <v>100</v>
      </c>
      <c r="BT19" s="19" t="e">
        <f>IF(VLOOKUP(BT$2,Table2[[#All],[RC]:[Total External Corrosion Score]],9,FALSE)="",0,100)</f>
        <v>#N/A</v>
      </c>
      <c r="BU19" s="19">
        <f>IF(VLOOKUP(BU$2,Table2[[#All],[RC]:[Total External Corrosion Score]],9,FALSE)="",0,100)</f>
        <v>100</v>
      </c>
      <c r="BV19" s="19" t="e">
        <f>IF(VLOOKUP(BV$2,Table2[[#All],[RC]:[Total External Corrosion Score]],9,FALSE)="",0,100)</f>
        <v>#N/A</v>
      </c>
      <c r="BW19" s="19">
        <f>IF(VLOOKUP(BW$2,Table2[[#All],[RC]:[Total External Corrosion Score]],9,FALSE)="",0,100)</f>
        <v>100</v>
      </c>
      <c r="BX19" s="19">
        <f>IF(VLOOKUP(BX$2,Table2[[#All],[RC]:[Total External Corrosion Score]],9,FALSE)="",0,100)</f>
        <v>100</v>
      </c>
      <c r="BY19" s="19">
        <f>IF(VLOOKUP(BY$2,Table2[[#All],[RC]:[Total External Corrosion Score]],9,FALSE)="",0,100)</f>
        <v>100</v>
      </c>
      <c r="BZ19" s="19">
        <f>IF(VLOOKUP(BZ$2,Table2[[#All],[RC]:[Total External Corrosion Score]],9,FALSE)="",0,100)</f>
        <v>100</v>
      </c>
      <c r="CA19" s="19">
        <f>IF(VLOOKUP(CA$2,Table2[[#All],[RC]:[Total External Corrosion Score]],9,FALSE)="",0,100)</f>
        <v>100</v>
      </c>
      <c r="CB19" s="19" t="e">
        <f>IF(VLOOKUP(CB$2,Table2[[#All],[RC]:[Total External Corrosion Score]],9,FALSE)="",0,100)</f>
        <v>#N/A</v>
      </c>
      <c r="CC19" s="19" t="e">
        <f>IF(VLOOKUP(CC$2,Table2[[#All],[RC]:[Total External Corrosion Score]],9,FALSE)="",0,100)</f>
        <v>#N/A</v>
      </c>
      <c r="CD19" s="19">
        <f>IF(VLOOKUP(CD$2,Table2[[#All],[RC]:[Total External Corrosion Score]],9,FALSE)="",0,100)</f>
        <v>100</v>
      </c>
      <c r="CE19" s="19">
        <f>IF(VLOOKUP(CE$2,Table2[[#All],[RC]:[Total External Corrosion Score]],9,FALSE)="",0,100)</f>
        <v>100</v>
      </c>
      <c r="CF19" s="19">
        <f>IF(VLOOKUP(CF$2,Table2[[#All],[RC]:[Total External Corrosion Score]],9,FALSE)="",0,100)</f>
        <v>100</v>
      </c>
      <c r="CG19" s="19">
        <f>IF(VLOOKUP(CG$2,Table2[[#All],[RC]:[Total External Corrosion Score]],9,FALSE)="",0,100)</f>
        <v>100</v>
      </c>
      <c r="CH19" s="19">
        <f>IF(VLOOKUP(CH$2,Table2[[#All],[RC]:[Total External Corrosion Score]],9,FALSE)="",0,100)</f>
        <v>100</v>
      </c>
      <c r="CI19" s="19">
        <f>IF(VLOOKUP(CI$2,Table2[[#All],[RC]:[Total External Corrosion Score]],9,FALSE)="",0,100)</f>
        <v>100</v>
      </c>
      <c r="CJ19" s="19">
        <f>IF(VLOOKUP(CJ$2,Table2[[#All],[RC]:[Total External Corrosion Score]],9,FALSE)="",0,100)</f>
        <v>100</v>
      </c>
      <c r="CK19" s="19">
        <f>IF(VLOOKUP(CK$2,Table2[[#All],[RC]:[Total External Corrosion Score]],9,FALSE)="",0,100)</f>
        <v>100</v>
      </c>
      <c r="CL19" s="19">
        <f>IF(VLOOKUP(CL$2,Table2[[#All],[RC]:[Total External Corrosion Score]],9,FALSE)="",0,100)</f>
        <v>100</v>
      </c>
      <c r="CM19" s="19">
        <f>IF(VLOOKUP(CM$2,Table2[[#All],[RC]:[Total External Corrosion Score]],9,FALSE)="",0,100)</f>
        <v>100</v>
      </c>
      <c r="CN19" s="19">
        <f>IF(VLOOKUP(CN$2,Table2[[#All],[RC]:[Total External Corrosion Score]],9,FALSE)="",0,100)</f>
        <v>100</v>
      </c>
      <c r="CO19" s="19">
        <f>IF(VLOOKUP(CO$2,Table2[[#All],[RC]:[Total External Corrosion Score]],9,FALSE)="",0,100)</f>
        <v>100</v>
      </c>
      <c r="CP19" s="19">
        <f>IF(VLOOKUP(CP$2,Table2[[#All],[RC]:[Total External Corrosion Score]],9,FALSE)="",0,100)</f>
        <v>100</v>
      </c>
      <c r="CQ19" s="19">
        <f>IF(VLOOKUP(CQ$2,Table2[[#All],[RC]:[Total External Corrosion Score]],9,FALSE)="",0,100)</f>
        <v>100</v>
      </c>
      <c r="CR19" s="19">
        <f>IF(VLOOKUP(CR$2,Table2[[#All],[RC]:[Total External Corrosion Score]],9,FALSE)="",0,100)</f>
        <v>100</v>
      </c>
      <c r="CS19" s="19">
        <f>IF(VLOOKUP(CS$2,Table2[[#All],[RC]:[Total External Corrosion Score]],9,FALSE)="",0,100)</f>
        <v>100</v>
      </c>
      <c r="CT19" s="19">
        <f>IF(VLOOKUP(CT$2,Table2[[#All],[RC]:[Total External Corrosion Score]],9,FALSE)="",0,100)</f>
        <v>100</v>
      </c>
      <c r="CU19" s="19">
        <f>IF(VLOOKUP(CU$2,Table2[[#All],[RC]:[Total External Corrosion Score]],9,FALSE)="",0,100)</f>
        <v>100</v>
      </c>
      <c r="CV19" s="19">
        <f>IF(VLOOKUP(CV$2,Table2[[#All],[RC]:[Total External Corrosion Score]],9,FALSE)="",0,100)</f>
        <v>100</v>
      </c>
      <c r="CW19" s="19">
        <f>IF(VLOOKUP(CW$2,Table2[[#All],[RC]:[Total External Corrosion Score]],9,FALSE)="",0,100)</f>
        <v>100</v>
      </c>
      <c r="CX19" s="19">
        <f>IF(VLOOKUP(CX$2,Table2[[#All],[RC]:[Total External Corrosion Score]],9,FALSE)="",0,100)</f>
        <v>100</v>
      </c>
      <c r="CY19" s="19">
        <f>IF(VLOOKUP(CY$2,Table2[[#All],[RC]:[Total External Corrosion Score]],9,FALSE)="",0,100)</f>
        <v>100</v>
      </c>
      <c r="CZ19" s="19">
        <f>IF(VLOOKUP(CZ$2,Table2[[#All],[RC]:[Total External Corrosion Score]],9,FALSE)="",0,100)</f>
        <v>100</v>
      </c>
      <c r="DA19" s="19">
        <f>IF(VLOOKUP(DA$2,Table2[[#All],[RC]:[Total External Corrosion Score]],9,FALSE)="",0,100)</f>
        <v>100</v>
      </c>
      <c r="DB19" s="19">
        <f>IF(VLOOKUP(DB$2,Table2[[#All],[RC]:[Total External Corrosion Score]],9,FALSE)="",0,100)</f>
        <v>100</v>
      </c>
      <c r="DC19" s="19">
        <f>IF(VLOOKUP(DC$2,Table2[[#All],[RC]:[Total External Corrosion Score]],9,FALSE)="",0,100)</f>
        <v>100</v>
      </c>
      <c r="DD19" s="19">
        <f>IF(VLOOKUP(DD$2,Table2[[#All],[RC]:[Total External Corrosion Score]],9,FALSE)="",0,100)</f>
        <v>100</v>
      </c>
      <c r="DE19" s="19">
        <f>IF(VLOOKUP(DE$2,Table2[[#All],[RC]:[Total External Corrosion Score]],9,FALSE)="",0,100)</f>
        <v>100</v>
      </c>
      <c r="DF19" s="19">
        <f>IF(VLOOKUP(DF$2,Table2[[#All],[RC]:[Total External Corrosion Score]],9,FALSE)="",0,100)</f>
        <v>100</v>
      </c>
      <c r="DG19" s="19" t="e">
        <f>IF(VLOOKUP(DG$2,Table2[[#All],[RC]:[Total External Corrosion Score]],9,FALSE)="",0,100)</f>
        <v>#N/A</v>
      </c>
      <c r="DH19" s="19" t="e">
        <f>IF(VLOOKUP(DH$2,Table2[[#All],[RC]:[Total External Corrosion Score]],9,FALSE)="",0,100)</f>
        <v>#N/A</v>
      </c>
      <c r="DI19" s="19" t="e">
        <f>IF(VLOOKUP(DI$2,Table2[[#All],[RC]:[Total External Corrosion Score]],9,FALSE)="",0,100)</f>
        <v>#N/A</v>
      </c>
      <c r="DJ19" s="19">
        <f>IF(VLOOKUP(DJ$2,Table2[[#All],[RC]:[Total External Corrosion Score]],9,FALSE)="",0,100)</f>
        <v>100</v>
      </c>
      <c r="DK19" s="19">
        <f>IF(VLOOKUP(DK$2,Table2[[#All],[RC]:[Total External Corrosion Score]],9,FALSE)="",0,100)</f>
        <v>100</v>
      </c>
      <c r="DL19" s="19">
        <f>IF(VLOOKUP(DL$2,Table2[[#All],[RC]:[Total External Corrosion Score]],9,FALSE)="",0,100)</f>
        <v>100</v>
      </c>
      <c r="DM19" s="19">
        <f>IF(VLOOKUP(DM$2,Table2[[#All],[RC]:[Total External Corrosion Score]],9,FALSE)="",0,100)</f>
        <v>100</v>
      </c>
      <c r="DN19" s="19">
        <f>IF(VLOOKUP(DN$2,Table2[[#All],[RC]:[Total External Corrosion Score]],9,FALSE)="",0,100)</f>
        <v>100</v>
      </c>
      <c r="DO19" s="19">
        <f>IF(VLOOKUP(DO$2,Table2[[#All],[RC]:[Total External Corrosion Score]],9,FALSE)="",0,100)</f>
        <v>100</v>
      </c>
      <c r="DP19" s="19" t="e">
        <f>IF(VLOOKUP(DP$2,Table2[[#All],[RC]:[Total External Corrosion Score]],9,FALSE)="",0,100)</f>
        <v>#N/A</v>
      </c>
      <c r="DQ19" s="19" t="e">
        <f>IF(VLOOKUP(DQ$2,Table2[[#All],[RC]:[Total External Corrosion Score]],9,FALSE)="",0,100)</f>
        <v>#N/A</v>
      </c>
      <c r="DR19" s="19" t="e">
        <f>IF(VLOOKUP(DR$2,Table2[[#All],[RC]:[Total External Corrosion Score]],9,FALSE)="",0,100)</f>
        <v>#N/A</v>
      </c>
      <c r="DS19" s="19" t="e">
        <f>IF(VLOOKUP(DS$2,Table2[[#All],[RC]:[Total External Corrosion Score]],9,FALSE)="",0,100)</f>
        <v>#N/A</v>
      </c>
      <c r="DT19" s="19">
        <f>IF(VLOOKUP(DT$2,Table2[[#All],[RC]:[Total External Corrosion Score]],9,FALSE)="",0,100)</f>
        <v>100</v>
      </c>
      <c r="DU19" s="19" t="e">
        <f>IF(VLOOKUP(DU$2,Table2[[#All],[RC]:[Total External Corrosion Score]],9,FALSE)="",0,100)</f>
        <v>#N/A</v>
      </c>
      <c r="DV19" s="19" t="e">
        <f>IF(VLOOKUP(DV$2,Table2[[#All],[RC]:[Total External Corrosion Score]],9,FALSE)="",0,100)</f>
        <v>#N/A</v>
      </c>
      <c r="DW19" s="19">
        <f>IF(VLOOKUP(DW$2,Table2[[#All],[RC]:[Total External Corrosion Score]],9,FALSE)="",0,100)</f>
        <v>100</v>
      </c>
      <c r="DX19" s="19">
        <f>IF(VLOOKUP(DX$2,Table2[[#All],[RC]:[Total External Corrosion Score]],9,FALSE)="",0,100)</f>
        <v>100</v>
      </c>
      <c r="DY19" s="19">
        <f>IF(VLOOKUP(DY$2,Table2[[#All],[RC]:[Total External Corrosion Score]],9,FALSE)="",0,100)</f>
        <v>100</v>
      </c>
      <c r="DZ19" s="19">
        <f>IF(VLOOKUP(DZ$2,Table2[[#All],[RC]:[Total External Corrosion Score]],9,FALSE)="",0,100)</f>
        <v>100</v>
      </c>
      <c r="EA19" s="19" t="e">
        <f>IF(VLOOKUP(EA$2,Table2[[#All],[RC]:[Total External Corrosion Score]],9,FALSE)="",0,100)</f>
        <v>#N/A</v>
      </c>
      <c r="EB19" s="19" t="e">
        <f>IF(VLOOKUP(EB$2,Table2[[#All],[RC]:[Total External Corrosion Score]],9,FALSE)="",0,100)</f>
        <v>#N/A</v>
      </c>
      <c r="EC19" s="19">
        <f>IF(VLOOKUP(EC$2,Table2[[#All],[RC]:[Total External Corrosion Score]],9,FALSE)="",0,100)</f>
        <v>100</v>
      </c>
      <c r="ED19" s="19">
        <f>IF(VLOOKUP(ED$2,Table2[[#All],[RC]:[Total External Corrosion Score]],9,FALSE)="",0,100)</f>
        <v>100</v>
      </c>
      <c r="EE19" s="19" t="e">
        <f>IF(VLOOKUP(EE$2,Table2[[#All],[RC]:[Total External Corrosion Score]],9,FALSE)="",0,100)</f>
        <v>#N/A</v>
      </c>
      <c r="EF19" s="19">
        <f>IF(VLOOKUP(EF$2,Table2[[#All],[RC]:[Total External Corrosion Score]],9,FALSE)="",0,100)</f>
        <v>100</v>
      </c>
      <c r="EG19" s="19">
        <f>IF(VLOOKUP(EG$2,Table2[[#All],[RC]:[Total External Corrosion Score]],9,FALSE)="",0,100)</f>
        <v>100</v>
      </c>
      <c r="EH19" s="19">
        <f>IF(VLOOKUP(EH$2,Table2[[#All],[RC]:[Total External Corrosion Score]],9,FALSE)="",0,100)</f>
        <v>100</v>
      </c>
      <c r="EI19" s="19">
        <f>IF(VLOOKUP(EI$2,Table2[[#All],[RC]:[Total External Corrosion Score]],9,FALSE)="",0,100)</f>
        <v>100</v>
      </c>
      <c r="EJ19" s="19">
        <f>IF(VLOOKUP(EJ$2,Table2[[#All],[RC]:[Total External Corrosion Score]],9,FALSE)="",0,100)</f>
        <v>100</v>
      </c>
      <c r="EK19" s="19" t="e">
        <f>IF(VLOOKUP(EK$2,Table2[[#All],[RC]:[Total External Corrosion Score]],9,FALSE)="",0,100)</f>
        <v>#N/A</v>
      </c>
      <c r="EL19" s="19" t="e">
        <f>IF(VLOOKUP(EL$2,Table2[[#All],[RC]:[Total External Corrosion Score]],9,FALSE)="",0,100)</f>
        <v>#N/A</v>
      </c>
      <c r="EM19" s="19" t="e">
        <f>IF(VLOOKUP(EM$2,Table2[[#All],[RC]:[Total External Corrosion Score]],9,FALSE)="",0,100)</f>
        <v>#N/A</v>
      </c>
      <c r="EN19" s="19" t="e">
        <f>IF(VLOOKUP(EN$2,Table2[[#All],[RC]:[Total External Corrosion Score]],9,FALSE)="",0,100)</f>
        <v>#N/A</v>
      </c>
      <c r="EO19" s="19" t="e">
        <f>IF(VLOOKUP(EO$2,Table2[[#All],[RC]:[Total External Corrosion Score]],9,FALSE)="",0,100)</f>
        <v>#N/A</v>
      </c>
      <c r="EP19" s="19" t="e">
        <f>IF(VLOOKUP(EP$2,Table2[[#All],[RC]:[Total External Corrosion Score]],9,FALSE)="",0,100)</f>
        <v>#N/A</v>
      </c>
      <c r="EQ19" s="19" t="e">
        <f>IF(VLOOKUP(EQ$2,Table2[[#All],[RC]:[Total External Corrosion Score]],9,FALSE)="",0,100)</f>
        <v>#N/A</v>
      </c>
      <c r="ER19" s="19" t="e">
        <f>IF(VLOOKUP(ER$2,Table2[[#All],[RC]:[Total External Corrosion Score]],9,FALSE)="",0,100)</f>
        <v>#N/A</v>
      </c>
      <c r="ES19" s="19">
        <f>IF(VLOOKUP(ES$2,Table2[[#All],[RC]:[Total External Corrosion Score]],9,FALSE)="",0,100)</f>
        <v>100</v>
      </c>
      <c r="ET19" s="19">
        <f>IF(VLOOKUP(ET$2,Table2[[#All],[RC]:[Total External Corrosion Score]],9,FALSE)="",0,100)</f>
        <v>100</v>
      </c>
      <c r="EU19" s="19">
        <f>IF(VLOOKUP(EU$2,Table2[[#All],[RC]:[Total External Corrosion Score]],9,FALSE)="",0,100)</f>
        <v>100</v>
      </c>
      <c r="EV19" s="19">
        <f>IF(VLOOKUP(EV$2,Table2[[#All],[RC]:[Total External Corrosion Score]],9,FALSE)="",0,100)</f>
        <v>100</v>
      </c>
      <c r="EW19" s="19">
        <f>IF(VLOOKUP(EW$2,Table2[[#All],[RC]:[Total External Corrosion Score]],9,FALSE)="",0,100)</f>
        <v>100</v>
      </c>
      <c r="EX19" s="19">
        <f>IF(VLOOKUP(EX$2,Table2[[#All],[RC]:[Total External Corrosion Score]],9,FALSE)="",0,100)</f>
        <v>100</v>
      </c>
      <c r="EY19" s="19" t="e">
        <f>IF(VLOOKUP(EY$2,Table2[[#All],[RC]:[Total External Corrosion Score]],9,FALSE)="",0,100)</f>
        <v>#N/A</v>
      </c>
      <c r="EZ19" s="19" t="e">
        <f>IF(VLOOKUP(EZ$2,Table2[[#All],[RC]:[Total External Corrosion Score]],9,FALSE)="",0,100)</f>
        <v>#N/A</v>
      </c>
      <c r="FA19" s="19" t="e">
        <f>IF(VLOOKUP(FA$2,Table2[[#All],[RC]:[Total External Corrosion Score]],9,FALSE)="",0,100)</f>
        <v>#N/A</v>
      </c>
      <c r="FB19" s="19">
        <f>IF(VLOOKUP(FB$2,Table2[[#All],[RC]:[Total External Corrosion Score]],9,FALSE)="",0,100)</f>
        <v>100</v>
      </c>
      <c r="FC19" s="19" t="e">
        <f>IF(VLOOKUP(FC$2,Table2[[#All],[RC]:[Total External Corrosion Score]],9,FALSE)="",0,100)</f>
        <v>#N/A</v>
      </c>
      <c r="FD19" s="19">
        <f>IF(VLOOKUP(FD$2,Table2[[#All],[RC]:[Total External Corrosion Score]],9,FALSE)="",0,100)</f>
        <v>100</v>
      </c>
      <c r="FE19" s="19">
        <f>IF(VLOOKUP(FE$2,Table2[[#All],[RC]:[Total External Corrosion Score]],9,FALSE)="",0,100)</f>
        <v>100</v>
      </c>
      <c r="FF19" s="19">
        <f>IF(VLOOKUP(FF$2,Table2[[#All],[RC]:[Total External Corrosion Score]],9,FALSE)="",0,100)</f>
        <v>100</v>
      </c>
      <c r="FG19" s="19">
        <f>IF(VLOOKUP(FG$2,Table2[[#All],[RC]:[Total External Corrosion Score]],9,FALSE)="",0,100)</f>
        <v>100</v>
      </c>
      <c r="FH19" s="19" t="e">
        <f>IF(VLOOKUP(FH$2,Table2[[#All],[RC]:[Total External Corrosion Score]],9,FALSE)="",0,100)</f>
        <v>#N/A</v>
      </c>
      <c r="FI19" s="19" t="e">
        <f>IF(VLOOKUP(FI$2,Table2[[#All],[RC]:[Total External Corrosion Score]],9,FALSE)="",0,100)</f>
        <v>#N/A</v>
      </c>
      <c r="FJ19" s="19">
        <f>IF(VLOOKUP(FJ$2,Table2[[#All],[RC]:[Total External Corrosion Score]],9,FALSE)="",0,100)</f>
        <v>100</v>
      </c>
      <c r="FK19" s="19">
        <f>IF(VLOOKUP(FK$2,Table2[[#All],[RC]:[Total External Corrosion Score]],9,FALSE)="",0,100)</f>
        <v>100</v>
      </c>
      <c r="FL19" s="19" t="e">
        <f>IF(VLOOKUP(FL$2,Table2[[#All],[RC]:[Total External Corrosion Score]],9,FALSE)="",0,100)</f>
        <v>#N/A</v>
      </c>
      <c r="FM19" s="19" t="e">
        <f>IF(VLOOKUP(FM$2,Table2[[#All],[RC]:[Total External Corrosion Score]],9,FALSE)="",0,100)</f>
        <v>#N/A</v>
      </c>
      <c r="FN19" s="19" t="e">
        <f>IF(VLOOKUP(FN$2,Table2[[#All],[RC]:[Total External Corrosion Score]],9,FALSE)="",0,100)</f>
        <v>#N/A</v>
      </c>
      <c r="FO19" s="19">
        <f>IF(VLOOKUP(FO$2,Table2[[#All],[RC]:[Total External Corrosion Score]],9,FALSE)="",0,100)</f>
        <v>100</v>
      </c>
      <c r="FP19" s="19">
        <f>IF(VLOOKUP(FP$2,Table2[[#All],[RC]:[Total External Corrosion Score]],9,FALSE)="",0,100)</f>
        <v>100</v>
      </c>
      <c r="FQ19" s="19">
        <f>IF(VLOOKUP(FQ$2,Table2[[#All],[RC]:[Total External Corrosion Score]],9,FALSE)="",0,100)</f>
        <v>100</v>
      </c>
      <c r="FR19" s="19">
        <f>IF(VLOOKUP(FR$2,Table2[[#All],[RC]:[Total External Corrosion Score]],9,FALSE)="",0,100)</f>
        <v>100</v>
      </c>
      <c r="FS19" s="19" t="e">
        <f>IF(VLOOKUP(FS$2,Table2[[#All],[RC]:[Total External Corrosion Score]],9,FALSE)="",0,100)</f>
        <v>#N/A</v>
      </c>
      <c r="FT19" s="19" t="e">
        <f>IF(VLOOKUP(FT$2,Table2[[#All],[RC]:[Total External Corrosion Score]],9,FALSE)="",0,100)</f>
        <v>#N/A</v>
      </c>
      <c r="FU19" s="19" t="e">
        <f>IF(VLOOKUP(FU$2,Table2[[#All],[RC]:[Total External Corrosion Score]],9,FALSE)="",0,100)</f>
        <v>#N/A</v>
      </c>
      <c r="FV19" s="19" t="e">
        <f>IF(VLOOKUP(FV$2,Table2[[#All],[RC]:[Total External Corrosion Score]],9,FALSE)="",0,100)</f>
        <v>#N/A</v>
      </c>
    </row>
    <row r="20" spans="1:178">
      <c r="A20" s="61" t="s">
        <v>121</v>
      </c>
      <c r="B20" s="19" t="e">
        <f>IF(VLOOKUP(B$2,Table2[[#All],[RC]:[Total External Corrosion Score]],10,FALSE)="",0,100)</f>
        <v>#N/A</v>
      </c>
      <c r="C20" s="19" t="e">
        <f>IF(VLOOKUP(C$2,Table2[[#All],[RC]:[Total External Corrosion Score]],10,FALSE)="",0,100)</f>
        <v>#N/A</v>
      </c>
      <c r="D20" s="19">
        <f>IF(VLOOKUP(D$2,Table2[[#All],[RC]:[Total External Corrosion Score]],10,FALSE)="",0,100)</f>
        <v>100</v>
      </c>
      <c r="E20" s="19">
        <f>IF(VLOOKUP(E$2,Table2[[#All],[RC]:[Total External Corrosion Score]],10,FALSE)="",0,100)</f>
        <v>100</v>
      </c>
      <c r="F20" s="19">
        <f>IF(VLOOKUP(F$2,Table2[[#All],[RC]:[Total External Corrosion Score]],10,FALSE)="",0,100)</f>
        <v>100</v>
      </c>
      <c r="G20" s="19">
        <f>IF(VLOOKUP(G$2,Table2[[#All],[RC]:[Total External Corrosion Score]],10,FALSE)="",0,100)</f>
        <v>100</v>
      </c>
      <c r="H20" s="19">
        <f>IF(VLOOKUP(H$2,Table2[[#All],[RC]:[Total External Corrosion Score]],10,FALSE)="",0,100)</f>
        <v>100</v>
      </c>
      <c r="I20" s="19">
        <f>IF(VLOOKUP(I$2,Table2[[#All],[RC]:[Total External Corrosion Score]],10,FALSE)="",0,100)</f>
        <v>100</v>
      </c>
      <c r="J20" s="19">
        <f>IF(VLOOKUP(J$2,Table2[[#All],[RC]:[Total External Corrosion Score]],10,FALSE)="",0,100)</f>
        <v>100</v>
      </c>
      <c r="K20" s="19">
        <f>IF(VLOOKUP(K$2,Table2[[#All],[RC]:[Total External Corrosion Score]],10,FALSE)="",0,100)</f>
        <v>100</v>
      </c>
      <c r="L20" s="19">
        <f>IF(VLOOKUP(L$2,Table2[[#All],[RC]:[Total External Corrosion Score]],10,FALSE)="",0,100)</f>
        <v>100</v>
      </c>
      <c r="M20" s="19" t="e">
        <f>IF(VLOOKUP(M$2,Table2[[#All],[RC]:[Total External Corrosion Score]],10,FALSE)="",0,100)</f>
        <v>#N/A</v>
      </c>
      <c r="N20" s="19">
        <f>IF(VLOOKUP(N$2,Table2[[#All],[RC]:[Total External Corrosion Score]],10,FALSE)="",0,100)</f>
        <v>100</v>
      </c>
      <c r="O20" s="19">
        <f>IF(VLOOKUP(O$2,Table2[[#All],[RC]:[Total External Corrosion Score]],10,FALSE)="",0,100)</f>
        <v>100</v>
      </c>
      <c r="P20" s="19">
        <f>IF(VLOOKUP(P$2,Table2[[#All],[RC]:[Total External Corrosion Score]],10,FALSE)="",0,100)</f>
        <v>100</v>
      </c>
      <c r="Q20" s="19">
        <f>IF(VLOOKUP(Q$2,Table2[[#All],[RC]:[Total External Corrosion Score]],10,FALSE)="",0,100)</f>
        <v>100</v>
      </c>
      <c r="R20" s="19">
        <f>IF(VLOOKUP(R$2,Table2[[#All],[RC]:[Total External Corrosion Score]],10,FALSE)="",0,100)</f>
        <v>100</v>
      </c>
      <c r="S20" s="19">
        <f>IF(VLOOKUP(S$2,Table2[[#All],[RC]:[Total External Corrosion Score]],10,FALSE)="",0,100)</f>
        <v>100</v>
      </c>
      <c r="T20" s="19">
        <f>IF(VLOOKUP(T$2,Table2[[#All],[RC]:[Total External Corrosion Score]],10,FALSE)="",0,100)</f>
        <v>100</v>
      </c>
      <c r="U20" s="19">
        <f>IF(VLOOKUP(U$2,Table2[[#All],[RC]:[Total External Corrosion Score]],10,FALSE)="",0,100)</f>
        <v>100</v>
      </c>
      <c r="V20" s="19">
        <f>IF(VLOOKUP(V$2,Table2[[#All],[RC]:[Total External Corrosion Score]],10,FALSE)="",0,100)</f>
        <v>100</v>
      </c>
      <c r="W20" s="19">
        <f>IF(VLOOKUP(W$2,Table2[[#All],[RC]:[Total External Corrosion Score]],10,FALSE)="",0,100)</f>
        <v>100</v>
      </c>
      <c r="X20" s="19">
        <f>IF(VLOOKUP(X$2,Table2[[#All],[RC]:[Total External Corrosion Score]],10,FALSE)="",0,100)</f>
        <v>100</v>
      </c>
      <c r="Y20" s="19" t="e">
        <f>IF(VLOOKUP(Y$2,Table2[[#All],[RC]:[Total External Corrosion Score]],10,FALSE)="",0,100)</f>
        <v>#N/A</v>
      </c>
      <c r="Z20" s="19" t="e">
        <f>IF(VLOOKUP(Z$2,Table2[[#All],[RC]:[Total External Corrosion Score]],10,FALSE)="",0,100)</f>
        <v>#N/A</v>
      </c>
      <c r="AA20" s="19">
        <f>IF(VLOOKUP(AA$2,Table2[[#All],[RC]:[Total External Corrosion Score]],10,FALSE)="",0,100)</f>
        <v>100</v>
      </c>
      <c r="AB20" s="19">
        <f>IF(VLOOKUP(AB$2,Table2[[#All],[RC]:[Total External Corrosion Score]],10,FALSE)="",0,100)</f>
        <v>100</v>
      </c>
      <c r="AC20" s="19">
        <f>IF(VLOOKUP(AC$2,Table2[[#All],[RC]:[Total External Corrosion Score]],10,FALSE)="",0,100)</f>
        <v>100</v>
      </c>
      <c r="AD20" s="19">
        <f>IF(VLOOKUP(AD$2,Table2[[#All],[RC]:[Total External Corrosion Score]],10,FALSE)="",0,100)</f>
        <v>100</v>
      </c>
      <c r="AE20" s="19" t="e">
        <f>IF(VLOOKUP(AE$2,Table2[[#All],[RC]:[Total External Corrosion Score]],10,FALSE)="",0,100)</f>
        <v>#N/A</v>
      </c>
      <c r="AF20" s="19">
        <f>IF(VLOOKUP(AF$2,Table2[[#All],[RC]:[Total External Corrosion Score]],10,FALSE)="",0,100)</f>
        <v>100</v>
      </c>
      <c r="AG20" s="19">
        <f>IF(VLOOKUP(AG$2,Table2[[#All],[RC]:[Total External Corrosion Score]],10,FALSE)="",0,100)</f>
        <v>100</v>
      </c>
      <c r="AH20" s="19">
        <f>IF(VLOOKUP(AH$2,Table2[[#All],[RC]:[Total External Corrosion Score]],10,FALSE)="",0,100)</f>
        <v>100</v>
      </c>
      <c r="AI20" s="19">
        <f>IF(VLOOKUP(AI$2,Table2[[#All],[RC]:[Total External Corrosion Score]],10,FALSE)="",0,100)</f>
        <v>100</v>
      </c>
      <c r="AJ20" s="19">
        <f>IF(VLOOKUP(AJ$2,Table2[[#All],[RC]:[Total External Corrosion Score]],10,FALSE)="",0,100)</f>
        <v>100</v>
      </c>
      <c r="AK20" s="19">
        <f>IF(VLOOKUP(AK$2,Table2[[#All],[RC]:[Total External Corrosion Score]],10,FALSE)="",0,100)</f>
        <v>100</v>
      </c>
      <c r="AL20" s="19" t="e">
        <f>IF(VLOOKUP(AL$2,Table2[[#All],[RC]:[Total External Corrosion Score]],10,FALSE)="",0,100)</f>
        <v>#N/A</v>
      </c>
      <c r="AM20" s="19" t="e">
        <f>IF(VLOOKUP(AM$2,Table2[[#All],[RC]:[Total External Corrosion Score]],10,FALSE)="",0,100)</f>
        <v>#N/A</v>
      </c>
      <c r="AN20" s="19" t="e">
        <f>IF(VLOOKUP(AN$2,Table2[[#All],[RC]:[Total External Corrosion Score]],10,FALSE)="",0,100)</f>
        <v>#N/A</v>
      </c>
      <c r="AO20" s="19">
        <f>IF(VLOOKUP(AO$2,Table2[[#All],[RC]:[Total External Corrosion Score]],10,FALSE)="",0,100)</f>
        <v>100</v>
      </c>
      <c r="AP20" s="19">
        <f>IF(VLOOKUP(AP$2,Table2[[#All],[RC]:[Total External Corrosion Score]],10,FALSE)="",0,100)</f>
        <v>100</v>
      </c>
      <c r="AQ20" s="19" t="e">
        <f>IF(VLOOKUP(AQ$2,Table2[[#All],[RC]:[Total External Corrosion Score]],10,FALSE)="",0,100)</f>
        <v>#N/A</v>
      </c>
      <c r="AR20" s="19" t="e">
        <f>IF(VLOOKUP(AR$2,Table2[[#All],[RC]:[Total External Corrosion Score]],10,FALSE)="",0,100)</f>
        <v>#N/A</v>
      </c>
      <c r="AS20" s="19" t="e">
        <f>IF(VLOOKUP(AS$2,Table2[[#All],[RC]:[Total External Corrosion Score]],10,FALSE)="",0,100)</f>
        <v>#N/A</v>
      </c>
      <c r="AT20" s="19">
        <f>IF(VLOOKUP(AT$2,Table2[[#All],[RC]:[Total External Corrosion Score]],10,FALSE)="",0,100)</f>
        <v>100</v>
      </c>
      <c r="AU20" s="19">
        <f>IF(VLOOKUP(AU$2,Table2[[#All],[RC]:[Total External Corrosion Score]],10,FALSE)="",0,100)</f>
        <v>100</v>
      </c>
      <c r="AV20" s="19">
        <f>IF(VLOOKUP(AV$2,Table2[[#All],[RC]:[Total External Corrosion Score]],10,FALSE)="",0,100)</f>
        <v>100</v>
      </c>
      <c r="AW20" s="19" t="e">
        <f>IF(VLOOKUP(AW$2,Table2[[#All],[RC]:[Total External Corrosion Score]],10,FALSE)="",0,100)</f>
        <v>#N/A</v>
      </c>
      <c r="AX20" s="19">
        <f>IF(VLOOKUP(AX$2,Table2[[#All],[RC]:[Total External Corrosion Score]],10,FALSE)="",0,100)</f>
        <v>100</v>
      </c>
      <c r="AY20" s="19">
        <f>IF(VLOOKUP(AY$2,Table2[[#All],[RC]:[Total External Corrosion Score]],10,FALSE)="",0,100)</f>
        <v>100</v>
      </c>
      <c r="AZ20" s="19">
        <f>IF(VLOOKUP(AZ$2,Table2[[#All],[RC]:[Total External Corrosion Score]],10,FALSE)="",0,100)</f>
        <v>100</v>
      </c>
      <c r="BA20" s="19" t="e">
        <f>IF(VLOOKUP(BA$2,Table2[[#All],[RC]:[Total External Corrosion Score]],10,FALSE)="",0,100)</f>
        <v>#N/A</v>
      </c>
      <c r="BB20" s="19">
        <f>IF(VLOOKUP(BB$2,Table2[[#All],[RC]:[Total External Corrosion Score]],10,FALSE)="",0,100)</f>
        <v>100</v>
      </c>
      <c r="BC20" s="19">
        <f>IF(VLOOKUP(BC$2,Table2[[#All],[RC]:[Total External Corrosion Score]],10,FALSE)="",0,100)</f>
        <v>100</v>
      </c>
      <c r="BD20" s="19" t="e">
        <f>IF(VLOOKUP(BD$2,Table2[[#All],[RC]:[Total External Corrosion Score]],10,FALSE)="",0,100)</f>
        <v>#N/A</v>
      </c>
      <c r="BE20" s="19">
        <f>IF(VLOOKUP(BE$2,Table2[[#All],[RC]:[Total External Corrosion Score]],10,FALSE)="",0,100)</f>
        <v>100</v>
      </c>
      <c r="BF20" s="19">
        <f>IF(VLOOKUP(BF$2,Table2[[#All],[RC]:[Total External Corrosion Score]],10,FALSE)="",0,100)</f>
        <v>100</v>
      </c>
      <c r="BG20" s="19">
        <f>IF(VLOOKUP(BG$2,Table2[[#All],[RC]:[Total External Corrosion Score]],10,FALSE)="",0,100)</f>
        <v>100</v>
      </c>
      <c r="BH20" s="19" t="e">
        <f>IF(VLOOKUP(BH$2,Table2[[#All],[RC]:[Total External Corrosion Score]],10,FALSE)="",0,100)</f>
        <v>#N/A</v>
      </c>
      <c r="BI20" s="19" t="e">
        <f>IF(VLOOKUP(BI$2,Table2[[#All],[RC]:[Total External Corrosion Score]],10,FALSE)="",0,100)</f>
        <v>#N/A</v>
      </c>
      <c r="BJ20" s="19" t="e">
        <f>IF(VLOOKUP(BJ$2,Table2[[#All],[RC]:[Total External Corrosion Score]],10,FALSE)="",0,100)</f>
        <v>#N/A</v>
      </c>
      <c r="BK20" s="19">
        <f>IF(VLOOKUP(BK$2,Table2[[#All],[RC]:[Total External Corrosion Score]],10,FALSE)="",0,100)</f>
        <v>100</v>
      </c>
      <c r="BL20" s="19">
        <f>IF(VLOOKUP(BL$2,Table2[[#All],[RC]:[Total External Corrosion Score]],10,FALSE)="",0,100)</f>
        <v>100</v>
      </c>
      <c r="BM20" s="19" t="e">
        <f>IF(VLOOKUP(BM$2,Table2[[#All],[RC]:[Total External Corrosion Score]],10,FALSE)="",0,100)</f>
        <v>#N/A</v>
      </c>
      <c r="BN20" s="19">
        <f>IF(VLOOKUP(BN$2,Table2[[#All],[RC]:[Total External Corrosion Score]],10,FALSE)="",0,100)</f>
        <v>100</v>
      </c>
      <c r="BO20" s="19">
        <f>IF(VLOOKUP(BO$2,Table2[[#All],[RC]:[Total External Corrosion Score]],10,FALSE)="",0,100)</f>
        <v>100</v>
      </c>
      <c r="BP20" s="19">
        <f>IF(VLOOKUP(BP$2,Table2[[#All],[RC]:[Total External Corrosion Score]],10,FALSE)="",0,100)</f>
        <v>100</v>
      </c>
      <c r="BQ20" s="19">
        <f>IF(VLOOKUP(BQ$2,Table2[[#All],[RC]:[Total External Corrosion Score]],10,FALSE)="",0,100)</f>
        <v>100</v>
      </c>
      <c r="BR20" s="19">
        <f>IF(VLOOKUP(BR$2,Table2[[#All],[RC]:[Total External Corrosion Score]],10,FALSE)="",0,100)</f>
        <v>100</v>
      </c>
      <c r="BS20" s="19">
        <f>IF(VLOOKUP(BS$2,Table2[[#All],[RC]:[Total External Corrosion Score]],10,FALSE)="",0,100)</f>
        <v>100</v>
      </c>
      <c r="BT20" s="19" t="e">
        <f>IF(VLOOKUP(BT$2,Table2[[#All],[RC]:[Total External Corrosion Score]],10,FALSE)="",0,100)</f>
        <v>#N/A</v>
      </c>
      <c r="BU20" s="19">
        <f>IF(VLOOKUP(BU$2,Table2[[#All],[RC]:[Total External Corrosion Score]],10,FALSE)="",0,100)</f>
        <v>100</v>
      </c>
      <c r="BV20" s="19" t="e">
        <f>IF(VLOOKUP(BV$2,Table2[[#All],[RC]:[Total External Corrosion Score]],10,FALSE)="",0,100)</f>
        <v>#N/A</v>
      </c>
      <c r="BW20" s="19">
        <f>IF(VLOOKUP(BW$2,Table2[[#All],[RC]:[Total External Corrosion Score]],10,FALSE)="",0,100)</f>
        <v>100</v>
      </c>
      <c r="BX20" s="19">
        <f>IF(VLOOKUP(BX$2,Table2[[#All],[RC]:[Total External Corrosion Score]],10,FALSE)="",0,100)</f>
        <v>100</v>
      </c>
      <c r="BY20" s="19">
        <f>IF(VLOOKUP(BY$2,Table2[[#All],[RC]:[Total External Corrosion Score]],10,FALSE)="",0,100)</f>
        <v>100</v>
      </c>
      <c r="BZ20" s="19">
        <f>IF(VLOOKUP(BZ$2,Table2[[#All],[RC]:[Total External Corrosion Score]],10,FALSE)="",0,100)</f>
        <v>100</v>
      </c>
      <c r="CA20" s="19">
        <f>IF(VLOOKUP(CA$2,Table2[[#All],[RC]:[Total External Corrosion Score]],10,FALSE)="",0,100)</f>
        <v>100</v>
      </c>
      <c r="CB20" s="19" t="e">
        <f>IF(VLOOKUP(CB$2,Table2[[#All],[RC]:[Total External Corrosion Score]],10,FALSE)="",0,100)</f>
        <v>#N/A</v>
      </c>
      <c r="CC20" s="19" t="e">
        <f>IF(VLOOKUP(CC$2,Table2[[#All],[RC]:[Total External Corrosion Score]],10,FALSE)="",0,100)</f>
        <v>#N/A</v>
      </c>
      <c r="CD20" s="19">
        <f>IF(VLOOKUP(CD$2,Table2[[#All],[RC]:[Total External Corrosion Score]],10,FALSE)="",0,100)</f>
        <v>100</v>
      </c>
      <c r="CE20" s="19">
        <f>IF(VLOOKUP(CE$2,Table2[[#All],[RC]:[Total External Corrosion Score]],10,FALSE)="",0,100)</f>
        <v>100</v>
      </c>
      <c r="CF20" s="19">
        <f>IF(VLOOKUP(CF$2,Table2[[#All],[RC]:[Total External Corrosion Score]],10,FALSE)="",0,100)</f>
        <v>100</v>
      </c>
      <c r="CG20" s="19">
        <f>IF(VLOOKUP(CG$2,Table2[[#All],[RC]:[Total External Corrosion Score]],10,FALSE)="",0,100)</f>
        <v>100</v>
      </c>
      <c r="CH20" s="19">
        <f>IF(VLOOKUP(CH$2,Table2[[#All],[RC]:[Total External Corrosion Score]],10,FALSE)="",0,100)</f>
        <v>100</v>
      </c>
      <c r="CI20" s="19">
        <f>IF(VLOOKUP(CI$2,Table2[[#All],[RC]:[Total External Corrosion Score]],10,FALSE)="",0,100)</f>
        <v>100</v>
      </c>
      <c r="CJ20" s="19">
        <f>IF(VLOOKUP(CJ$2,Table2[[#All],[RC]:[Total External Corrosion Score]],10,FALSE)="",0,100)</f>
        <v>100</v>
      </c>
      <c r="CK20" s="19">
        <f>IF(VLOOKUP(CK$2,Table2[[#All],[RC]:[Total External Corrosion Score]],10,FALSE)="",0,100)</f>
        <v>100</v>
      </c>
      <c r="CL20" s="19">
        <f>IF(VLOOKUP(CL$2,Table2[[#All],[RC]:[Total External Corrosion Score]],10,FALSE)="",0,100)</f>
        <v>100</v>
      </c>
      <c r="CM20" s="19">
        <f>IF(VLOOKUP(CM$2,Table2[[#All],[RC]:[Total External Corrosion Score]],10,FALSE)="",0,100)</f>
        <v>100</v>
      </c>
      <c r="CN20" s="19">
        <f>IF(VLOOKUP(CN$2,Table2[[#All],[RC]:[Total External Corrosion Score]],10,FALSE)="",0,100)</f>
        <v>100</v>
      </c>
      <c r="CO20" s="19">
        <f>IF(VLOOKUP(CO$2,Table2[[#All],[RC]:[Total External Corrosion Score]],10,FALSE)="",0,100)</f>
        <v>100</v>
      </c>
      <c r="CP20" s="19">
        <f>IF(VLOOKUP(CP$2,Table2[[#All],[RC]:[Total External Corrosion Score]],10,FALSE)="",0,100)</f>
        <v>100</v>
      </c>
      <c r="CQ20" s="19">
        <f>IF(VLOOKUP(CQ$2,Table2[[#All],[RC]:[Total External Corrosion Score]],10,FALSE)="",0,100)</f>
        <v>100</v>
      </c>
      <c r="CR20" s="19">
        <f>IF(VLOOKUP(CR$2,Table2[[#All],[RC]:[Total External Corrosion Score]],10,FALSE)="",0,100)</f>
        <v>100</v>
      </c>
      <c r="CS20" s="19">
        <f>IF(VLOOKUP(CS$2,Table2[[#All],[RC]:[Total External Corrosion Score]],10,FALSE)="",0,100)</f>
        <v>100</v>
      </c>
      <c r="CT20" s="19">
        <f>IF(VLOOKUP(CT$2,Table2[[#All],[RC]:[Total External Corrosion Score]],10,FALSE)="",0,100)</f>
        <v>100</v>
      </c>
      <c r="CU20" s="19">
        <f>IF(VLOOKUP(CU$2,Table2[[#All],[RC]:[Total External Corrosion Score]],10,FALSE)="",0,100)</f>
        <v>100</v>
      </c>
      <c r="CV20" s="19">
        <f>IF(VLOOKUP(CV$2,Table2[[#All],[RC]:[Total External Corrosion Score]],10,FALSE)="",0,100)</f>
        <v>100</v>
      </c>
      <c r="CW20" s="19">
        <f>IF(VLOOKUP(CW$2,Table2[[#All],[RC]:[Total External Corrosion Score]],10,FALSE)="",0,100)</f>
        <v>100</v>
      </c>
      <c r="CX20" s="19">
        <f>IF(VLOOKUP(CX$2,Table2[[#All],[RC]:[Total External Corrosion Score]],10,FALSE)="",0,100)</f>
        <v>100</v>
      </c>
      <c r="CY20" s="19">
        <f>IF(VLOOKUP(CY$2,Table2[[#All],[RC]:[Total External Corrosion Score]],10,FALSE)="",0,100)</f>
        <v>100</v>
      </c>
      <c r="CZ20" s="19">
        <f>IF(VLOOKUP(CZ$2,Table2[[#All],[RC]:[Total External Corrosion Score]],10,FALSE)="",0,100)</f>
        <v>100</v>
      </c>
      <c r="DA20" s="19">
        <f>IF(VLOOKUP(DA$2,Table2[[#All],[RC]:[Total External Corrosion Score]],10,FALSE)="",0,100)</f>
        <v>100</v>
      </c>
      <c r="DB20" s="19">
        <f>IF(VLOOKUP(DB$2,Table2[[#All],[RC]:[Total External Corrosion Score]],10,FALSE)="",0,100)</f>
        <v>100</v>
      </c>
      <c r="DC20" s="19">
        <f>IF(VLOOKUP(DC$2,Table2[[#All],[RC]:[Total External Corrosion Score]],10,FALSE)="",0,100)</f>
        <v>100</v>
      </c>
      <c r="DD20" s="19">
        <f>IF(VLOOKUP(DD$2,Table2[[#All],[RC]:[Total External Corrosion Score]],10,FALSE)="",0,100)</f>
        <v>100</v>
      </c>
      <c r="DE20" s="19">
        <f>IF(VLOOKUP(DE$2,Table2[[#All],[RC]:[Total External Corrosion Score]],10,FALSE)="",0,100)</f>
        <v>100</v>
      </c>
      <c r="DF20" s="19">
        <f>IF(VLOOKUP(DF$2,Table2[[#All],[RC]:[Total External Corrosion Score]],10,FALSE)="",0,100)</f>
        <v>100</v>
      </c>
      <c r="DG20" s="19" t="e">
        <f>IF(VLOOKUP(DG$2,Table2[[#All],[RC]:[Total External Corrosion Score]],10,FALSE)="",0,100)</f>
        <v>#N/A</v>
      </c>
      <c r="DH20" s="19" t="e">
        <f>IF(VLOOKUP(DH$2,Table2[[#All],[RC]:[Total External Corrosion Score]],10,FALSE)="",0,100)</f>
        <v>#N/A</v>
      </c>
      <c r="DI20" s="19" t="e">
        <f>IF(VLOOKUP(DI$2,Table2[[#All],[RC]:[Total External Corrosion Score]],10,FALSE)="",0,100)</f>
        <v>#N/A</v>
      </c>
      <c r="DJ20" s="19">
        <f>IF(VLOOKUP(DJ$2,Table2[[#All],[RC]:[Total External Corrosion Score]],10,FALSE)="",0,100)</f>
        <v>100</v>
      </c>
      <c r="DK20" s="19">
        <f>IF(VLOOKUP(DK$2,Table2[[#All],[RC]:[Total External Corrosion Score]],10,FALSE)="",0,100)</f>
        <v>100</v>
      </c>
      <c r="DL20" s="19">
        <f>IF(VLOOKUP(DL$2,Table2[[#All],[RC]:[Total External Corrosion Score]],10,FALSE)="",0,100)</f>
        <v>100</v>
      </c>
      <c r="DM20" s="19">
        <f>IF(VLOOKUP(DM$2,Table2[[#All],[RC]:[Total External Corrosion Score]],10,FALSE)="",0,100)</f>
        <v>100</v>
      </c>
      <c r="DN20" s="19">
        <f>IF(VLOOKUP(DN$2,Table2[[#All],[RC]:[Total External Corrosion Score]],10,FALSE)="",0,100)</f>
        <v>100</v>
      </c>
      <c r="DO20" s="19">
        <f>IF(VLOOKUP(DO$2,Table2[[#All],[RC]:[Total External Corrosion Score]],10,FALSE)="",0,100)</f>
        <v>100</v>
      </c>
      <c r="DP20" s="19" t="e">
        <f>IF(VLOOKUP(DP$2,Table2[[#All],[RC]:[Total External Corrosion Score]],10,FALSE)="",0,100)</f>
        <v>#N/A</v>
      </c>
      <c r="DQ20" s="19" t="e">
        <f>IF(VLOOKUP(DQ$2,Table2[[#All],[RC]:[Total External Corrosion Score]],10,FALSE)="",0,100)</f>
        <v>#N/A</v>
      </c>
      <c r="DR20" s="19" t="e">
        <f>IF(VLOOKUP(DR$2,Table2[[#All],[RC]:[Total External Corrosion Score]],10,FALSE)="",0,100)</f>
        <v>#N/A</v>
      </c>
      <c r="DS20" s="19" t="e">
        <f>IF(VLOOKUP(DS$2,Table2[[#All],[RC]:[Total External Corrosion Score]],10,FALSE)="",0,100)</f>
        <v>#N/A</v>
      </c>
      <c r="DT20" s="19">
        <f>IF(VLOOKUP(DT$2,Table2[[#All],[RC]:[Total External Corrosion Score]],10,FALSE)="",0,100)</f>
        <v>100</v>
      </c>
      <c r="DU20" s="19" t="e">
        <f>IF(VLOOKUP(DU$2,Table2[[#All],[RC]:[Total External Corrosion Score]],10,FALSE)="",0,100)</f>
        <v>#N/A</v>
      </c>
      <c r="DV20" s="19" t="e">
        <f>IF(VLOOKUP(DV$2,Table2[[#All],[RC]:[Total External Corrosion Score]],10,FALSE)="",0,100)</f>
        <v>#N/A</v>
      </c>
      <c r="DW20" s="19">
        <f>IF(VLOOKUP(DW$2,Table2[[#All],[RC]:[Total External Corrosion Score]],10,FALSE)="",0,100)</f>
        <v>100</v>
      </c>
      <c r="DX20" s="19">
        <f>IF(VLOOKUP(DX$2,Table2[[#All],[RC]:[Total External Corrosion Score]],10,FALSE)="",0,100)</f>
        <v>100</v>
      </c>
      <c r="DY20" s="19">
        <f>IF(VLOOKUP(DY$2,Table2[[#All],[RC]:[Total External Corrosion Score]],10,FALSE)="",0,100)</f>
        <v>100</v>
      </c>
      <c r="DZ20" s="19">
        <f>IF(VLOOKUP(DZ$2,Table2[[#All],[RC]:[Total External Corrosion Score]],10,FALSE)="",0,100)</f>
        <v>100</v>
      </c>
      <c r="EA20" s="19" t="e">
        <f>IF(VLOOKUP(EA$2,Table2[[#All],[RC]:[Total External Corrosion Score]],10,FALSE)="",0,100)</f>
        <v>#N/A</v>
      </c>
      <c r="EB20" s="19" t="e">
        <f>IF(VLOOKUP(EB$2,Table2[[#All],[RC]:[Total External Corrosion Score]],10,FALSE)="",0,100)</f>
        <v>#N/A</v>
      </c>
      <c r="EC20" s="19">
        <f>IF(VLOOKUP(EC$2,Table2[[#All],[RC]:[Total External Corrosion Score]],10,FALSE)="",0,100)</f>
        <v>100</v>
      </c>
      <c r="ED20" s="19">
        <f>IF(VLOOKUP(ED$2,Table2[[#All],[RC]:[Total External Corrosion Score]],10,FALSE)="",0,100)</f>
        <v>100</v>
      </c>
      <c r="EE20" s="19" t="e">
        <f>IF(VLOOKUP(EE$2,Table2[[#All],[RC]:[Total External Corrosion Score]],10,FALSE)="",0,100)</f>
        <v>#N/A</v>
      </c>
      <c r="EF20" s="19">
        <f>IF(VLOOKUP(EF$2,Table2[[#All],[RC]:[Total External Corrosion Score]],10,FALSE)="",0,100)</f>
        <v>100</v>
      </c>
      <c r="EG20" s="19">
        <f>IF(VLOOKUP(EG$2,Table2[[#All],[RC]:[Total External Corrosion Score]],10,FALSE)="",0,100)</f>
        <v>100</v>
      </c>
      <c r="EH20" s="19">
        <f>IF(VLOOKUP(EH$2,Table2[[#All],[RC]:[Total External Corrosion Score]],10,FALSE)="",0,100)</f>
        <v>100</v>
      </c>
      <c r="EI20" s="19">
        <f>IF(VLOOKUP(EI$2,Table2[[#All],[RC]:[Total External Corrosion Score]],10,FALSE)="",0,100)</f>
        <v>100</v>
      </c>
      <c r="EJ20" s="19">
        <f>IF(VLOOKUP(EJ$2,Table2[[#All],[RC]:[Total External Corrosion Score]],10,FALSE)="",0,100)</f>
        <v>100</v>
      </c>
      <c r="EK20" s="19" t="e">
        <f>IF(VLOOKUP(EK$2,Table2[[#All],[RC]:[Total External Corrosion Score]],10,FALSE)="",0,100)</f>
        <v>#N/A</v>
      </c>
      <c r="EL20" s="19" t="e">
        <f>IF(VLOOKUP(EL$2,Table2[[#All],[RC]:[Total External Corrosion Score]],10,FALSE)="",0,100)</f>
        <v>#N/A</v>
      </c>
      <c r="EM20" s="19" t="e">
        <f>IF(VLOOKUP(EM$2,Table2[[#All],[RC]:[Total External Corrosion Score]],10,FALSE)="",0,100)</f>
        <v>#N/A</v>
      </c>
      <c r="EN20" s="19" t="e">
        <f>IF(VLOOKUP(EN$2,Table2[[#All],[RC]:[Total External Corrosion Score]],10,FALSE)="",0,100)</f>
        <v>#N/A</v>
      </c>
      <c r="EO20" s="19" t="e">
        <f>IF(VLOOKUP(EO$2,Table2[[#All],[RC]:[Total External Corrosion Score]],10,FALSE)="",0,100)</f>
        <v>#N/A</v>
      </c>
      <c r="EP20" s="19" t="e">
        <f>IF(VLOOKUP(EP$2,Table2[[#All],[RC]:[Total External Corrosion Score]],10,FALSE)="",0,100)</f>
        <v>#N/A</v>
      </c>
      <c r="EQ20" s="19" t="e">
        <f>IF(VLOOKUP(EQ$2,Table2[[#All],[RC]:[Total External Corrosion Score]],10,FALSE)="",0,100)</f>
        <v>#N/A</v>
      </c>
      <c r="ER20" s="19" t="e">
        <f>IF(VLOOKUP(ER$2,Table2[[#All],[RC]:[Total External Corrosion Score]],10,FALSE)="",0,100)</f>
        <v>#N/A</v>
      </c>
      <c r="ES20" s="19">
        <f>IF(VLOOKUP(ES$2,Table2[[#All],[RC]:[Total External Corrosion Score]],10,FALSE)="",0,100)</f>
        <v>100</v>
      </c>
      <c r="ET20" s="19">
        <f>IF(VLOOKUP(ET$2,Table2[[#All],[RC]:[Total External Corrosion Score]],10,FALSE)="",0,100)</f>
        <v>100</v>
      </c>
      <c r="EU20" s="19">
        <f>IF(VLOOKUP(EU$2,Table2[[#All],[RC]:[Total External Corrosion Score]],10,FALSE)="",0,100)</f>
        <v>100</v>
      </c>
      <c r="EV20" s="19">
        <f>IF(VLOOKUP(EV$2,Table2[[#All],[RC]:[Total External Corrosion Score]],10,FALSE)="",0,100)</f>
        <v>100</v>
      </c>
      <c r="EW20" s="19">
        <f>IF(VLOOKUP(EW$2,Table2[[#All],[RC]:[Total External Corrosion Score]],10,FALSE)="",0,100)</f>
        <v>100</v>
      </c>
      <c r="EX20" s="19">
        <f>IF(VLOOKUP(EX$2,Table2[[#All],[RC]:[Total External Corrosion Score]],10,FALSE)="",0,100)</f>
        <v>100</v>
      </c>
      <c r="EY20" s="19" t="e">
        <f>IF(VLOOKUP(EY$2,Table2[[#All],[RC]:[Total External Corrosion Score]],10,FALSE)="",0,100)</f>
        <v>#N/A</v>
      </c>
      <c r="EZ20" s="19" t="e">
        <f>IF(VLOOKUP(EZ$2,Table2[[#All],[RC]:[Total External Corrosion Score]],10,FALSE)="",0,100)</f>
        <v>#N/A</v>
      </c>
      <c r="FA20" s="19" t="e">
        <f>IF(VLOOKUP(FA$2,Table2[[#All],[RC]:[Total External Corrosion Score]],10,FALSE)="",0,100)</f>
        <v>#N/A</v>
      </c>
      <c r="FB20" s="19">
        <f>IF(VLOOKUP(FB$2,Table2[[#All],[RC]:[Total External Corrosion Score]],10,FALSE)="",0,100)</f>
        <v>100</v>
      </c>
      <c r="FC20" s="19" t="e">
        <f>IF(VLOOKUP(FC$2,Table2[[#All],[RC]:[Total External Corrosion Score]],10,FALSE)="",0,100)</f>
        <v>#N/A</v>
      </c>
      <c r="FD20" s="19">
        <f>IF(VLOOKUP(FD$2,Table2[[#All],[RC]:[Total External Corrosion Score]],10,FALSE)="",0,100)</f>
        <v>100</v>
      </c>
      <c r="FE20" s="19">
        <f>IF(VLOOKUP(FE$2,Table2[[#All],[RC]:[Total External Corrosion Score]],10,FALSE)="",0,100)</f>
        <v>100</v>
      </c>
      <c r="FF20" s="19">
        <f>IF(VLOOKUP(FF$2,Table2[[#All],[RC]:[Total External Corrosion Score]],10,FALSE)="",0,100)</f>
        <v>100</v>
      </c>
      <c r="FG20" s="19">
        <f>IF(VLOOKUP(FG$2,Table2[[#All],[RC]:[Total External Corrosion Score]],10,FALSE)="",0,100)</f>
        <v>100</v>
      </c>
      <c r="FH20" s="19" t="e">
        <f>IF(VLOOKUP(FH$2,Table2[[#All],[RC]:[Total External Corrosion Score]],10,FALSE)="",0,100)</f>
        <v>#N/A</v>
      </c>
      <c r="FI20" s="19" t="e">
        <f>IF(VLOOKUP(FI$2,Table2[[#All],[RC]:[Total External Corrosion Score]],10,FALSE)="",0,100)</f>
        <v>#N/A</v>
      </c>
      <c r="FJ20" s="19">
        <f>IF(VLOOKUP(FJ$2,Table2[[#All],[RC]:[Total External Corrosion Score]],10,FALSE)="",0,100)</f>
        <v>100</v>
      </c>
      <c r="FK20" s="19">
        <f>IF(VLOOKUP(FK$2,Table2[[#All],[RC]:[Total External Corrosion Score]],10,FALSE)="",0,100)</f>
        <v>100</v>
      </c>
      <c r="FL20" s="19" t="e">
        <f>IF(VLOOKUP(FL$2,Table2[[#All],[RC]:[Total External Corrosion Score]],10,FALSE)="",0,100)</f>
        <v>#N/A</v>
      </c>
      <c r="FM20" s="19" t="e">
        <f>IF(VLOOKUP(FM$2,Table2[[#All],[RC]:[Total External Corrosion Score]],10,FALSE)="",0,100)</f>
        <v>#N/A</v>
      </c>
      <c r="FN20" s="19" t="e">
        <f>IF(VLOOKUP(FN$2,Table2[[#All],[RC]:[Total External Corrosion Score]],10,FALSE)="",0,100)</f>
        <v>#N/A</v>
      </c>
      <c r="FO20" s="19">
        <f>IF(VLOOKUP(FO$2,Table2[[#All],[RC]:[Total External Corrosion Score]],10,FALSE)="",0,100)</f>
        <v>100</v>
      </c>
      <c r="FP20" s="19">
        <f>IF(VLOOKUP(FP$2,Table2[[#All],[RC]:[Total External Corrosion Score]],10,FALSE)="",0,100)</f>
        <v>100</v>
      </c>
      <c r="FQ20" s="19">
        <f>IF(VLOOKUP(FQ$2,Table2[[#All],[RC]:[Total External Corrosion Score]],10,FALSE)="",0,100)</f>
        <v>100</v>
      </c>
      <c r="FR20" s="19">
        <f>IF(VLOOKUP(FR$2,Table2[[#All],[RC]:[Total External Corrosion Score]],10,FALSE)="",0,100)</f>
        <v>100</v>
      </c>
      <c r="FS20" s="19" t="e">
        <f>IF(VLOOKUP(FS$2,Table2[[#All],[RC]:[Total External Corrosion Score]],10,FALSE)="",0,100)</f>
        <v>#N/A</v>
      </c>
      <c r="FT20" s="19" t="e">
        <f>IF(VLOOKUP(FT$2,Table2[[#All],[RC]:[Total External Corrosion Score]],10,FALSE)="",0,100)</f>
        <v>#N/A</v>
      </c>
      <c r="FU20" s="19" t="e">
        <f>IF(VLOOKUP(FU$2,Table2[[#All],[RC]:[Total External Corrosion Score]],10,FALSE)="",0,100)</f>
        <v>#N/A</v>
      </c>
      <c r="FV20" s="19" t="e">
        <f>IF(VLOOKUP(FV$2,Table2[[#All],[RC]:[Total External Corrosion Score]],10,FALSE)="",0,100)</f>
        <v>#N/A</v>
      </c>
    </row>
    <row r="21" spans="1:178">
      <c r="A21" s="61" t="s">
        <v>128</v>
      </c>
      <c r="B21" s="19" t="e">
        <f>IF(VLOOKUP(B$2,Table2[[#All],[RC]:[Total External Corrosion Score]],11,FALSE)="",0,100)</f>
        <v>#N/A</v>
      </c>
      <c r="C21" s="19" t="e">
        <f>IF(VLOOKUP(C$2,Table2[[#All],[RC]:[Total External Corrosion Score]],11,FALSE)="",0,100)</f>
        <v>#N/A</v>
      </c>
      <c r="D21" s="19">
        <f>IF(VLOOKUP(D$2,Table2[[#All],[RC]:[Total External Corrosion Score]],11,FALSE)="",0,100)</f>
        <v>100</v>
      </c>
      <c r="E21" s="19">
        <f>IF(VLOOKUP(E$2,Table2[[#All],[RC]:[Total External Corrosion Score]],11,FALSE)="",0,100)</f>
        <v>100</v>
      </c>
      <c r="F21" s="19">
        <f>IF(VLOOKUP(F$2,Table2[[#All],[RC]:[Total External Corrosion Score]],11,FALSE)="",0,100)</f>
        <v>100</v>
      </c>
      <c r="G21" s="19">
        <f>IF(VLOOKUP(G$2,Table2[[#All],[RC]:[Total External Corrosion Score]],11,FALSE)="",0,100)</f>
        <v>100</v>
      </c>
      <c r="H21" s="19">
        <f>IF(VLOOKUP(H$2,Table2[[#All],[RC]:[Total External Corrosion Score]],11,FALSE)="",0,100)</f>
        <v>100</v>
      </c>
      <c r="I21" s="19">
        <f>IF(VLOOKUP(I$2,Table2[[#All],[RC]:[Total External Corrosion Score]],11,FALSE)="",0,100)</f>
        <v>100</v>
      </c>
      <c r="J21" s="19">
        <f>IF(VLOOKUP(J$2,Table2[[#All],[RC]:[Total External Corrosion Score]],11,FALSE)="",0,100)</f>
        <v>100</v>
      </c>
      <c r="K21" s="19">
        <f>IF(VLOOKUP(K$2,Table2[[#All],[RC]:[Total External Corrosion Score]],11,FALSE)="",0,100)</f>
        <v>100</v>
      </c>
      <c r="L21" s="19">
        <f>IF(VLOOKUP(L$2,Table2[[#All],[RC]:[Total External Corrosion Score]],11,FALSE)="",0,100)</f>
        <v>100</v>
      </c>
      <c r="M21" s="19" t="e">
        <f>IF(VLOOKUP(M$2,Table2[[#All],[RC]:[Total External Corrosion Score]],11,FALSE)="",0,100)</f>
        <v>#N/A</v>
      </c>
      <c r="N21" s="19">
        <f>IF(VLOOKUP(N$2,Table2[[#All],[RC]:[Total External Corrosion Score]],11,FALSE)="",0,100)</f>
        <v>100</v>
      </c>
      <c r="O21" s="19">
        <f>IF(VLOOKUP(O$2,Table2[[#All],[RC]:[Total External Corrosion Score]],11,FALSE)="",0,100)</f>
        <v>100</v>
      </c>
      <c r="P21" s="19">
        <f>IF(VLOOKUP(P$2,Table2[[#All],[RC]:[Total External Corrosion Score]],11,FALSE)="",0,100)</f>
        <v>100</v>
      </c>
      <c r="Q21" s="19">
        <f>IF(VLOOKUP(Q$2,Table2[[#All],[RC]:[Total External Corrosion Score]],11,FALSE)="",0,100)</f>
        <v>100</v>
      </c>
      <c r="R21" s="19">
        <f>IF(VLOOKUP(R$2,Table2[[#All],[RC]:[Total External Corrosion Score]],11,FALSE)="",0,100)</f>
        <v>100</v>
      </c>
      <c r="S21" s="19">
        <f>IF(VLOOKUP(S$2,Table2[[#All],[RC]:[Total External Corrosion Score]],11,FALSE)="",0,100)</f>
        <v>100</v>
      </c>
      <c r="T21" s="19">
        <f>IF(VLOOKUP(T$2,Table2[[#All],[RC]:[Total External Corrosion Score]],11,FALSE)="",0,100)</f>
        <v>100</v>
      </c>
      <c r="U21" s="19">
        <f>IF(VLOOKUP(U$2,Table2[[#All],[RC]:[Total External Corrosion Score]],11,FALSE)="",0,100)</f>
        <v>100</v>
      </c>
      <c r="V21" s="19">
        <f>IF(VLOOKUP(V$2,Table2[[#All],[RC]:[Total External Corrosion Score]],11,FALSE)="",0,100)</f>
        <v>100</v>
      </c>
      <c r="W21" s="19">
        <f>IF(VLOOKUP(W$2,Table2[[#All],[RC]:[Total External Corrosion Score]],11,FALSE)="",0,100)</f>
        <v>100</v>
      </c>
      <c r="X21" s="19">
        <f>IF(VLOOKUP(X$2,Table2[[#All],[RC]:[Total External Corrosion Score]],11,FALSE)="",0,100)</f>
        <v>100</v>
      </c>
      <c r="Y21" s="19" t="e">
        <f>IF(VLOOKUP(Y$2,Table2[[#All],[RC]:[Total External Corrosion Score]],11,FALSE)="",0,100)</f>
        <v>#N/A</v>
      </c>
      <c r="Z21" s="19" t="e">
        <f>IF(VLOOKUP(Z$2,Table2[[#All],[RC]:[Total External Corrosion Score]],11,FALSE)="",0,100)</f>
        <v>#N/A</v>
      </c>
      <c r="AA21" s="19">
        <f>IF(VLOOKUP(AA$2,Table2[[#All],[RC]:[Total External Corrosion Score]],11,FALSE)="",0,100)</f>
        <v>100</v>
      </c>
      <c r="AB21" s="19">
        <f>IF(VLOOKUP(AB$2,Table2[[#All],[RC]:[Total External Corrosion Score]],11,FALSE)="",0,100)</f>
        <v>100</v>
      </c>
      <c r="AC21" s="19">
        <f>IF(VLOOKUP(AC$2,Table2[[#All],[RC]:[Total External Corrosion Score]],11,FALSE)="",0,100)</f>
        <v>100</v>
      </c>
      <c r="AD21" s="19">
        <f>IF(VLOOKUP(AD$2,Table2[[#All],[RC]:[Total External Corrosion Score]],11,FALSE)="",0,100)</f>
        <v>100</v>
      </c>
      <c r="AE21" s="19" t="e">
        <f>IF(VLOOKUP(AE$2,Table2[[#All],[RC]:[Total External Corrosion Score]],11,FALSE)="",0,100)</f>
        <v>#N/A</v>
      </c>
      <c r="AF21" s="19">
        <f>IF(VLOOKUP(AF$2,Table2[[#All],[RC]:[Total External Corrosion Score]],11,FALSE)="",0,100)</f>
        <v>100</v>
      </c>
      <c r="AG21" s="19">
        <f>IF(VLOOKUP(AG$2,Table2[[#All],[RC]:[Total External Corrosion Score]],11,FALSE)="",0,100)</f>
        <v>100</v>
      </c>
      <c r="AH21" s="19">
        <f>IF(VLOOKUP(AH$2,Table2[[#All],[RC]:[Total External Corrosion Score]],11,FALSE)="",0,100)</f>
        <v>100</v>
      </c>
      <c r="AI21" s="19">
        <f>IF(VLOOKUP(AI$2,Table2[[#All],[RC]:[Total External Corrosion Score]],11,FALSE)="",0,100)</f>
        <v>100</v>
      </c>
      <c r="AJ21" s="19">
        <f>IF(VLOOKUP(AJ$2,Table2[[#All],[RC]:[Total External Corrosion Score]],11,FALSE)="",0,100)</f>
        <v>100</v>
      </c>
      <c r="AK21" s="19">
        <f>IF(VLOOKUP(AK$2,Table2[[#All],[RC]:[Total External Corrosion Score]],11,FALSE)="",0,100)</f>
        <v>100</v>
      </c>
      <c r="AL21" s="19" t="e">
        <f>IF(VLOOKUP(AL$2,Table2[[#All],[RC]:[Total External Corrosion Score]],11,FALSE)="",0,100)</f>
        <v>#N/A</v>
      </c>
      <c r="AM21" s="19" t="e">
        <f>IF(VLOOKUP(AM$2,Table2[[#All],[RC]:[Total External Corrosion Score]],11,FALSE)="",0,100)</f>
        <v>#N/A</v>
      </c>
      <c r="AN21" s="19" t="e">
        <f>IF(VLOOKUP(AN$2,Table2[[#All],[RC]:[Total External Corrosion Score]],11,FALSE)="",0,100)</f>
        <v>#N/A</v>
      </c>
      <c r="AO21" s="19">
        <f>IF(VLOOKUP(AO$2,Table2[[#All],[RC]:[Total External Corrosion Score]],11,FALSE)="",0,100)</f>
        <v>100</v>
      </c>
      <c r="AP21" s="19">
        <f>IF(VLOOKUP(AP$2,Table2[[#All],[RC]:[Total External Corrosion Score]],11,FALSE)="",0,100)</f>
        <v>100</v>
      </c>
      <c r="AQ21" s="19" t="e">
        <f>IF(VLOOKUP(AQ$2,Table2[[#All],[RC]:[Total External Corrosion Score]],11,FALSE)="",0,100)</f>
        <v>#N/A</v>
      </c>
      <c r="AR21" s="19" t="e">
        <f>IF(VLOOKUP(AR$2,Table2[[#All],[RC]:[Total External Corrosion Score]],11,FALSE)="",0,100)</f>
        <v>#N/A</v>
      </c>
      <c r="AS21" s="19" t="e">
        <f>IF(VLOOKUP(AS$2,Table2[[#All],[RC]:[Total External Corrosion Score]],11,FALSE)="",0,100)</f>
        <v>#N/A</v>
      </c>
      <c r="AT21" s="19">
        <f>IF(VLOOKUP(AT$2,Table2[[#All],[RC]:[Total External Corrosion Score]],11,FALSE)="",0,100)</f>
        <v>100</v>
      </c>
      <c r="AU21" s="19">
        <f>IF(VLOOKUP(AU$2,Table2[[#All],[RC]:[Total External Corrosion Score]],11,FALSE)="",0,100)</f>
        <v>100</v>
      </c>
      <c r="AV21" s="19">
        <f>IF(VLOOKUP(AV$2,Table2[[#All],[RC]:[Total External Corrosion Score]],11,FALSE)="",0,100)</f>
        <v>100</v>
      </c>
      <c r="AW21" s="19" t="e">
        <f>IF(VLOOKUP(AW$2,Table2[[#All],[RC]:[Total External Corrosion Score]],11,FALSE)="",0,100)</f>
        <v>#N/A</v>
      </c>
      <c r="AX21" s="19">
        <f>IF(VLOOKUP(AX$2,Table2[[#All],[RC]:[Total External Corrosion Score]],11,FALSE)="",0,100)</f>
        <v>100</v>
      </c>
      <c r="AY21" s="19">
        <f>IF(VLOOKUP(AY$2,Table2[[#All],[RC]:[Total External Corrosion Score]],11,FALSE)="",0,100)</f>
        <v>100</v>
      </c>
      <c r="AZ21" s="19">
        <f>IF(VLOOKUP(AZ$2,Table2[[#All],[RC]:[Total External Corrosion Score]],11,FALSE)="",0,100)</f>
        <v>100</v>
      </c>
      <c r="BA21" s="19" t="e">
        <f>IF(VLOOKUP(BA$2,Table2[[#All],[RC]:[Total External Corrosion Score]],11,FALSE)="",0,100)</f>
        <v>#N/A</v>
      </c>
      <c r="BB21" s="19">
        <f>IF(VLOOKUP(BB$2,Table2[[#All],[RC]:[Total External Corrosion Score]],11,FALSE)="",0,100)</f>
        <v>100</v>
      </c>
      <c r="BC21" s="19">
        <f>IF(VLOOKUP(BC$2,Table2[[#All],[RC]:[Total External Corrosion Score]],11,FALSE)="",0,100)</f>
        <v>100</v>
      </c>
      <c r="BD21" s="19" t="e">
        <f>IF(VLOOKUP(BD$2,Table2[[#All],[RC]:[Total External Corrosion Score]],11,FALSE)="",0,100)</f>
        <v>#N/A</v>
      </c>
      <c r="BE21" s="19">
        <f>IF(VLOOKUP(BE$2,Table2[[#All],[RC]:[Total External Corrosion Score]],11,FALSE)="",0,100)</f>
        <v>100</v>
      </c>
      <c r="BF21" s="19">
        <f>IF(VLOOKUP(BF$2,Table2[[#All],[RC]:[Total External Corrosion Score]],11,FALSE)="",0,100)</f>
        <v>100</v>
      </c>
      <c r="BG21" s="19">
        <f>IF(VLOOKUP(BG$2,Table2[[#All],[RC]:[Total External Corrosion Score]],11,FALSE)="",0,100)</f>
        <v>100</v>
      </c>
      <c r="BH21" s="19" t="e">
        <f>IF(VLOOKUP(BH$2,Table2[[#All],[RC]:[Total External Corrosion Score]],11,FALSE)="",0,100)</f>
        <v>#N/A</v>
      </c>
      <c r="BI21" s="19" t="e">
        <f>IF(VLOOKUP(BI$2,Table2[[#All],[RC]:[Total External Corrosion Score]],11,FALSE)="",0,100)</f>
        <v>#N/A</v>
      </c>
      <c r="BJ21" s="19" t="e">
        <f>IF(VLOOKUP(BJ$2,Table2[[#All],[RC]:[Total External Corrosion Score]],11,FALSE)="",0,100)</f>
        <v>#N/A</v>
      </c>
      <c r="BK21" s="19">
        <f>IF(VLOOKUP(BK$2,Table2[[#All],[RC]:[Total External Corrosion Score]],11,FALSE)="",0,100)</f>
        <v>100</v>
      </c>
      <c r="BL21" s="19">
        <f>IF(VLOOKUP(BL$2,Table2[[#All],[RC]:[Total External Corrosion Score]],11,FALSE)="",0,100)</f>
        <v>100</v>
      </c>
      <c r="BM21" s="19" t="e">
        <f>IF(VLOOKUP(BM$2,Table2[[#All],[RC]:[Total External Corrosion Score]],11,FALSE)="",0,100)</f>
        <v>#N/A</v>
      </c>
      <c r="BN21" s="19">
        <f>IF(VLOOKUP(BN$2,Table2[[#All],[RC]:[Total External Corrosion Score]],11,FALSE)="",0,100)</f>
        <v>100</v>
      </c>
      <c r="BO21" s="19">
        <f>IF(VLOOKUP(BO$2,Table2[[#All],[RC]:[Total External Corrosion Score]],11,FALSE)="",0,100)</f>
        <v>100</v>
      </c>
      <c r="BP21" s="19">
        <f>IF(VLOOKUP(BP$2,Table2[[#All],[RC]:[Total External Corrosion Score]],11,FALSE)="",0,100)</f>
        <v>100</v>
      </c>
      <c r="BQ21" s="19">
        <f>IF(VLOOKUP(BQ$2,Table2[[#All],[RC]:[Total External Corrosion Score]],11,FALSE)="",0,100)</f>
        <v>100</v>
      </c>
      <c r="BR21" s="19">
        <f>IF(VLOOKUP(BR$2,Table2[[#All],[RC]:[Total External Corrosion Score]],11,FALSE)="",0,100)</f>
        <v>100</v>
      </c>
      <c r="BS21" s="19">
        <f>IF(VLOOKUP(BS$2,Table2[[#All],[RC]:[Total External Corrosion Score]],11,FALSE)="",0,100)</f>
        <v>100</v>
      </c>
      <c r="BT21" s="19" t="e">
        <f>IF(VLOOKUP(BT$2,Table2[[#All],[RC]:[Total External Corrosion Score]],11,FALSE)="",0,100)</f>
        <v>#N/A</v>
      </c>
      <c r="BU21" s="19">
        <f>IF(VLOOKUP(BU$2,Table2[[#All],[RC]:[Total External Corrosion Score]],11,FALSE)="",0,100)</f>
        <v>100</v>
      </c>
      <c r="BV21" s="19" t="e">
        <f>IF(VLOOKUP(BV$2,Table2[[#All],[RC]:[Total External Corrosion Score]],11,FALSE)="",0,100)</f>
        <v>#N/A</v>
      </c>
      <c r="BW21" s="19">
        <f>IF(VLOOKUP(BW$2,Table2[[#All],[RC]:[Total External Corrosion Score]],11,FALSE)="",0,100)</f>
        <v>100</v>
      </c>
      <c r="BX21" s="19">
        <f>IF(VLOOKUP(BX$2,Table2[[#All],[RC]:[Total External Corrosion Score]],11,FALSE)="",0,100)</f>
        <v>100</v>
      </c>
      <c r="BY21" s="19">
        <f>IF(VLOOKUP(BY$2,Table2[[#All],[RC]:[Total External Corrosion Score]],11,FALSE)="",0,100)</f>
        <v>100</v>
      </c>
      <c r="BZ21" s="19">
        <f>IF(VLOOKUP(BZ$2,Table2[[#All],[RC]:[Total External Corrosion Score]],11,FALSE)="",0,100)</f>
        <v>100</v>
      </c>
      <c r="CA21" s="19">
        <f>IF(VLOOKUP(CA$2,Table2[[#All],[RC]:[Total External Corrosion Score]],11,FALSE)="",0,100)</f>
        <v>100</v>
      </c>
      <c r="CB21" s="19" t="e">
        <f>IF(VLOOKUP(CB$2,Table2[[#All],[RC]:[Total External Corrosion Score]],11,FALSE)="",0,100)</f>
        <v>#N/A</v>
      </c>
      <c r="CC21" s="19" t="e">
        <f>IF(VLOOKUP(CC$2,Table2[[#All],[RC]:[Total External Corrosion Score]],11,FALSE)="",0,100)</f>
        <v>#N/A</v>
      </c>
      <c r="CD21" s="19">
        <f>IF(VLOOKUP(CD$2,Table2[[#All],[RC]:[Total External Corrosion Score]],11,FALSE)="",0,100)</f>
        <v>100</v>
      </c>
      <c r="CE21" s="19">
        <f>IF(VLOOKUP(CE$2,Table2[[#All],[RC]:[Total External Corrosion Score]],11,FALSE)="",0,100)</f>
        <v>100</v>
      </c>
      <c r="CF21" s="19">
        <f>IF(VLOOKUP(CF$2,Table2[[#All],[RC]:[Total External Corrosion Score]],11,FALSE)="",0,100)</f>
        <v>100</v>
      </c>
      <c r="CG21" s="19">
        <f>IF(VLOOKUP(CG$2,Table2[[#All],[RC]:[Total External Corrosion Score]],11,FALSE)="",0,100)</f>
        <v>100</v>
      </c>
      <c r="CH21" s="19">
        <f>IF(VLOOKUP(CH$2,Table2[[#All],[RC]:[Total External Corrosion Score]],11,FALSE)="",0,100)</f>
        <v>100</v>
      </c>
      <c r="CI21" s="19">
        <f>IF(VLOOKUP(CI$2,Table2[[#All],[RC]:[Total External Corrosion Score]],11,FALSE)="",0,100)</f>
        <v>100</v>
      </c>
      <c r="CJ21" s="19">
        <f>IF(VLOOKUP(CJ$2,Table2[[#All],[RC]:[Total External Corrosion Score]],11,FALSE)="",0,100)</f>
        <v>100</v>
      </c>
      <c r="CK21" s="19">
        <f>IF(VLOOKUP(CK$2,Table2[[#All],[RC]:[Total External Corrosion Score]],11,FALSE)="",0,100)</f>
        <v>100</v>
      </c>
      <c r="CL21" s="19">
        <f>IF(VLOOKUP(CL$2,Table2[[#All],[RC]:[Total External Corrosion Score]],11,FALSE)="",0,100)</f>
        <v>100</v>
      </c>
      <c r="CM21" s="19">
        <f>IF(VLOOKUP(CM$2,Table2[[#All],[RC]:[Total External Corrosion Score]],11,FALSE)="",0,100)</f>
        <v>100</v>
      </c>
      <c r="CN21" s="19">
        <f>IF(VLOOKUP(CN$2,Table2[[#All],[RC]:[Total External Corrosion Score]],11,FALSE)="",0,100)</f>
        <v>100</v>
      </c>
      <c r="CO21" s="19">
        <f>IF(VLOOKUP(CO$2,Table2[[#All],[RC]:[Total External Corrosion Score]],11,FALSE)="",0,100)</f>
        <v>100</v>
      </c>
      <c r="CP21" s="19">
        <f>IF(VLOOKUP(CP$2,Table2[[#All],[RC]:[Total External Corrosion Score]],11,FALSE)="",0,100)</f>
        <v>100</v>
      </c>
      <c r="CQ21" s="19">
        <f>IF(VLOOKUP(CQ$2,Table2[[#All],[RC]:[Total External Corrosion Score]],11,FALSE)="",0,100)</f>
        <v>100</v>
      </c>
      <c r="CR21" s="19">
        <f>IF(VLOOKUP(CR$2,Table2[[#All],[RC]:[Total External Corrosion Score]],11,FALSE)="",0,100)</f>
        <v>100</v>
      </c>
      <c r="CS21" s="19">
        <f>IF(VLOOKUP(CS$2,Table2[[#All],[RC]:[Total External Corrosion Score]],11,FALSE)="",0,100)</f>
        <v>100</v>
      </c>
      <c r="CT21" s="19">
        <f>IF(VLOOKUP(CT$2,Table2[[#All],[RC]:[Total External Corrosion Score]],11,FALSE)="",0,100)</f>
        <v>100</v>
      </c>
      <c r="CU21" s="19">
        <f>IF(VLOOKUP(CU$2,Table2[[#All],[RC]:[Total External Corrosion Score]],11,FALSE)="",0,100)</f>
        <v>100</v>
      </c>
      <c r="CV21" s="19">
        <f>IF(VLOOKUP(CV$2,Table2[[#All],[RC]:[Total External Corrosion Score]],11,FALSE)="",0,100)</f>
        <v>100</v>
      </c>
      <c r="CW21" s="19">
        <f>IF(VLOOKUP(CW$2,Table2[[#All],[RC]:[Total External Corrosion Score]],11,FALSE)="",0,100)</f>
        <v>100</v>
      </c>
      <c r="CX21" s="19">
        <f>IF(VLOOKUP(CX$2,Table2[[#All],[RC]:[Total External Corrosion Score]],11,FALSE)="",0,100)</f>
        <v>100</v>
      </c>
      <c r="CY21" s="19">
        <f>IF(VLOOKUP(CY$2,Table2[[#All],[RC]:[Total External Corrosion Score]],11,FALSE)="",0,100)</f>
        <v>100</v>
      </c>
      <c r="CZ21" s="19">
        <f>IF(VLOOKUP(CZ$2,Table2[[#All],[RC]:[Total External Corrosion Score]],11,FALSE)="",0,100)</f>
        <v>100</v>
      </c>
      <c r="DA21" s="19">
        <f>IF(VLOOKUP(DA$2,Table2[[#All],[RC]:[Total External Corrosion Score]],11,FALSE)="",0,100)</f>
        <v>100</v>
      </c>
      <c r="DB21" s="19">
        <f>IF(VLOOKUP(DB$2,Table2[[#All],[RC]:[Total External Corrosion Score]],11,FALSE)="",0,100)</f>
        <v>100</v>
      </c>
      <c r="DC21" s="19">
        <f>IF(VLOOKUP(DC$2,Table2[[#All],[RC]:[Total External Corrosion Score]],11,FALSE)="",0,100)</f>
        <v>100</v>
      </c>
      <c r="DD21" s="19">
        <f>IF(VLOOKUP(DD$2,Table2[[#All],[RC]:[Total External Corrosion Score]],11,FALSE)="",0,100)</f>
        <v>100</v>
      </c>
      <c r="DE21" s="19">
        <f>IF(VLOOKUP(DE$2,Table2[[#All],[RC]:[Total External Corrosion Score]],11,FALSE)="",0,100)</f>
        <v>100</v>
      </c>
      <c r="DF21" s="19">
        <f>IF(VLOOKUP(DF$2,Table2[[#All],[RC]:[Total External Corrosion Score]],11,FALSE)="",0,100)</f>
        <v>100</v>
      </c>
      <c r="DG21" s="19" t="e">
        <f>IF(VLOOKUP(DG$2,Table2[[#All],[RC]:[Total External Corrosion Score]],11,FALSE)="",0,100)</f>
        <v>#N/A</v>
      </c>
      <c r="DH21" s="19" t="e">
        <f>IF(VLOOKUP(DH$2,Table2[[#All],[RC]:[Total External Corrosion Score]],11,FALSE)="",0,100)</f>
        <v>#N/A</v>
      </c>
      <c r="DI21" s="19" t="e">
        <f>IF(VLOOKUP(DI$2,Table2[[#All],[RC]:[Total External Corrosion Score]],11,FALSE)="",0,100)</f>
        <v>#N/A</v>
      </c>
      <c r="DJ21" s="19">
        <f>IF(VLOOKUP(DJ$2,Table2[[#All],[RC]:[Total External Corrosion Score]],11,FALSE)="",0,100)</f>
        <v>100</v>
      </c>
      <c r="DK21" s="19">
        <f>IF(VLOOKUP(DK$2,Table2[[#All],[RC]:[Total External Corrosion Score]],11,FALSE)="",0,100)</f>
        <v>100</v>
      </c>
      <c r="DL21" s="19">
        <f>IF(VLOOKUP(DL$2,Table2[[#All],[RC]:[Total External Corrosion Score]],11,FALSE)="",0,100)</f>
        <v>100</v>
      </c>
      <c r="DM21" s="19">
        <f>IF(VLOOKUP(DM$2,Table2[[#All],[RC]:[Total External Corrosion Score]],11,FALSE)="",0,100)</f>
        <v>100</v>
      </c>
      <c r="DN21" s="19">
        <f>IF(VLOOKUP(DN$2,Table2[[#All],[RC]:[Total External Corrosion Score]],11,FALSE)="",0,100)</f>
        <v>100</v>
      </c>
      <c r="DO21" s="19">
        <f>IF(VLOOKUP(DO$2,Table2[[#All],[RC]:[Total External Corrosion Score]],11,FALSE)="",0,100)</f>
        <v>100</v>
      </c>
      <c r="DP21" s="19" t="e">
        <f>IF(VLOOKUP(DP$2,Table2[[#All],[RC]:[Total External Corrosion Score]],11,FALSE)="",0,100)</f>
        <v>#N/A</v>
      </c>
      <c r="DQ21" s="19" t="e">
        <f>IF(VLOOKUP(DQ$2,Table2[[#All],[RC]:[Total External Corrosion Score]],11,FALSE)="",0,100)</f>
        <v>#N/A</v>
      </c>
      <c r="DR21" s="19" t="e">
        <f>IF(VLOOKUP(DR$2,Table2[[#All],[RC]:[Total External Corrosion Score]],11,FALSE)="",0,100)</f>
        <v>#N/A</v>
      </c>
      <c r="DS21" s="19" t="e">
        <f>IF(VLOOKUP(DS$2,Table2[[#All],[RC]:[Total External Corrosion Score]],11,FALSE)="",0,100)</f>
        <v>#N/A</v>
      </c>
      <c r="DT21" s="19">
        <f>IF(VLOOKUP(DT$2,Table2[[#All],[RC]:[Total External Corrosion Score]],11,FALSE)="",0,100)</f>
        <v>100</v>
      </c>
      <c r="DU21" s="19" t="e">
        <f>IF(VLOOKUP(DU$2,Table2[[#All],[RC]:[Total External Corrosion Score]],11,FALSE)="",0,100)</f>
        <v>#N/A</v>
      </c>
      <c r="DV21" s="19" t="e">
        <f>IF(VLOOKUP(DV$2,Table2[[#All],[RC]:[Total External Corrosion Score]],11,FALSE)="",0,100)</f>
        <v>#N/A</v>
      </c>
      <c r="DW21" s="19">
        <f>IF(VLOOKUP(DW$2,Table2[[#All],[RC]:[Total External Corrosion Score]],11,FALSE)="",0,100)</f>
        <v>100</v>
      </c>
      <c r="DX21" s="19">
        <f>IF(VLOOKUP(DX$2,Table2[[#All],[RC]:[Total External Corrosion Score]],11,FALSE)="",0,100)</f>
        <v>100</v>
      </c>
      <c r="DY21" s="19">
        <f>IF(VLOOKUP(DY$2,Table2[[#All],[RC]:[Total External Corrosion Score]],11,FALSE)="",0,100)</f>
        <v>100</v>
      </c>
      <c r="DZ21" s="19">
        <f>IF(VLOOKUP(DZ$2,Table2[[#All],[RC]:[Total External Corrosion Score]],11,FALSE)="",0,100)</f>
        <v>100</v>
      </c>
      <c r="EA21" s="19" t="e">
        <f>IF(VLOOKUP(EA$2,Table2[[#All],[RC]:[Total External Corrosion Score]],11,FALSE)="",0,100)</f>
        <v>#N/A</v>
      </c>
      <c r="EB21" s="19" t="e">
        <f>IF(VLOOKUP(EB$2,Table2[[#All],[RC]:[Total External Corrosion Score]],11,FALSE)="",0,100)</f>
        <v>#N/A</v>
      </c>
      <c r="EC21" s="19">
        <f>IF(VLOOKUP(EC$2,Table2[[#All],[RC]:[Total External Corrosion Score]],11,FALSE)="",0,100)</f>
        <v>100</v>
      </c>
      <c r="ED21" s="19">
        <f>IF(VLOOKUP(ED$2,Table2[[#All],[RC]:[Total External Corrosion Score]],11,FALSE)="",0,100)</f>
        <v>100</v>
      </c>
      <c r="EE21" s="19" t="e">
        <f>IF(VLOOKUP(EE$2,Table2[[#All],[RC]:[Total External Corrosion Score]],11,FALSE)="",0,100)</f>
        <v>#N/A</v>
      </c>
      <c r="EF21" s="19">
        <f>IF(VLOOKUP(EF$2,Table2[[#All],[RC]:[Total External Corrosion Score]],11,FALSE)="",0,100)</f>
        <v>100</v>
      </c>
      <c r="EG21" s="19">
        <f>IF(VLOOKUP(EG$2,Table2[[#All],[RC]:[Total External Corrosion Score]],11,FALSE)="",0,100)</f>
        <v>100</v>
      </c>
      <c r="EH21" s="19">
        <f>IF(VLOOKUP(EH$2,Table2[[#All],[RC]:[Total External Corrosion Score]],11,FALSE)="",0,100)</f>
        <v>100</v>
      </c>
      <c r="EI21" s="19">
        <f>IF(VLOOKUP(EI$2,Table2[[#All],[RC]:[Total External Corrosion Score]],11,FALSE)="",0,100)</f>
        <v>100</v>
      </c>
      <c r="EJ21" s="19">
        <f>IF(VLOOKUP(EJ$2,Table2[[#All],[RC]:[Total External Corrosion Score]],11,FALSE)="",0,100)</f>
        <v>100</v>
      </c>
      <c r="EK21" s="19" t="e">
        <f>IF(VLOOKUP(EK$2,Table2[[#All],[RC]:[Total External Corrosion Score]],11,FALSE)="",0,100)</f>
        <v>#N/A</v>
      </c>
      <c r="EL21" s="19" t="e">
        <f>IF(VLOOKUP(EL$2,Table2[[#All],[RC]:[Total External Corrosion Score]],11,FALSE)="",0,100)</f>
        <v>#N/A</v>
      </c>
      <c r="EM21" s="19" t="e">
        <f>IF(VLOOKUP(EM$2,Table2[[#All],[RC]:[Total External Corrosion Score]],11,FALSE)="",0,100)</f>
        <v>#N/A</v>
      </c>
      <c r="EN21" s="19" t="e">
        <f>IF(VLOOKUP(EN$2,Table2[[#All],[RC]:[Total External Corrosion Score]],11,FALSE)="",0,100)</f>
        <v>#N/A</v>
      </c>
      <c r="EO21" s="19" t="e">
        <f>IF(VLOOKUP(EO$2,Table2[[#All],[RC]:[Total External Corrosion Score]],11,FALSE)="",0,100)</f>
        <v>#N/A</v>
      </c>
      <c r="EP21" s="19" t="e">
        <f>IF(VLOOKUP(EP$2,Table2[[#All],[RC]:[Total External Corrosion Score]],11,FALSE)="",0,100)</f>
        <v>#N/A</v>
      </c>
      <c r="EQ21" s="19" t="e">
        <f>IF(VLOOKUP(EQ$2,Table2[[#All],[RC]:[Total External Corrosion Score]],11,FALSE)="",0,100)</f>
        <v>#N/A</v>
      </c>
      <c r="ER21" s="19" t="e">
        <f>IF(VLOOKUP(ER$2,Table2[[#All],[RC]:[Total External Corrosion Score]],11,FALSE)="",0,100)</f>
        <v>#N/A</v>
      </c>
      <c r="ES21" s="19">
        <f>IF(VLOOKUP(ES$2,Table2[[#All],[RC]:[Total External Corrosion Score]],11,FALSE)="",0,100)</f>
        <v>100</v>
      </c>
      <c r="ET21" s="19">
        <f>IF(VLOOKUP(ET$2,Table2[[#All],[RC]:[Total External Corrosion Score]],11,FALSE)="",0,100)</f>
        <v>100</v>
      </c>
      <c r="EU21" s="19">
        <f>IF(VLOOKUP(EU$2,Table2[[#All],[RC]:[Total External Corrosion Score]],11,FALSE)="",0,100)</f>
        <v>100</v>
      </c>
      <c r="EV21" s="19">
        <f>IF(VLOOKUP(EV$2,Table2[[#All],[RC]:[Total External Corrosion Score]],11,FALSE)="",0,100)</f>
        <v>100</v>
      </c>
      <c r="EW21" s="19">
        <f>IF(VLOOKUP(EW$2,Table2[[#All],[RC]:[Total External Corrosion Score]],11,FALSE)="",0,100)</f>
        <v>100</v>
      </c>
      <c r="EX21" s="19">
        <f>IF(VLOOKUP(EX$2,Table2[[#All],[RC]:[Total External Corrosion Score]],11,FALSE)="",0,100)</f>
        <v>100</v>
      </c>
      <c r="EY21" s="19" t="e">
        <f>IF(VLOOKUP(EY$2,Table2[[#All],[RC]:[Total External Corrosion Score]],11,FALSE)="",0,100)</f>
        <v>#N/A</v>
      </c>
      <c r="EZ21" s="19" t="e">
        <f>IF(VLOOKUP(EZ$2,Table2[[#All],[RC]:[Total External Corrosion Score]],11,FALSE)="",0,100)</f>
        <v>#N/A</v>
      </c>
      <c r="FA21" s="19" t="e">
        <f>IF(VLOOKUP(FA$2,Table2[[#All],[RC]:[Total External Corrosion Score]],11,FALSE)="",0,100)</f>
        <v>#N/A</v>
      </c>
      <c r="FB21" s="19">
        <f>IF(VLOOKUP(FB$2,Table2[[#All],[RC]:[Total External Corrosion Score]],11,FALSE)="",0,100)</f>
        <v>100</v>
      </c>
      <c r="FC21" s="19" t="e">
        <f>IF(VLOOKUP(FC$2,Table2[[#All],[RC]:[Total External Corrosion Score]],11,FALSE)="",0,100)</f>
        <v>#N/A</v>
      </c>
      <c r="FD21" s="19">
        <f>IF(VLOOKUP(FD$2,Table2[[#All],[RC]:[Total External Corrosion Score]],11,FALSE)="",0,100)</f>
        <v>100</v>
      </c>
      <c r="FE21" s="19">
        <f>IF(VLOOKUP(FE$2,Table2[[#All],[RC]:[Total External Corrosion Score]],11,FALSE)="",0,100)</f>
        <v>100</v>
      </c>
      <c r="FF21" s="19">
        <f>IF(VLOOKUP(FF$2,Table2[[#All],[RC]:[Total External Corrosion Score]],11,FALSE)="",0,100)</f>
        <v>100</v>
      </c>
      <c r="FG21" s="19">
        <f>IF(VLOOKUP(FG$2,Table2[[#All],[RC]:[Total External Corrosion Score]],11,FALSE)="",0,100)</f>
        <v>100</v>
      </c>
      <c r="FH21" s="19" t="e">
        <f>IF(VLOOKUP(FH$2,Table2[[#All],[RC]:[Total External Corrosion Score]],11,FALSE)="",0,100)</f>
        <v>#N/A</v>
      </c>
      <c r="FI21" s="19" t="e">
        <f>IF(VLOOKUP(FI$2,Table2[[#All],[RC]:[Total External Corrosion Score]],11,FALSE)="",0,100)</f>
        <v>#N/A</v>
      </c>
      <c r="FJ21" s="19">
        <f>IF(VLOOKUP(FJ$2,Table2[[#All],[RC]:[Total External Corrosion Score]],11,FALSE)="",0,100)</f>
        <v>100</v>
      </c>
      <c r="FK21" s="19">
        <f>IF(VLOOKUP(FK$2,Table2[[#All],[RC]:[Total External Corrosion Score]],11,FALSE)="",0,100)</f>
        <v>100</v>
      </c>
      <c r="FL21" s="19" t="e">
        <f>IF(VLOOKUP(FL$2,Table2[[#All],[RC]:[Total External Corrosion Score]],11,FALSE)="",0,100)</f>
        <v>#N/A</v>
      </c>
      <c r="FM21" s="19" t="e">
        <f>IF(VLOOKUP(FM$2,Table2[[#All],[RC]:[Total External Corrosion Score]],11,FALSE)="",0,100)</f>
        <v>#N/A</v>
      </c>
      <c r="FN21" s="19" t="e">
        <f>IF(VLOOKUP(FN$2,Table2[[#All],[RC]:[Total External Corrosion Score]],11,FALSE)="",0,100)</f>
        <v>#N/A</v>
      </c>
      <c r="FO21" s="19">
        <f>IF(VLOOKUP(FO$2,Table2[[#All],[RC]:[Total External Corrosion Score]],11,FALSE)="",0,100)</f>
        <v>100</v>
      </c>
      <c r="FP21" s="19">
        <f>IF(VLOOKUP(FP$2,Table2[[#All],[RC]:[Total External Corrosion Score]],11,FALSE)="",0,100)</f>
        <v>100</v>
      </c>
      <c r="FQ21" s="19">
        <f>IF(VLOOKUP(FQ$2,Table2[[#All],[RC]:[Total External Corrosion Score]],11,FALSE)="",0,100)</f>
        <v>100</v>
      </c>
      <c r="FR21" s="19">
        <f>IF(VLOOKUP(FR$2,Table2[[#All],[RC]:[Total External Corrosion Score]],11,FALSE)="",0,100)</f>
        <v>100</v>
      </c>
      <c r="FS21" s="19" t="e">
        <f>IF(VLOOKUP(FS$2,Table2[[#All],[RC]:[Total External Corrosion Score]],11,FALSE)="",0,100)</f>
        <v>#N/A</v>
      </c>
      <c r="FT21" s="19" t="e">
        <f>IF(VLOOKUP(FT$2,Table2[[#All],[RC]:[Total External Corrosion Score]],11,FALSE)="",0,100)</f>
        <v>#N/A</v>
      </c>
      <c r="FU21" s="19" t="e">
        <f>IF(VLOOKUP(FU$2,Table2[[#All],[RC]:[Total External Corrosion Score]],11,FALSE)="",0,100)</f>
        <v>#N/A</v>
      </c>
      <c r="FV21" s="19" t="e">
        <f>IF(VLOOKUP(FV$2,Table2[[#All],[RC]:[Total External Corrosion Score]],11,FALSE)="",0,100)</f>
        <v>#N/A</v>
      </c>
    </row>
    <row r="22" spans="1:178">
      <c r="A22" s="61" t="s">
        <v>135</v>
      </c>
      <c r="B22" s="19" t="e">
        <f>IF(VLOOKUP(B$2,Table2[[#All],[RC]:[Total External Corrosion Score]],12,FALSE)="",0,100)</f>
        <v>#N/A</v>
      </c>
      <c r="C22" s="19" t="e">
        <f>IF(VLOOKUP(C$2,Table2[[#All],[RC]:[Total External Corrosion Score]],12,FALSE)="",0,100)</f>
        <v>#N/A</v>
      </c>
      <c r="D22" s="19">
        <f>IF(VLOOKUP(D$2,Table2[[#All],[RC]:[Total External Corrosion Score]],12,FALSE)="",0,100)</f>
        <v>100</v>
      </c>
      <c r="E22" s="19">
        <f>IF(VLOOKUP(E$2,Table2[[#All],[RC]:[Total External Corrosion Score]],12,FALSE)="",0,100)</f>
        <v>100</v>
      </c>
      <c r="F22" s="19">
        <f>IF(VLOOKUP(F$2,Table2[[#All],[RC]:[Total External Corrosion Score]],12,FALSE)="",0,100)</f>
        <v>100</v>
      </c>
      <c r="G22" s="19">
        <f>IF(VLOOKUP(G$2,Table2[[#All],[RC]:[Total External Corrosion Score]],12,FALSE)="",0,100)</f>
        <v>100</v>
      </c>
      <c r="H22" s="19">
        <f>IF(VLOOKUP(H$2,Table2[[#All],[RC]:[Total External Corrosion Score]],12,FALSE)="",0,100)</f>
        <v>100</v>
      </c>
      <c r="I22" s="19">
        <f>IF(VLOOKUP(I$2,Table2[[#All],[RC]:[Total External Corrosion Score]],12,FALSE)="",0,100)</f>
        <v>100</v>
      </c>
      <c r="J22" s="19">
        <f>IF(VLOOKUP(J$2,Table2[[#All],[RC]:[Total External Corrosion Score]],12,FALSE)="",0,100)</f>
        <v>100</v>
      </c>
      <c r="K22" s="19">
        <f>IF(VLOOKUP(K$2,Table2[[#All],[RC]:[Total External Corrosion Score]],12,FALSE)="",0,100)</f>
        <v>100</v>
      </c>
      <c r="L22" s="19">
        <f>IF(VLOOKUP(L$2,Table2[[#All],[RC]:[Total External Corrosion Score]],12,FALSE)="",0,100)</f>
        <v>100</v>
      </c>
      <c r="M22" s="19" t="e">
        <f>IF(VLOOKUP(M$2,Table2[[#All],[RC]:[Total External Corrosion Score]],12,FALSE)="",0,100)</f>
        <v>#N/A</v>
      </c>
      <c r="N22" s="19">
        <f>IF(VLOOKUP(N$2,Table2[[#All],[RC]:[Total External Corrosion Score]],12,FALSE)="",0,100)</f>
        <v>100</v>
      </c>
      <c r="O22" s="19">
        <f>IF(VLOOKUP(O$2,Table2[[#All],[RC]:[Total External Corrosion Score]],12,FALSE)="",0,100)</f>
        <v>100</v>
      </c>
      <c r="P22" s="19">
        <f>IF(VLOOKUP(P$2,Table2[[#All],[RC]:[Total External Corrosion Score]],12,FALSE)="",0,100)</f>
        <v>100</v>
      </c>
      <c r="Q22" s="19">
        <f>IF(VLOOKUP(Q$2,Table2[[#All],[RC]:[Total External Corrosion Score]],12,FALSE)="",0,100)</f>
        <v>100</v>
      </c>
      <c r="R22" s="19">
        <f>IF(VLOOKUP(R$2,Table2[[#All],[RC]:[Total External Corrosion Score]],12,FALSE)="",0,100)</f>
        <v>100</v>
      </c>
      <c r="S22" s="19">
        <f>IF(VLOOKUP(S$2,Table2[[#All],[RC]:[Total External Corrosion Score]],12,FALSE)="",0,100)</f>
        <v>100</v>
      </c>
      <c r="T22" s="19">
        <f>IF(VLOOKUP(T$2,Table2[[#All],[RC]:[Total External Corrosion Score]],12,FALSE)="",0,100)</f>
        <v>100</v>
      </c>
      <c r="U22" s="19">
        <f>IF(VLOOKUP(U$2,Table2[[#All],[RC]:[Total External Corrosion Score]],12,FALSE)="",0,100)</f>
        <v>100</v>
      </c>
      <c r="V22" s="19">
        <f>IF(VLOOKUP(V$2,Table2[[#All],[RC]:[Total External Corrosion Score]],12,FALSE)="",0,100)</f>
        <v>100</v>
      </c>
      <c r="W22" s="19">
        <f>IF(VLOOKUP(W$2,Table2[[#All],[RC]:[Total External Corrosion Score]],12,FALSE)="",0,100)</f>
        <v>100</v>
      </c>
      <c r="X22" s="19">
        <f>IF(VLOOKUP(X$2,Table2[[#All],[RC]:[Total External Corrosion Score]],12,FALSE)="",0,100)</f>
        <v>100</v>
      </c>
      <c r="Y22" s="19" t="e">
        <f>IF(VLOOKUP(Y$2,Table2[[#All],[RC]:[Total External Corrosion Score]],12,FALSE)="",0,100)</f>
        <v>#N/A</v>
      </c>
      <c r="Z22" s="19" t="e">
        <f>IF(VLOOKUP(Z$2,Table2[[#All],[RC]:[Total External Corrosion Score]],12,FALSE)="",0,100)</f>
        <v>#N/A</v>
      </c>
      <c r="AA22" s="19">
        <f>IF(VLOOKUP(AA$2,Table2[[#All],[RC]:[Total External Corrosion Score]],12,FALSE)="",0,100)</f>
        <v>100</v>
      </c>
      <c r="AB22" s="19">
        <f>IF(VLOOKUP(AB$2,Table2[[#All],[RC]:[Total External Corrosion Score]],12,FALSE)="",0,100)</f>
        <v>100</v>
      </c>
      <c r="AC22" s="19">
        <f>IF(VLOOKUP(AC$2,Table2[[#All],[RC]:[Total External Corrosion Score]],12,FALSE)="",0,100)</f>
        <v>100</v>
      </c>
      <c r="AD22" s="19">
        <f>IF(VLOOKUP(AD$2,Table2[[#All],[RC]:[Total External Corrosion Score]],12,FALSE)="",0,100)</f>
        <v>100</v>
      </c>
      <c r="AE22" s="19" t="e">
        <f>IF(VLOOKUP(AE$2,Table2[[#All],[RC]:[Total External Corrosion Score]],12,FALSE)="",0,100)</f>
        <v>#N/A</v>
      </c>
      <c r="AF22" s="19">
        <f>IF(VLOOKUP(AF$2,Table2[[#All],[RC]:[Total External Corrosion Score]],12,FALSE)="",0,100)</f>
        <v>100</v>
      </c>
      <c r="AG22" s="19">
        <f>IF(VLOOKUP(AG$2,Table2[[#All],[RC]:[Total External Corrosion Score]],12,FALSE)="",0,100)</f>
        <v>100</v>
      </c>
      <c r="AH22" s="19">
        <f>IF(VLOOKUP(AH$2,Table2[[#All],[RC]:[Total External Corrosion Score]],12,FALSE)="",0,100)</f>
        <v>100</v>
      </c>
      <c r="AI22" s="19">
        <f>IF(VLOOKUP(AI$2,Table2[[#All],[RC]:[Total External Corrosion Score]],12,FALSE)="",0,100)</f>
        <v>100</v>
      </c>
      <c r="AJ22" s="19">
        <f>IF(VLOOKUP(AJ$2,Table2[[#All],[RC]:[Total External Corrosion Score]],12,FALSE)="",0,100)</f>
        <v>100</v>
      </c>
      <c r="AK22" s="19">
        <f>IF(VLOOKUP(AK$2,Table2[[#All],[RC]:[Total External Corrosion Score]],12,FALSE)="",0,100)</f>
        <v>100</v>
      </c>
      <c r="AL22" s="19" t="e">
        <f>IF(VLOOKUP(AL$2,Table2[[#All],[RC]:[Total External Corrosion Score]],12,FALSE)="",0,100)</f>
        <v>#N/A</v>
      </c>
      <c r="AM22" s="19" t="e">
        <f>IF(VLOOKUP(AM$2,Table2[[#All],[RC]:[Total External Corrosion Score]],12,FALSE)="",0,100)</f>
        <v>#N/A</v>
      </c>
      <c r="AN22" s="19" t="e">
        <f>IF(VLOOKUP(AN$2,Table2[[#All],[RC]:[Total External Corrosion Score]],12,FALSE)="",0,100)</f>
        <v>#N/A</v>
      </c>
      <c r="AO22" s="19">
        <f>IF(VLOOKUP(AO$2,Table2[[#All],[RC]:[Total External Corrosion Score]],12,FALSE)="",0,100)</f>
        <v>100</v>
      </c>
      <c r="AP22" s="19">
        <f>IF(VLOOKUP(AP$2,Table2[[#All],[RC]:[Total External Corrosion Score]],12,FALSE)="",0,100)</f>
        <v>100</v>
      </c>
      <c r="AQ22" s="19" t="e">
        <f>IF(VLOOKUP(AQ$2,Table2[[#All],[RC]:[Total External Corrosion Score]],12,FALSE)="",0,100)</f>
        <v>#N/A</v>
      </c>
      <c r="AR22" s="19" t="e">
        <f>IF(VLOOKUP(AR$2,Table2[[#All],[RC]:[Total External Corrosion Score]],12,FALSE)="",0,100)</f>
        <v>#N/A</v>
      </c>
      <c r="AS22" s="19" t="e">
        <f>IF(VLOOKUP(AS$2,Table2[[#All],[RC]:[Total External Corrosion Score]],12,FALSE)="",0,100)</f>
        <v>#N/A</v>
      </c>
      <c r="AT22" s="19">
        <f>IF(VLOOKUP(AT$2,Table2[[#All],[RC]:[Total External Corrosion Score]],12,FALSE)="",0,100)</f>
        <v>100</v>
      </c>
      <c r="AU22" s="19">
        <f>IF(VLOOKUP(AU$2,Table2[[#All],[RC]:[Total External Corrosion Score]],12,FALSE)="",0,100)</f>
        <v>100</v>
      </c>
      <c r="AV22" s="19">
        <f>IF(VLOOKUP(AV$2,Table2[[#All],[RC]:[Total External Corrosion Score]],12,FALSE)="",0,100)</f>
        <v>100</v>
      </c>
      <c r="AW22" s="19" t="e">
        <f>IF(VLOOKUP(AW$2,Table2[[#All],[RC]:[Total External Corrosion Score]],12,FALSE)="",0,100)</f>
        <v>#N/A</v>
      </c>
      <c r="AX22" s="19">
        <f>IF(VLOOKUP(AX$2,Table2[[#All],[RC]:[Total External Corrosion Score]],12,FALSE)="",0,100)</f>
        <v>100</v>
      </c>
      <c r="AY22" s="19">
        <f>IF(VLOOKUP(AY$2,Table2[[#All],[RC]:[Total External Corrosion Score]],12,FALSE)="",0,100)</f>
        <v>100</v>
      </c>
      <c r="AZ22" s="19">
        <f>IF(VLOOKUP(AZ$2,Table2[[#All],[RC]:[Total External Corrosion Score]],12,FALSE)="",0,100)</f>
        <v>100</v>
      </c>
      <c r="BA22" s="19" t="e">
        <f>IF(VLOOKUP(BA$2,Table2[[#All],[RC]:[Total External Corrosion Score]],12,FALSE)="",0,100)</f>
        <v>#N/A</v>
      </c>
      <c r="BB22" s="19">
        <f>IF(VLOOKUP(BB$2,Table2[[#All],[RC]:[Total External Corrosion Score]],12,FALSE)="",0,100)</f>
        <v>100</v>
      </c>
      <c r="BC22" s="19">
        <f>IF(VLOOKUP(BC$2,Table2[[#All],[RC]:[Total External Corrosion Score]],12,FALSE)="",0,100)</f>
        <v>100</v>
      </c>
      <c r="BD22" s="19" t="e">
        <f>IF(VLOOKUP(BD$2,Table2[[#All],[RC]:[Total External Corrosion Score]],12,FALSE)="",0,100)</f>
        <v>#N/A</v>
      </c>
      <c r="BE22" s="19">
        <f>IF(VLOOKUP(BE$2,Table2[[#All],[RC]:[Total External Corrosion Score]],12,FALSE)="",0,100)</f>
        <v>100</v>
      </c>
      <c r="BF22" s="19">
        <f>IF(VLOOKUP(BF$2,Table2[[#All],[RC]:[Total External Corrosion Score]],12,FALSE)="",0,100)</f>
        <v>100</v>
      </c>
      <c r="BG22" s="19">
        <f>IF(VLOOKUP(BG$2,Table2[[#All],[RC]:[Total External Corrosion Score]],12,FALSE)="",0,100)</f>
        <v>100</v>
      </c>
      <c r="BH22" s="19" t="e">
        <f>IF(VLOOKUP(BH$2,Table2[[#All],[RC]:[Total External Corrosion Score]],12,FALSE)="",0,100)</f>
        <v>#N/A</v>
      </c>
      <c r="BI22" s="19" t="e">
        <f>IF(VLOOKUP(BI$2,Table2[[#All],[RC]:[Total External Corrosion Score]],12,FALSE)="",0,100)</f>
        <v>#N/A</v>
      </c>
      <c r="BJ22" s="19" t="e">
        <f>IF(VLOOKUP(BJ$2,Table2[[#All],[RC]:[Total External Corrosion Score]],12,FALSE)="",0,100)</f>
        <v>#N/A</v>
      </c>
      <c r="BK22" s="19">
        <f>IF(VLOOKUP(BK$2,Table2[[#All],[RC]:[Total External Corrosion Score]],12,FALSE)="",0,100)</f>
        <v>100</v>
      </c>
      <c r="BL22" s="19">
        <f>IF(VLOOKUP(BL$2,Table2[[#All],[RC]:[Total External Corrosion Score]],12,FALSE)="",0,100)</f>
        <v>100</v>
      </c>
      <c r="BM22" s="19" t="e">
        <f>IF(VLOOKUP(BM$2,Table2[[#All],[RC]:[Total External Corrosion Score]],12,FALSE)="",0,100)</f>
        <v>#N/A</v>
      </c>
      <c r="BN22" s="19">
        <f>IF(VLOOKUP(BN$2,Table2[[#All],[RC]:[Total External Corrosion Score]],12,FALSE)="",0,100)</f>
        <v>100</v>
      </c>
      <c r="BO22" s="19">
        <f>IF(VLOOKUP(BO$2,Table2[[#All],[RC]:[Total External Corrosion Score]],12,FALSE)="",0,100)</f>
        <v>100</v>
      </c>
      <c r="BP22" s="19">
        <f>IF(VLOOKUP(BP$2,Table2[[#All],[RC]:[Total External Corrosion Score]],12,FALSE)="",0,100)</f>
        <v>100</v>
      </c>
      <c r="BQ22" s="19">
        <f>IF(VLOOKUP(BQ$2,Table2[[#All],[RC]:[Total External Corrosion Score]],12,FALSE)="",0,100)</f>
        <v>100</v>
      </c>
      <c r="BR22" s="19">
        <f>IF(VLOOKUP(BR$2,Table2[[#All],[RC]:[Total External Corrosion Score]],12,FALSE)="",0,100)</f>
        <v>100</v>
      </c>
      <c r="BS22" s="19">
        <f>IF(VLOOKUP(BS$2,Table2[[#All],[RC]:[Total External Corrosion Score]],12,FALSE)="",0,100)</f>
        <v>100</v>
      </c>
      <c r="BT22" s="19" t="e">
        <f>IF(VLOOKUP(BT$2,Table2[[#All],[RC]:[Total External Corrosion Score]],12,FALSE)="",0,100)</f>
        <v>#N/A</v>
      </c>
      <c r="BU22" s="19">
        <f>IF(VLOOKUP(BU$2,Table2[[#All],[RC]:[Total External Corrosion Score]],12,FALSE)="",0,100)</f>
        <v>100</v>
      </c>
      <c r="BV22" s="19" t="e">
        <f>IF(VLOOKUP(BV$2,Table2[[#All],[RC]:[Total External Corrosion Score]],12,FALSE)="",0,100)</f>
        <v>#N/A</v>
      </c>
      <c r="BW22" s="19">
        <f>IF(VLOOKUP(BW$2,Table2[[#All],[RC]:[Total External Corrosion Score]],12,FALSE)="",0,100)</f>
        <v>100</v>
      </c>
      <c r="BX22" s="19">
        <f>IF(VLOOKUP(BX$2,Table2[[#All],[RC]:[Total External Corrosion Score]],12,FALSE)="",0,100)</f>
        <v>100</v>
      </c>
      <c r="BY22" s="19">
        <f>IF(VLOOKUP(BY$2,Table2[[#All],[RC]:[Total External Corrosion Score]],12,FALSE)="",0,100)</f>
        <v>100</v>
      </c>
      <c r="BZ22" s="19">
        <f>IF(VLOOKUP(BZ$2,Table2[[#All],[RC]:[Total External Corrosion Score]],12,FALSE)="",0,100)</f>
        <v>100</v>
      </c>
      <c r="CA22" s="19">
        <f>IF(VLOOKUP(CA$2,Table2[[#All],[RC]:[Total External Corrosion Score]],12,FALSE)="",0,100)</f>
        <v>100</v>
      </c>
      <c r="CB22" s="19" t="e">
        <f>IF(VLOOKUP(CB$2,Table2[[#All],[RC]:[Total External Corrosion Score]],12,FALSE)="",0,100)</f>
        <v>#N/A</v>
      </c>
      <c r="CC22" s="19" t="e">
        <f>IF(VLOOKUP(CC$2,Table2[[#All],[RC]:[Total External Corrosion Score]],12,FALSE)="",0,100)</f>
        <v>#N/A</v>
      </c>
      <c r="CD22" s="19">
        <f>IF(VLOOKUP(CD$2,Table2[[#All],[RC]:[Total External Corrosion Score]],12,FALSE)="",0,100)</f>
        <v>100</v>
      </c>
      <c r="CE22" s="19">
        <f>IF(VLOOKUP(CE$2,Table2[[#All],[RC]:[Total External Corrosion Score]],12,FALSE)="",0,100)</f>
        <v>100</v>
      </c>
      <c r="CF22" s="19">
        <f>IF(VLOOKUP(CF$2,Table2[[#All],[RC]:[Total External Corrosion Score]],12,FALSE)="",0,100)</f>
        <v>100</v>
      </c>
      <c r="CG22" s="19">
        <f>IF(VLOOKUP(CG$2,Table2[[#All],[RC]:[Total External Corrosion Score]],12,FALSE)="",0,100)</f>
        <v>100</v>
      </c>
      <c r="CH22" s="19">
        <f>IF(VLOOKUP(CH$2,Table2[[#All],[RC]:[Total External Corrosion Score]],12,FALSE)="",0,100)</f>
        <v>100</v>
      </c>
      <c r="CI22" s="19">
        <f>IF(VLOOKUP(CI$2,Table2[[#All],[RC]:[Total External Corrosion Score]],12,FALSE)="",0,100)</f>
        <v>100</v>
      </c>
      <c r="CJ22" s="19">
        <f>IF(VLOOKUP(CJ$2,Table2[[#All],[RC]:[Total External Corrosion Score]],12,FALSE)="",0,100)</f>
        <v>100</v>
      </c>
      <c r="CK22" s="19">
        <f>IF(VLOOKUP(CK$2,Table2[[#All],[RC]:[Total External Corrosion Score]],12,FALSE)="",0,100)</f>
        <v>100</v>
      </c>
      <c r="CL22" s="19">
        <f>IF(VLOOKUP(CL$2,Table2[[#All],[RC]:[Total External Corrosion Score]],12,FALSE)="",0,100)</f>
        <v>100</v>
      </c>
      <c r="CM22" s="19">
        <f>IF(VLOOKUP(CM$2,Table2[[#All],[RC]:[Total External Corrosion Score]],12,FALSE)="",0,100)</f>
        <v>100</v>
      </c>
      <c r="CN22" s="19">
        <f>IF(VLOOKUP(CN$2,Table2[[#All],[RC]:[Total External Corrosion Score]],12,FALSE)="",0,100)</f>
        <v>100</v>
      </c>
      <c r="CO22" s="19">
        <f>IF(VLOOKUP(CO$2,Table2[[#All],[RC]:[Total External Corrosion Score]],12,FALSE)="",0,100)</f>
        <v>100</v>
      </c>
      <c r="CP22" s="19">
        <f>IF(VLOOKUP(CP$2,Table2[[#All],[RC]:[Total External Corrosion Score]],12,FALSE)="",0,100)</f>
        <v>100</v>
      </c>
      <c r="CQ22" s="19">
        <f>IF(VLOOKUP(CQ$2,Table2[[#All],[RC]:[Total External Corrosion Score]],12,FALSE)="",0,100)</f>
        <v>100</v>
      </c>
      <c r="CR22" s="19">
        <f>IF(VLOOKUP(CR$2,Table2[[#All],[RC]:[Total External Corrosion Score]],12,FALSE)="",0,100)</f>
        <v>100</v>
      </c>
      <c r="CS22" s="19">
        <f>IF(VLOOKUP(CS$2,Table2[[#All],[RC]:[Total External Corrosion Score]],12,FALSE)="",0,100)</f>
        <v>100</v>
      </c>
      <c r="CT22" s="19">
        <f>IF(VLOOKUP(CT$2,Table2[[#All],[RC]:[Total External Corrosion Score]],12,FALSE)="",0,100)</f>
        <v>100</v>
      </c>
      <c r="CU22" s="19">
        <f>IF(VLOOKUP(CU$2,Table2[[#All],[RC]:[Total External Corrosion Score]],12,FALSE)="",0,100)</f>
        <v>100</v>
      </c>
      <c r="CV22" s="19">
        <f>IF(VLOOKUP(CV$2,Table2[[#All],[RC]:[Total External Corrosion Score]],12,FALSE)="",0,100)</f>
        <v>100</v>
      </c>
      <c r="CW22" s="19">
        <f>IF(VLOOKUP(CW$2,Table2[[#All],[RC]:[Total External Corrosion Score]],12,FALSE)="",0,100)</f>
        <v>100</v>
      </c>
      <c r="CX22" s="19">
        <f>IF(VLOOKUP(CX$2,Table2[[#All],[RC]:[Total External Corrosion Score]],12,FALSE)="",0,100)</f>
        <v>100</v>
      </c>
      <c r="CY22" s="19">
        <f>IF(VLOOKUP(CY$2,Table2[[#All],[RC]:[Total External Corrosion Score]],12,FALSE)="",0,100)</f>
        <v>100</v>
      </c>
      <c r="CZ22" s="19">
        <f>IF(VLOOKUP(CZ$2,Table2[[#All],[RC]:[Total External Corrosion Score]],12,FALSE)="",0,100)</f>
        <v>100</v>
      </c>
      <c r="DA22" s="19">
        <f>IF(VLOOKUP(DA$2,Table2[[#All],[RC]:[Total External Corrosion Score]],12,FALSE)="",0,100)</f>
        <v>100</v>
      </c>
      <c r="DB22" s="19">
        <f>IF(VLOOKUP(DB$2,Table2[[#All],[RC]:[Total External Corrosion Score]],12,FALSE)="",0,100)</f>
        <v>100</v>
      </c>
      <c r="DC22" s="19">
        <f>IF(VLOOKUP(DC$2,Table2[[#All],[RC]:[Total External Corrosion Score]],12,FALSE)="",0,100)</f>
        <v>100</v>
      </c>
      <c r="DD22" s="19">
        <f>IF(VLOOKUP(DD$2,Table2[[#All],[RC]:[Total External Corrosion Score]],12,FALSE)="",0,100)</f>
        <v>100</v>
      </c>
      <c r="DE22" s="19">
        <f>IF(VLOOKUP(DE$2,Table2[[#All],[RC]:[Total External Corrosion Score]],12,FALSE)="",0,100)</f>
        <v>100</v>
      </c>
      <c r="DF22" s="19">
        <f>IF(VLOOKUP(DF$2,Table2[[#All],[RC]:[Total External Corrosion Score]],12,FALSE)="",0,100)</f>
        <v>100</v>
      </c>
      <c r="DG22" s="19" t="e">
        <f>IF(VLOOKUP(DG$2,Table2[[#All],[RC]:[Total External Corrosion Score]],12,FALSE)="",0,100)</f>
        <v>#N/A</v>
      </c>
      <c r="DH22" s="19" t="e">
        <f>IF(VLOOKUP(DH$2,Table2[[#All],[RC]:[Total External Corrosion Score]],12,FALSE)="",0,100)</f>
        <v>#N/A</v>
      </c>
      <c r="DI22" s="19" t="e">
        <f>IF(VLOOKUP(DI$2,Table2[[#All],[RC]:[Total External Corrosion Score]],12,FALSE)="",0,100)</f>
        <v>#N/A</v>
      </c>
      <c r="DJ22" s="19">
        <f>IF(VLOOKUP(DJ$2,Table2[[#All],[RC]:[Total External Corrosion Score]],12,FALSE)="",0,100)</f>
        <v>100</v>
      </c>
      <c r="DK22" s="19">
        <f>IF(VLOOKUP(DK$2,Table2[[#All],[RC]:[Total External Corrosion Score]],12,FALSE)="",0,100)</f>
        <v>100</v>
      </c>
      <c r="DL22" s="19">
        <f>IF(VLOOKUP(DL$2,Table2[[#All],[RC]:[Total External Corrosion Score]],12,FALSE)="",0,100)</f>
        <v>100</v>
      </c>
      <c r="DM22" s="19">
        <f>IF(VLOOKUP(DM$2,Table2[[#All],[RC]:[Total External Corrosion Score]],12,FALSE)="",0,100)</f>
        <v>100</v>
      </c>
      <c r="DN22" s="19">
        <f>IF(VLOOKUP(DN$2,Table2[[#All],[RC]:[Total External Corrosion Score]],12,FALSE)="",0,100)</f>
        <v>100</v>
      </c>
      <c r="DO22" s="19">
        <f>IF(VLOOKUP(DO$2,Table2[[#All],[RC]:[Total External Corrosion Score]],12,FALSE)="",0,100)</f>
        <v>100</v>
      </c>
      <c r="DP22" s="19" t="e">
        <f>IF(VLOOKUP(DP$2,Table2[[#All],[RC]:[Total External Corrosion Score]],12,FALSE)="",0,100)</f>
        <v>#N/A</v>
      </c>
      <c r="DQ22" s="19" t="e">
        <f>IF(VLOOKUP(DQ$2,Table2[[#All],[RC]:[Total External Corrosion Score]],12,FALSE)="",0,100)</f>
        <v>#N/A</v>
      </c>
      <c r="DR22" s="19" t="e">
        <f>IF(VLOOKUP(DR$2,Table2[[#All],[RC]:[Total External Corrosion Score]],12,FALSE)="",0,100)</f>
        <v>#N/A</v>
      </c>
      <c r="DS22" s="19" t="e">
        <f>IF(VLOOKUP(DS$2,Table2[[#All],[RC]:[Total External Corrosion Score]],12,FALSE)="",0,100)</f>
        <v>#N/A</v>
      </c>
      <c r="DT22" s="19">
        <f>IF(VLOOKUP(DT$2,Table2[[#All],[RC]:[Total External Corrosion Score]],12,FALSE)="",0,100)</f>
        <v>100</v>
      </c>
      <c r="DU22" s="19" t="e">
        <f>IF(VLOOKUP(DU$2,Table2[[#All],[RC]:[Total External Corrosion Score]],12,FALSE)="",0,100)</f>
        <v>#N/A</v>
      </c>
      <c r="DV22" s="19" t="e">
        <f>IF(VLOOKUP(DV$2,Table2[[#All],[RC]:[Total External Corrosion Score]],12,FALSE)="",0,100)</f>
        <v>#N/A</v>
      </c>
      <c r="DW22" s="19">
        <f>IF(VLOOKUP(DW$2,Table2[[#All],[RC]:[Total External Corrosion Score]],12,FALSE)="",0,100)</f>
        <v>100</v>
      </c>
      <c r="DX22" s="19">
        <f>IF(VLOOKUP(DX$2,Table2[[#All],[RC]:[Total External Corrosion Score]],12,FALSE)="",0,100)</f>
        <v>100</v>
      </c>
      <c r="DY22" s="19">
        <f>IF(VLOOKUP(DY$2,Table2[[#All],[RC]:[Total External Corrosion Score]],12,FALSE)="",0,100)</f>
        <v>100</v>
      </c>
      <c r="DZ22" s="19">
        <f>IF(VLOOKUP(DZ$2,Table2[[#All],[RC]:[Total External Corrosion Score]],12,FALSE)="",0,100)</f>
        <v>100</v>
      </c>
      <c r="EA22" s="19" t="e">
        <f>IF(VLOOKUP(EA$2,Table2[[#All],[RC]:[Total External Corrosion Score]],12,FALSE)="",0,100)</f>
        <v>#N/A</v>
      </c>
      <c r="EB22" s="19" t="e">
        <f>IF(VLOOKUP(EB$2,Table2[[#All],[RC]:[Total External Corrosion Score]],12,FALSE)="",0,100)</f>
        <v>#N/A</v>
      </c>
      <c r="EC22" s="19">
        <f>IF(VLOOKUP(EC$2,Table2[[#All],[RC]:[Total External Corrosion Score]],12,FALSE)="",0,100)</f>
        <v>100</v>
      </c>
      <c r="ED22" s="19">
        <f>IF(VLOOKUP(ED$2,Table2[[#All],[RC]:[Total External Corrosion Score]],12,FALSE)="",0,100)</f>
        <v>100</v>
      </c>
      <c r="EE22" s="19" t="e">
        <f>IF(VLOOKUP(EE$2,Table2[[#All],[RC]:[Total External Corrosion Score]],12,FALSE)="",0,100)</f>
        <v>#N/A</v>
      </c>
      <c r="EF22" s="19">
        <f>IF(VLOOKUP(EF$2,Table2[[#All],[RC]:[Total External Corrosion Score]],12,FALSE)="",0,100)</f>
        <v>100</v>
      </c>
      <c r="EG22" s="19">
        <f>IF(VLOOKUP(EG$2,Table2[[#All],[RC]:[Total External Corrosion Score]],12,FALSE)="",0,100)</f>
        <v>100</v>
      </c>
      <c r="EH22" s="19">
        <f>IF(VLOOKUP(EH$2,Table2[[#All],[RC]:[Total External Corrosion Score]],12,FALSE)="",0,100)</f>
        <v>100</v>
      </c>
      <c r="EI22" s="19">
        <f>IF(VLOOKUP(EI$2,Table2[[#All],[RC]:[Total External Corrosion Score]],12,FALSE)="",0,100)</f>
        <v>100</v>
      </c>
      <c r="EJ22" s="19">
        <f>IF(VLOOKUP(EJ$2,Table2[[#All],[RC]:[Total External Corrosion Score]],12,FALSE)="",0,100)</f>
        <v>100</v>
      </c>
      <c r="EK22" s="19" t="e">
        <f>IF(VLOOKUP(EK$2,Table2[[#All],[RC]:[Total External Corrosion Score]],12,FALSE)="",0,100)</f>
        <v>#N/A</v>
      </c>
      <c r="EL22" s="19" t="e">
        <f>IF(VLOOKUP(EL$2,Table2[[#All],[RC]:[Total External Corrosion Score]],12,FALSE)="",0,100)</f>
        <v>#N/A</v>
      </c>
      <c r="EM22" s="19" t="e">
        <f>IF(VLOOKUP(EM$2,Table2[[#All],[RC]:[Total External Corrosion Score]],12,FALSE)="",0,100)</f>
        <v>#N/A</v>
      </c>
      <c r="EN22" s="19" t="e">
        <f>IF(VLOOKUP(EN$2,Table2[[#All],[RC]:[Total External Corrosion Score]],12,FALSE)="",0,100)</f>
        <v>#N/A</v>
      </c>
      <c r="EO22" s="19" t="e">
        <f>IF(VLOOKUP(EO$2,Table2[[#All],[RC]:[Total External Corrosion Score]],12,FALSE)="",0,100)</f>
        <v>#N/A</v>
      </c>
      <c r="EP22" s="19" t="e">
        <f>IF(VLOOKUP(EP$2,Table2[[#All],[RC]:[Total External Corrosion Score]],12,FALSE)="",0,100)</f>
        <v>#N/A</v>
      </c>
      <c r="EQ22" s="19" t="e">
        <f>IF(VLOOKUP(EQ$2,Table2[[#All],[RC]:[Total External Corrosion Score]],12,FALSE)="",0,100)</f>
        <v>#N/A</v>
      </c>
      <c r="ER22" s="19" t="e">
        <f>IF(VLOOKUP(ER$2,Table2[[#All],[RC]:[Total External Corrosion Score]],12,FALSE)="",0,100)</f>
        <v>#N/A</v>
      </c>
      <c r="ES22" s="19">
        <f>IF(VLOOKUP(ES$2,Table2[[#All],[RC]:[Total External Corrosion Score]],12,FALSE)="",0,100)</f>
        <v>100</v>
      </c>
      <c r="ET22" s="19">
        <f>IF(VLOOKUP(ET$2,Table2[[#All],[RC]:[Total External Corrosion Score]],12,FALSE)="",0,100)</f>
        <v>100</v>
      </c>
      <c r="EU22" s="19">
        <f>IF(VLOOKUP(EU$2,Table2[[#All],[RC]:[Total External Corrosion Score]],12,FALSE)="",0,100)</f>
        <v>100</v>
      </c>
      <c r="EV22" s="19">
        <f>IF(VLOOKUP(EV$2,Table2[[#All],[RC]:[Total External Corrosion Score]],12,FALSE)="",0,100)</f>
        <v>100</v>
      </c>
      <c r="EW22" s="19">
        <f>IF(VLOOKUP(EW$2,Table2[[#All],[RC]:[Total External Corrosion Score]],12,FALSE)="",0,100)</f>
        <v>100</v>
      </c>
      <c r="EX22" s="19">
        <f>IF(VLOOKUP(EX$2,Table2[[#All],[RC]:[Total External Corrosion Score]],12,FALSE)="",0,100)</f>
        <v>100</v>
      </c>
      <c r="EY22" s="19" t="e">
        <f>IF(VLOOKUP(EY$2,Table2[[#All],[RC]:[Total External Corrosion Score]],12,FALSE)="",0,100)</f>
        <v>#N/A</v>
      </c>
      <c r="EZ22" s="19" t="e">
        <f>IF(VLOOKUP(EZ$2,Table2[[#All],[RC]:[Total External Corrosion Score]],12,FALSE)="",0,100)</f>
        <v>#N/A</v>
      </c>
      <c r="FA22" s="19" t="e">
        <f>IF(VLOOKUP(FA$2,Table2[[#All],[RC]:[Total External Corrosion Score]],12,FALSE)="",0,100)</f>
        <v>#N/A</v>
      </c>
      <c r="FB22" s="19">
        <f>IF(VLOOKUP(FB$2,Table2[[#All],[RC]:[Total External Corrosion Score]],12,FALSE)="",0,100)</f>
        <v>100</v>
      </c>
      <c r="FC22" s="19" t="e">
        <f>IF(VLOOKUP(FC$2,Table2[[#All],[RC]:[Total External Corrosion Score]],12,FALSE)="",0,100)</f>
        <v>#N/A</v>
      </c>
      <c r="FD22" s="19">
        <f>IF(VLOOKUP(FD$2,Table2[[#All],[RC]:[Total External Corrosion Score]],12,FALSE)="",0,100)</f>
        <v>100</v>
      </c>
      <c r="FE22" s="19">
        <f>IF(VLOOKUP(FE$2,Table2[[#All],[RC]:[Total External Corrosion Score]],12,FALSE)="",0,100)</f>
        <v>100</v>
      </c>
      <c r="FF22" s="19">
        <f>IF(VLOOKUP(FF$2,Table2[[#All],[RC]:[Total External Corrosion Score]],12,FALSE)="",0,100)</f>
        <v>100</v>
      </c>
      <c r="FG22" s="19">
        <f>IF(VLOOKUP(FG$2,Table2[[#All],[RC]:[Total External Corrosion Score]],12,FALSE)="",0,100)</f>
        <v>100</v>
      </c>
      <c r="FH22" s="19" t="e">
        <f>IF(VLOOKUP(FH$2,Table2[[#All],[RC]:[Total External Corrosion Score]],12,FALSE)="",0,100)</f>
        <v>#N/A</v>
      </c>
      <c r="FI22" s="19" t="e">
        <f>IF(VLOOKUP(FI$2,Table2[[#All],[RC]:[Total External Corrosion Score]],12,FALSE)="",0,100)</f>
        <v>#N/A</v>
      </c>
      <c r="FJ22" s="19">
        <f>IF(VLOOKUP(FJ$2,Table2[[#All],[RC]:[Total External Corrosion Score]],12,FALSE)="",0,100)</f>
        <v>100</v>
      </c>
      <c r="FK22" s="19">
        <f>IF(VLOOKUP(FK$2,Table2[[#All],[RC]:[Total External Corrosion Score]],12,FALSE)="",0,100)</f>
        <v>100</v>
      </c>
      <c r="FL22" s="19" t="e">
        <f>IF(VLOOKUP(FL$2,Table2[[#All],[RC]:[Total External Corrosion Score]],12,FALSE)="",0,100)</f>
        <v>#N/A</v>
      </c>
      <c r="FM22" s="19" t="e">
        <f>IF(VLOOKUP(FM$2,Table2[[#All],[RC]:[Total External Corrosion Score]],12,FALSE)="",0,100)</f>
        <v>#N/A</v>
      </c>
      <c r="FN22" s="19" t="e">
        <f>IF(VLOOKUP(FN$2,Table2[[#All],[RC]:[Total External Corrosion Score]],12,FALSE)="",0,100)</f>
        <v>#N/A</v>
      </c>
      <c r="FO22" s="19">
        <f>IF(VLOOKUP(FO$2,Table2[[#All],[RC]:[Total External Corrosion Score]],12,FALSE)="",0,100)</f>
        <v>100</v>
      </c>
      <c r="FP22" s="19">
        <f>IF(VLOOKUP(FP$2,Table2[[#All],[RC]:[Total External Corrosion Score]],12,FALSE)="",0,100)</f>
        <v>100</v>
      </c>
      <c r="FQ22" s="19">
        <f>IF(VLOOKUP(FQ$2,Table2[[#All],[RC]:[Total External Corrosion Score]],12,FALSE)="",0,100)</f>
        <v>100</v>
      </c>
      <c r="FR22" s="19">
        <f>IF(VLOOKUP(FR$2,Table2[[#All],[RC]:[Total External Corrosion Score]],12,FALSE)="",0,100)</f>
        <v>100</v>
      </c>
      <c r="FS22" s="19" t="e">
        <f>IF(VLOOKUP(FS$2,Table2[[#All],[RC]:[Total External Corrosion Score]],12,FALSE)="",0,100)</f>
        <v>#N/A</v>
      </c>
      <c r="FT22" s="19" t="e">
        <f>IF(VLOOKUP(FT$2,Table2[[#All],[RC]:[Total External Corrosion Score]],12,FALSE)="",0,100)</f>
        <v>#N/A</v>
      </c>
      <c r="FU22" s="19" t="e">
        <f>IF(VLOOKUP(FU$2,Table2[[#All],[RC]:[Total External Corrosion Score]],12,FALSE)="",0,100)</f>
        <v>#N/A</v>
      </c>
      <c r="FV22" s="19" t="e">
        <f>IF(VLOOKUP(FV$2,Table2[[#All],[RC]:[Total External Corrosion Score]],12,FALSE)="",0,100)</f>
        <v>#N/A</v>
      </c>
    </row>
    <row r="23" spans="1:178">
      <c r="A23" s="61" t="s">
        <v>142</v>
      </c>
      <c r="B23" s="19" t="e">
        <f>IF(VLOOKUP(B$2,Table2[[#All],[RC]:[Total External Corrosion Score]],13,FALSE)="",0,100)</f>
        <v>#N/A</v>
      </c>
      <c r="C23" s="19" t="e">
        <f>IF(VLOOKUP(C$2,Table2[[#All],[RC]:[Total External Corrosion Score]],13,FALSE)="",0,100)</f>
        <v>#N/A</v>
      </c>
      <c r="D23" s="19">
        <f>IF(VLOOKUP(D$2,Table2[[#All],[RC]:[Total External Corrosion Score]],13,FALSE)="",0,100)</f>
        <v>100</v>
      </c>
      <c r="E23" s="19">
        <f>IF(VLOOKUP(E$2,Table2[[#All],[RC]:[Total External Corrosion Score]],13,FALSE)="",0,100)</f>
        <v>100</v>
      </c>
      <c r="F23" s="19">
        <f>IF(VLOOKUP(F$2,Table2[[#All],[RC]:[Total External Corrosion Score]],13,FALSE)="",0,100)</f>
        <v>100</v>
      </c>
      <c r="G23" s="19">
        <f>IF(VLOOKUP(G$2,Table2[[#All],[RC]:[Total External Corrosion Score]],13,FALSE)="",0,100)</f>
        <v>100</v>
      </c>
      <c r="H23" s="19">
        <f>IF(VLOOKUP(H$2,Table2[[#All],[RC]:[Total External Corrosion Score]],13,FALSE)="",0,100)</f>
        <v>100</v>
      </c>
      <c r="I23" s="19">
        <f>IF(VLOOKUP(I$2,Table2[[#All],[RC]:[Total External Corrosion Score]],13,FALSE)="",0,100)</f>
        <v>100</v>
      </c>
      <c r="J23" s="19">
        <f>IF(VLOOKUP(J$2,Table2[[#All],[RC]:[Total External Corrosion Score]],13,FALSE)="",0,100)</f>
        <v>100</v>
      </c>
      <c r="K23" s="19">
        <f>IF(VLOOKUP(K$2,Table2[[#All],[RC]:[Total External Corrosion Score]],13,FALSE)="",0,100)</f>
        <v>100</v>
      </c>
      <c r="L23" s="19">
        <f>IF(VLOOKUP(L$2,Table2[[#All],[RC]:[Total External Corrosion Score]],13,FALSE)="",0,100)</f>
        <v>100</v>
      </c>
      <c r="M23" s="19" t="e">
        <f>IF(VLOOKUP(M$2,Table2[[#All],[RC]:[Total External Corrosion Score]],13,FALSE)="",0,100)</f>
        <v>#N/A</v>
      </c>
      <c r="N23" s="19">
        <f>IF(VLOOKUP(N$2,Table2[[#All],[RC]:[Total External Corrosion Score]],13,FALSE)="",0,100)</f>
        <v>100</v>
      </c>
      <c r="O23" s="19">
        <f>IF(VLOOKUP(O$2,Table2[[#All],[RC]:[Total External Corrosion Score]],13,FALSE)="",0,100)</f>
        <v>0</v>
      </c>
      <c r="P23" s="19">
        <f>IF(VLOOKUP(P$2,Table2[[#All],[RC]:[Total External Corrosion Score]],13,FALSE)="",0,100)</f>
        <v>100</v>
      </c>
      <c r="Q23" s="19">
        <f>IF(VLOOKUP(Q$2,Table2[[#All],[RC]:[Total External Corrosion Score]],13,FALSE)="",0,100)</f>
        <v>100</v>
      </c>
      <c r="R23" s="19">
        <f>IF(VLOOKUP(R$2,Table2[[#All],[RC]:[Total External Corrosion Score]],13,FALSE)="",0,100)</f>
        <v>100</v>
      </c>
      <c r="S23" s="19">
        <f>IF(VLOOKUP(S$2,Table2[[#All],[RC]:[Total External Corrosion Score]],13,FALSE)="",0,100)</f>
        <v>100</v>
      </c>
      <c r="T23" s="19">
        <f>IF(VLOOKUP(T$2,Table2[[#All],[RC]:[Total External Corrosion Score]],13,FALSE)="",0,100)</f>
        <v>100</v>
      </c>
      <c r="U23" s="19">
        <f>IF(VLOOKUP(U$2,Table2[[#All],[RC]:[Total External Corrosion Score]],13,FALSE)="",0,100)</f>
        <v>100</v>
      </c>
      <c r="V23" s="19">
        <f>IF(VLOOKUP(V$2,Table2[[#All],[RC]:[Total External Corrosion Score]],13,FALSE)="",0,100)</f>
        <v>100</v>
      </c>
      <c r="W23" s="19">
        <f>IF(VLOOKUP(W$2,Table2[[#All],[RC]:[Total External Corrosion Score]],13,FALSE)="",0,100)</f>
        <v>100</v>
      </c>
      <c r="X23" s="19">
        <f>IF(VLOOKUP(X$2,Table2[[#All],[RC]:[Total External Corrosion Score]],13,FALSE)="",0,100)</f>
        <v>100</v>
      </c>
      <c r="Y23" s="19" t="e">
        <f>IF(VLOOKUP(Y$2,Table2[[#All],[RC]:[Total External Corrosion Score]],13,FALSE)="",0,100)</f>
        <v>#N/A</v>
      </c>
      <c r="Z23" s="19" t="e">
        <f>IF(VLOOKUP(Z$2,Table2[[#All],[RC]:[Total External Corrosion Score]],13,FALSE)="",0,100)</f>
        <v>#N/A</v>
      </c>
      <c r="AA23" s="19">
        <f>IF(VLOOKUP(AA$2,Table2[[#All],[RC]:[Total External Corrosion Score]],13,FALSE)="",0,100)</f>
        <v>100</v>
      </c>
      <c r="AB23" s="19">
        <f>IF(VLOOKUP(AB$2,Table2[[#All],[RC]:[Total External Corrosion Score]],13,FALSE)="",0,100)</f>
        <v>100</v>
      </c>
      <c r="AC23" s="19">
        <f>IF(VLOOKUP(AC$2,Table2[[#All],[RC]:[Total External Corrosion Score]],13,FALSE)="",0,100)</f>
        <v>100</v>
      </c>
      <c r="AD23" s="19">
        <f>IF(VLOOKUP(AD$2,Table2[[#All],[RC]:[Total External Corrosion Score]],13,FALSE)="",0,100)</f>
        <v>100</v>
      </c>
      <c r="AE23" s="19" t="e">
        <f>IF(VLOOKUP(AE$2,Table2[[#All],[RC]:[Total External Corrosion Score]],13,FALSE)="",0,100)</f>
        <v>#N/A</v>
      </c>
      <c r="AF23" s="19">
        <f>IF(VLOOKUP(AF$2,Table2[[#All],[RC]:[Total External Corrosion Score]],13,FALSE)="",0,100)</f>
        <v>100</v>
      </c>
      <c r="AG23" s="19">
        <f>IF(VLOOKUP(AG$2,Table2[[#All],[RC]:[Total External Corrosion Score]],13,FALSE)="",0,100)</f>
        <v>100</v>
      </c>
      <c r="AH23" s="19">
        <f>IF(VLOOKUP(AH$2,Table2[[#All],[RC]:[Total External Corrosion Score]],13,FALSE)="",0,100)</f>
        <v>100</v>
      </c>
      <c r="AI23" s="19">
        <f>IF(VLOOKUP(AI$2,Table2[[#All],[RC]:[Total External Corrosion Score]],13,FALSE)="",0,100)</f>
        <v>100</v>
      </c>
      <c r="AJ23" s="19">
        <f>IF(VLOOKUP(AJ$2,Table2[[#All],[RC]:[Total External Corrosion Score]],13,FALSE)="",0,100)</f>
        <v>100</v>
      </c>
      <c r="AK23" s="19">
        <f>IF(VLOOKUP(AK$2,Table2[[#All],[RC]:[Total External Corrosion Score]],13,FALSE)="",0,100)</f>
        <v>100</v>
      </c>
      <c r="AL23" s="19" t="e">
        <f>IF(VLOOKUP(AL$2,Table2[[#All],[RC]:[Total External Corrosion Score]],13,FALSE)="",0,100)</f>
        <v>#N/A</v>
      </c>
      <c r="AM23" s="19" t="e">
        <f>IF(VLOOKUP(AM$2,Table2[[#All],[RC]:[Total External Corrosion Score]],13,FALSE)="",0,100)</f>
        <v>#N/A</v>
      </c>
      <c r="AN23" s="19" t="e">
        <f>IF(VLOOKUP(AN$2,Table2[[#All],[RC]:[Total External Corrosion Score]],13,FALSE)="",0,100)</f>
        <v>#N/A</v>
      </c>
      <c r="AO23" s="19">
        <f>IF(VLOOKUP(AO$2,Table2[[#All],[RC]:[Total External Corrosion Score]],13,FALSE)="",0,100)</f>
        <v>100</v>
      </c>
      <c r="AP23" s="19">
        <f>IF(VLOOKUP(AP$2,Table2[[#All],[RC]:[Total External Corrosion Score]],13,FALSE)="",0,100)</f>
        <v>100</v>
      </c>
      <c r="AQ23" s="19" t="e">
        <f>IF(VLOOKUP(AQ$2,Table2[[#All],[RC]:[Total External Corrosion Score]],13,FALSE)="",0,100)</f>
        <v>#N/A</v>
      </c>
      <c r="AR23" s="19" t="e">
        <f>IF(VLOOKUP(AR$2,Table2[[#All],[RC]:[Total External Corrosion Score]],13,FALSE)="",0,100)</f>
        <v>#N/A</v>
      </c>
      <c r="AS23" s="19" t="e">
        <f>IF(VLOOKUP(AS$2,Table2[[#All],[RC]:[Total External Corrosion Score]],13,FALSE)="",0,100)</f>
        <v>#N/A</v>
      </c>
      <c r="AT23" s="19">
        <f>IF(VLOOKUP(AT$2,Table2[[#All],[RC]:[Total External Corrosion Score]],13,FALSE)="",0,100)</f>
        <v>100</v>
      </c>
      <c r="AU23" s="19">
        <f>IF(VLOOKUP(AU$2,Table2[[#All],[RC]:[Total External Corrosion Score]],13,FALSE)="",0,100)</f>
        <v>100</v>
      </c>
      <c r="AV23" s="19">
        <f>IF(VLOOKUP(AV$2,Table2[[#All],[RC]:[Total External Corrosion Score]],13,FALSE)="",0,100)</f>
        <v>100</v>
      </c>
      <c r="AW23" s="19" t="e">
        <f>IF(VLOOKUP(AW$2,Table2[[#All],[RC]:[Total External Corrosion Score]],13,FALSE)="",0,100)</f>
        <v>#N/A</v>
      </c>
      <c r="AX23" s="19">
        <f>IF(VLOOKUP(AX$2,Table2[[#All],[RC]:[Total External Corrosion Score]],13,FALSE)="",0,100)</f>
        <v>100</v>
      </c>
      <c r="AY23" s="19">
        <f>IF(VLOOKUP(AY$2,Table2[[#All],[RC]:[Total External Corrosion Score]],13,FALSE)="",0,100)</f>
        <v>100</v>
      </c>
      <c r="AZ23" s="19">
        <f>IF(VLOOKUP(AZ$2,Table2[[#All],[RC]:[Total External Corrosion Score]],13,FALSE)="",0,100)</f>
        <v>100</v>
      </c>
      <c r="BA23" s="19" t="e">
        <f>IF(VLOOKUP(BA$2,Table2[[#All],[RC]:[Total External Corrosion Score]],13,FALSE)="",0,100)</f>
        <v>#N/A</v>
      </c>
      <c r="BB23" s="19">
        <f>IF(VLOOKUP(BB$2,Table2[[#All],[RC]:[Total External Corrosion Score]],13,FALSE)="",0,100)</f>
        <v>100</v>
      </c>
      <c r="BC23" s="19">
        <f>IF(VLOOKUP(BC$2,Table2[[#All],[RC]:[Total External Corrosion Score]],13,FALSE)="",0,100)</f>
        <v>100</v>
      </c>
      <c r="BD23" s="19" t="e">
        <f>IF(VLOOKUP(BD$2,Table2[[#All],[RC]:[Total External Corrosion Score]],13,FALSE)="",0,100)</f>
        <v>#N/A</v>
      </c>
      <c r="BE23" s="19">
        <f>IF(VLOOKUP(BE$2,Table2[[#All],[RC]:[Total External Corrosion Score]],13,FALSE)="",0,100)</f>
        <v>100</v>
      </c>
      <c r="BF23" s="19">
        <f>IF(VLOOKUP(BF$2,Table2[[#All],[RC]:[Total External Corrosion Score]],13,FALSE)="",0,100)</f>
        <v>100</v>
      </c>
      <c r="BG23" s="19">
        <f>IF(VLOOKUP(BG$2,Table2[[#All],[RC]:[Total External Corrosion Score]],13,FALSE)="",0,100)</f>
        <v>100</v>
      </c>
      <c r="BH23" s="19" t="e">
        <f>IF(VLOOKUP(BH$2,Table2[[#All],[RC]:[Total External Corrosion Score]],13,FALSE)="",0,100)</f>
        <v>#N/A</v>
      </c>
      <c r="BI23" s="19" t="e">
        <f>IF(VLOOKUP(BI$2,Table2[[#All],[RC]:[Total External Corrosion Score]],13,FALSE)="",0,100)</f>
        <v>#N/A</v>
      </c>
      <c r="BJ23" s="19" t="e">
        <f>IF(VLOOKUP(BJ$2,Table2[[#All],[RC]:[Total External Corrosion Score]],13,FALSE)="",0,100)</f>
        <v>#N/A</v>
      </c>
      <c r="BK23" s="19">
        <f>IF(VLOOKUP(BK$2,Table2[[#All],[RC]:[Total External Corrosion Score]],13,FALSE)="",0,100)</f>
        <v>100</v>
      </c>
      <c r="BL23" s="19">
        <f>IF(VLOOKUP(BL$2,Table2[[#All],[RC]:[Total External Corrosion Score]],13,FALSE)="",0,100)</f>
        <v>100</v>
      </c>
      <c r="BM23" s="19" t="e">
        <f>IF(VLOOKUP(BM$2,Table2[[#All],[RC]:[Total External Corrosion Score]],13,FALSE)="",0,100)</f>
        <v>#N/A</v>
      </c>
      <c r="BN23" s="19">
        <f>IF(VLOOKUP(BN$2,Table2[[#All],[RC]:[Total External Corrosion Score]],13,FALSE)="",0,100)</f>
        <v>100</v>
      </c>
      <c r="BO23" s="19">
        <f>IF(VLOOKUP(BO$2,Table2[[#All],[RC]:[Total External Corrosion Score]],13,FALSE)="",0,100)</f>
        <v>100</v>
      </c>
      <c r="BP23" s="19">
        <f>IF(VLOOKUP(BP$2,Table2[[#All],[RC]:[Total External Corrosion Score]],13,FALSE)="",0,100)</f>
        <v>100</v>
      </c>
      <c r="BQ23" s="19">
        <f>IF(VLOOKUP(BQ$2,Table2[[#All],[RC]:[Total External Corrosion Score]],13,FALSE)="",0,100)</f>
        <v>100</v>
      </c>
      <c r="BR23" s="19">
        <f>IF(VLOOKUP(BR$2,Table2[[#All],[RC]:[Total External Corrosion Score]],13,FALSE)="",0,100)</f>
        <v>100</v>
      </c>
      <c r="BS23" s="19">
        <f>IF(VLOOKUP(BS$2,Table2[[#All],[RC]:[Total External Corrosion Score]],13,FALSE)="",0,100)</f>
        <v>100</v>
      </c>
      <c r="BT23" s="19" t="e">
        <f>IF(VLOOKUP(BT$2,Table2[[#All],[RC]:[Total External Corrosion Score]],13,FALSE)="",0,100)</f>
        <v>#N/A</v>
      </c>
      <c r="BU23" s="19">
        <f>IF(VLOOKUP(BU$2,Table2[[#All],[RC]:[Total External Corrosion Score]],13,FALSE)="",0,100)</f>
        <v>100</v>
      </c>
      <c r="BV23" s="19" t="e">
        <f>IF(VLOOKUP(BV$2,Table2[[#All],[RC]:[Total External Corrosion Score]],13,FALSE)="",0,100)</f>
        <v>#N/A</v>
      </c>
      <c r="BW23" s="19">
        <f>IF(VLOOKUP(BW$2,Table2[[#All],[RC]:[Total External Corrosion Score]],13,FALSE)="",0,100)</f>
        <v>100</v>
      </c>
      <c r="BX23" s="19">
        <f>IF(VLOOKUP(BX$2,Table2[[#All],[RC]:[Total External Corrosion Score]],13,FALSE)="",0,100)</f>
        <v>100</v>
      </c>
      <c r="BY23" s="19">
        <f>IF(VLOOKUP(BY$2,Table2[[#All],[RC]:[Total External Corrosion Score]],13,FALSE)="",0,100)</f>
        <v>100</v>
      </c>
      <c r="BZ23" s="19">
        <f>IF(VLOOKUP(BZ$2,Table2[[#All],[RC]:[Total External Corrosion Score]],13,FALSE)="",0,100)</f>
        <v>100</v>
      </c>
      <c r="CA23" s="19">
        <f>IF(VLOOKUP(CA$2,Table2[[#All],[RC]:[Total External Corrosion Score]],13,FALSE)="",0,100)</f>
        <v>100</v>
      </c>
      <c r="CB23" s="19" t="e">
        <f>IF(VLOOKUP(CB$2,Table2[[#All],[RC]:[Total External Corrosion Score]],13,FALSE)="",0,100)</f>
        <v>#N/A</v>
      </c>
      <c r="CC23" s="19" t="e">
        <f>IF(VLOOKUP(CC$2,Table2[[#All],[RC]:[Total External Corrosion Score]],13,FALSE)="",0,100)</f>
        <v>#N/A</v>
      </c>
      <c r="CD23" s="19">
        <f>IF(VLOOKUP(CD$2,Table2[[#All],[RC]:[Total External Corrosion Score]],13,FALSE)="",0,100)</f>
        <v>100</v>
      </c>
      <c r="CE23" s="19">
        <f>IF(VLOOKUP(CE$2,Table2[[#All],[RC]:[Total External Corrosion Score]],13,FALSE)="",0,100)</f>
        <v>100</v>
      </c>
      <c r="CF23" s="19">
        <f>IF(VLOOKUP(CF$2,Table2[[#All],[RC]:[Total External Corrosion Score]],13,FALSE)="",0,100)</f>
        <v>100</v>
      </c>
      <c r="CG23" s="19">
        <f>IF(VLOOKUP(CG$2,Table2[[#All],[RC]:[Total External Corrosion Score]],13,FALSE)="",0,100)</f>
        <v>100</v>
      </c>
      <c r="CH23" s="19">
        <f>IF(VLOOKUP(CH$2,Table2[[#All],[RC]:[Total External Corrosion Score]],13,FALSE)="",0,100)</f>
        <v>100</v>
      </c>
      <c r="CI23" s="19">
        <f>IF(VLOOKUP(CI$2,Table2[[#All],[RC]:[Total External Corrosion Score]],13,FALSE)="",0,100)</f>
        <v>100</v>
      </c>
      <c r="CJ23" s="19">
        <f>IF(VLOOKUP(CJ$2,Table2[[#All],[RC]:[Total External Corrosion Score]],13,FALSE)="",0,100)</f>
        <v>100</v>
      </c>
      <c r="CK23" s="19">
        <f>IF(VLOOKUP(CK$2,Table2[[#All],[RC]:[Total External Corrosion Score]],13,FALSE)="",0,100)</f>
        <v>100</v>
      </c>
      <c r="CL23" s="19">
        <f>IF(VLOOKUP(CL$2,Table2[[#All],[RC]:[Total External Corrosion Score]],13,FALSE)="",0,100)</f>
        <v>100</v>
      </c>
      <c r="CM23" s="19">
        <f>IF(VLOOKUP(CM$2,Table2[[#All],[RC]:[Total External Corrosion Score]],13,FALSE)="",0,100)</f>
        <v>100</v>
      </c>
      <c r="CN23" s="19">
        <f>IF(VLOOKUP(CN$2,Table2[[#All],[RC]:[Total External Corrosion Score]],13,FALSE)="",0,100)</f>
        <v>100</v>
      </c>
      <c r="CO23" s="19">
        <f>IF(VLOOKUP(CO$2,Table2[[#All],[RC]:[Total External Corrosion Score]],13,FALSE)="",0,100)</f>
        <v>100</v>
      </c>
      <c r="CP23" s="19">
        <f>IF(VLOOKUP(CP$2,Table2[[#All],[RC]:[Total External Corrosion Score]],13,FALSE)="",0,100)</f>
        <v>100</v>
      </c>
      <c r="CQ23" s="19">
        <f>IF(VLOOKUP(CQ$2,Table2[[#All],[RC]:[Total External Corrosion Score]],13,FALSE)="",0,100)</f>
        <v>100</v>
      </c>
      <c r="CR23" s="19">
        <f>IF(VLOOKUP(CR$2,Table2[[#All],[RC]:[Total External Corrosion Score]],13,FALSE)="",0,100)</f>
        <v>100</v>
      </c>
      <c r="CS23" s="19">
        <f>IF(VLOOKUP(CS$2,Table2[[#All],[RC]:[Total External Corrosion Score]],13,FALSE)="",0,100)</f>
        <v>100</v>
      </c>
      <c r="CT23" s="19">
        <f>IF(VLOOKUP(CT$2,Table2[[#All],[RC]:[Total External Corrosion Score]],13,FALSE)="",0,100)</f>
        <v>100</v>
      </c>
      <c r="CU23" s="19">
        <f>IF(VLOOKUP(CU$2,Table2[[#All],[RC]:[Total External Corrosion Score]],13,FALSE)="",0,100)</f>
        <v>100</v>
      </c>
      <c r="CV23" s="19">
        <f>IF(VLOOKUP(CV$2,Table2[[#All],[RC]:[Total External Corrosion Score]],13,FALSE)="",0,100)</f>
        <v>100</v>
      </c>
      <c r="CW23" s="19">
        <f>IF(VLOOKUP(CW$2,Table2[[#All],[RC]:[Total External Corrosion Score]],13,FALSE)="",0,100)</f>
        <v>100</v>
      </c>
      <c r="CX23" s="19">
        <f>IF(VLOOKUP(CX$2,Table2[[#All],[RC]:[Total External Corrosion Score]],13,FALSE)="",0,100)</f>
        <v>100</v>
      </c>
      <c r="CY23" s="19">
        <f>IF(VLOOKUP(CY$2,Table2[[#All],[RC]:[Total External Corrosion Score]],13,FALSE)="",0,100)</f>
        <v>100</v>
      </c>
      <c r="CZ23" s="19">
        <f>IF(VLOOKUP(CZ$2,Table2[[#All],[RC]:[Total External Corrosion Score]],13,FALSE)="",0,100)</f>
        <v>100</v>
      </c>
      <c r="DA23" s="19">
        <f>IF(VLOOKUP(DA$2,Table2[[#All],[RC]:[Total External Corrosion Score]],13,FALSE)="",0,100)</f>
        <v>100</v>
      </c>
      <c r="DB23" s="19">
        <f>IF(VLOOKUP(DB$2,Table2[[#All],[RC]:[Total External Corrosion Score]],13,FALSE)="",0,100)</f>
        <v>100</v>
      </c>
      <c r="DC23" s="19">
        <f>IF(VLOOKUP(DC$2,Table2[[#All],[RC]:[Total External Corrosion Score]],13,FALSE)="",0,100)</f>
        <v>100</v>
      </c>
      <c r="DD23" s="19">
        <f>IF(VLOOKUP(DD$2,Table2[[#All],[RC]:[Total External Corrosion Score]],13,FALSE)="",0,100)</f>
        <v>100</v>
      </c>
      <c r="DE23" s="19">
        <f>IF(VLOOKUP(DE$2,Table2[[#All],[RC]:[Total External Corrosion Score]],13,FALSE)="",0,100)</f>
        <v>100</v>
      </c>
      <c r="DF23" s="19">
        <f>IF(VLOOKUP(DF$2,Table2[[#All],[RC]:[Total External Corrosion Score]],13,FALSE)="",0,100)</f>
        <v>100</v>
      </c>
      <c r="DG23" s="19" t="e">
        <f>IF(VLOOKUP(DG$2,Table2[[#All],[RC]:[Total External Corrosion Score]],13,FALSE)="",0,100)</f>
        <v>#N/A</v>
      </c>
      <c r="DH23" s="19" t="e">
        <f>IF(VLOOKUP(DH$2,Table2[[#All],[RC]:[Total External Corrosion Score]],13,FALSE)="",0,100)</f>
        <v>#N/A</v>
      </c>
      <c r="DI23" s="19" t="e">
        <f>IF(VLOOKUP(DI$2,Table2[[#All],[RC]:[Total External Corrosion Score]],13,FALSE)="",0,100)</f>
        <v>#N/A</v>
      </c>
      <c r="DJ23" s="19">
        <f>IF(VLOOKUP(DJ$2,Table2[[#All],[RC]:[Total External Corrosion Score]],13,FALSE)="",0,100)</f>
        <v>100</v>
      </c>
      <c r="DK23" s="19">
        <f>IF(VLOOKUP(DK$2,Table2[[#All],[RC]:[Total External Corrosion Score]],13,FALSE)="",0,100)</f>
        <v>100</v>
      </c>
      <c r="DL23" s="19">
        <f>IF(VLOOKUP(DL$2,Table2[[#All],[RC]:[Total External Corrosion Score]],13,FALSE)="",0,100)</f>
        <v>100</v>
      </c>
      <c r="DM23" s="19">
        <f>IF(VLOOKUP(DM$2,Table2[[#All],[RC]:[Total External Corrosion Score]],13,FALSE)="",0,100)</f>
        <v>100</v>
      </c>
      <c r="DN23" s="19">
        <f>IF(VLOOKUP(DN$2,Table2[[#All],[RC]:[Total External Corrosion Score]],13,FALSE)="",0,100)</f>
        <v>100</v>
      </c>
      <c r="DO23" s="19">
        <f>IF(VLOOKUP(DO$2,Table2[[#All],[RC]:[Total External Corrosion Score]],13,FALSE)="",0,100)</f>
        <v>100</v>
      </c>
      <c r="DP23" s="19" t="e">
        <f>IF(VLOOKUP(DP$2,Table2[[#All],[RC]:[Total External Corrosion Score]],13,FALSE)="",0,100)</f>
        <v>#N/A</v>
      </c>
      <c r="DQ23" s="19" t="e">
        <f>IF(VLOOKUP(DQ$2,Table2[[#All],[RC]:[Total External Corrosion Score]],13,FALSE)="",0,100)</f>
        <v>#N/A</v>
      </c>
      <c r="DR23" s="19" t="e">
        <f>IF(VLOOKUP(DR$2,Table2[[#All],[RC]:[Total External Corrosion Score]],13,FALSE)="",0,100)</f>
        <v>#N/A</v>
      </c>
      <c r="DS23" s="19" t="e">
        <f>IF(VLOOKUP(DS$2,Table2[[#All],[RC]:[Total External Corrosion Score]],13,FALSE)="",0,100)</f>
        <v>#N/A</v>
      </c>
      <c r="DT23" s="19">
        <f>IF(VLOOKUP(DT$2,Table2[[#All],[RC]:[Total External Corrosion Score]],13,FALSE)="",0,100)</f>
        <v>100</v>
      </c>
      <c r="DU23" s="19" t="e">
        <f>IF(VLOOKUP(DU$2,Table2[[#All],[RC]:[Total External Corrosion Score]],13,FALSE)="",0,100)</f>
        <v>#N/A</v>
      </c>
      <c r="DV23" s="19" t="e">
        <f>IF(VLOOKUP(DV$2,Table2[[#All],[RC]:[Total External Corrosion Score]],13,FALSE)="",0,100)</f>
        <v>#N/A</v>
      </c>
      <c r="DW23" s="19">
        <f>IF(VLOOKUP(DW$2,Table2[[#All],[RC]:[Total External Corrosion Score]],13,FALSE)="",0,100)</f>
        <v>100</v>
      </c>
      <c r="DX23" s="19">
        <f>IF(VLOOKUP(DX$2,Table2[[#All],[RC]:[Total External Corrosion Score]],13,FALSE)="",0,100)</f>
        <v>100</v>
      </c>
      <c r="DY23" s="19">
        <f>IF(VLOOKUP(DY$2,Table2[[#All],[RC]:[Total External Corrosion Score]],13,FALSE)="",0,100)</f>
        <v>100</v>
      </c>
      <c r="DZ23" s="19">
        <f>IF(VLOOKUP(DZ$2,Table2[[#All],[RC]:[Total External Corrosion Score]],13,FALSE)="",0,100)</f>
        <v>100</v>
      </c>
      <c r="EA23" s="19" t="e">
        <f>IF(VLOOKUP(EA$2,Table2[[#All],[RC]:[Total External Corrosion Score]],13,FALSE)="",0,100)</f>
        <v>#N/A</v>
      </c>
      <c r="EB23" s="19" t="e">
        <f>IF(VLOOKUP(EB$2,Table2[[#All],[RC]:[Total External Corrosion Score]],13,FALSE)="",0,100)</f>
        <v>#N/A</v>
      </c>
      <c r="EC23" s="19">
        <f>IF(VLOOKUP(EC$2,Table2[[#All],[RC]:[Total External Corrosion Score]],13,FALSE)="",0,100)</f>
        <v>100</v>
      </c>
      <c r="ED23" s="19">
        <f>IF(VLOOKUP(ED$2,Table2[[#All],[RC]:[Total External Corrosion Score]],13,FALSE)="",0,100)</f>
        <v>100</v>
      </c>
      <c r="EE23" s="19" t="e">
        <f>IF(VLOOKUP(EE$2,Table2[[#All],[RC]:[Total External Corrosion Score]],13,FALSE)="",0,100)</f>
        <v>#N/A</v>
      </c>
      <c r="EF23" s="19">
        <f>IF(VLOOKUP(EF$2,Table2[[#All],[RC]:[Total External Corrosion Score]],13,FALSE)="",0,100)</f>
        <v>100</v>
      </c>
      <c r="EG23" s="19">
        <f>IF(VLOOKUP(EG$2,Table2[[#All],[RC]:[Total External Corrosion Score]],13,FALSE)="",0,100)</f>
        <v>100</v>
      </c>
      <c r="EH23" s="19">
        <f>IF(VLOOKUP(EH$2,Table2[[#All],[RC]:[Total External Corrosion Score]],13,FALSE)="",0,100)</f>
        <v>100</v>
      </c>
      <c r="EI23" s="19">
        <f>IF(VLOOKUP(EI$2,Table2[[#All],[RC]:[Total External Corrosion Score]],13,FALSE)="",0,100)</f>
        <v>100</v>
      </c>
      <c r="EJ23" s="19">
        <f>IF(VLOOKUP(EJ$2,Table2[[#All],[RC]:[Total External Corrosion Score]],13,FALSE)="",0,100)</f>
        <v>100</v>
      </c>
      <c r="EK23" s="19" t="e">
        <f>IF(VLOOKUP(EK$2,Table2[[#All],[RC]:[Total External Corrosion Score]],13,FALSE)="",0,100)</f>
        <v>#N/A</v>
      </c>
      <c r="EL23" s="19" t="e">
        <f>IF(VLOOKUP(EL$2,Table2[[#All],[RC]:[Total External Corrosion Score]],13,FALSE)="",0,100)</f>
        <v>#N/A</v>
      </c>
      <c r="EM23" s="19" t="e">
        <f>IF(VLOOKUP(EM$2,Table2[[#All],[RC]:[Total External Corrosion Score]],13,FALSE)="",0,100)</f>
        <v>#N/A</v>
      </c>
      <c r="EN23" s="19" t="e">
        <f>IF(VLOOKUP(EN$2,Table2[[#All],[RC]:[Total External Corrosion Score]],13,FALSE)="",0,100)</f>
        <v>#N/A</v>
      </c>
      <c r="EO23" s="19" t="e">
        <f>IF(VLOOKUP(EO$2,Table2[[#All],[RC]:[Total External Corrosion Score]],13,FALSE)="",0,100)</f>
        <v>#N/A</v>
      </c>
      <c r="EP23" s="19" t="e">
        <f>IF(VLOOKUP(EP$2,Table2[[#All],[RC]:[Total External Corrosion Score]],13,FALSE)="",0,100)</f>
        <v>#N/A</v>
      </c>
      <c r="EQ23" s="19" t="e">
        <f>IF(VLOOKUP(EQ$2,Table2[[#All],[RC]:[Total External Corrosion Score]],13,FALSE)="",0,100)</f>
        <v>#N/A</v>
      </c>
      <c r="ER23" s="19" t="e">
        <f>IF(VLOOKUP(ER$2,Table2[[#All],[RC]:[Total External Corrosion Score]],13,FALSE)="",0,100)</f>
        <v>#N/A</v>
      </c>
      <c r="ES23" s="19">
        <f>IF(VLOOKUP(ES$2,Table2[[#All],[RC]:[Total External Corrosion Score]],13,FALSE)="",0,100)</f>
        <v>100</v>
      </c>
      <c r="ET23" s="19">
        <f>IF(VLOOKUP(ET$2,Table2[[#All],[RC]:[Total External Corrosion Score]],13,FALSE)="",0,100)</f>
        <v>100</v>
      </c>
      <c r="EU23" s="19">
        <f>IF(VLOOKUP(EU$2,Table2[[#All],[RC]:[Total External Corrosion Score]],13,FALSE)="",0,100)</f>
        <v>100</v>
      </c>
      <c r="EV23" s="19">
        <f>IF(VLOOKUP(EV$2,Table2[[#All],[RC]:[Total External Corrosion Score]],13,FALSE)="",0,100)</f>
        <v>100</v>
      </c>
      <c r="EW23" s="19">
        <f>IF(VLOOKUP(EW$2,Table2[[#All],[RC]:[Total External Corrosion Score]],13,FALSE)="",0,100)</f>
        <v>100</v>
      </c>
      <c r="EX23" s="19">
        <f>IF(VLOOKUP(EX$2,Table2[[#All],[RC]:[Total External Corrosion Score]],13,FALSE)="",0,100)</f>
        <v>100</v>
      </c>
      <c r="EY23" s="19" t="e">
        <f>IF(VLOOKUP(EY$2,Table2[[#All],[RC]:[Total External Corrosion Score]],13,FALSE)="",0,100)</f>
        <v>#N/A</v>
      </c>
      <c r="EZ23" s="19" t="e">
        <f>IF(VLOOKUP(EZ$2,Table2[[#All],[RC]:[Total External Corrosion Score]],13,FALSE)="",0,100)</f>
        <v>#N/A</v>
      </c>
      <c r="FA23" s="19" t="e">
        <f>IF(VLOOKUP(FA$2,Table2[[#All],[RC]:[Total External Corrosion Score]],13,FALSE)="",0,100)</f>
        <v>#N/A</v>
      </c>
      <c r="FB23" s="19">
        <f>IF(VLOOKUP(FB$2,Table2[[#All],[RC]:[Total External Corrosion Score]],13,FALSE)="",0,100)</f>
        <v>100</v>
      </c>
      <c r="FC23" s="19" t="e">
        <f>IF(VLOOKUP(FC$2,Table2[[#All],[RC]:[Total External Corrosion Score]],13,FALSE)="",0,100)</f>
        <v>#N/A</v>
      </c>
      <c r="FD23" s="19">
        <f>IF(VLOOKUP(FD$2,Table2[[#All],[RC]:[Total External Corrosion Score]],13,FALSE)="",0,100)</f>
        <v>100</v>
      </c>
      <c r="FE23" s="19">
        <f>IF(VLOOKUP(FE$2,Table2[[#All],[RC]:[Total External Corrosion Score]],13,FALSE)="",0,100)</f>
        <v>100</v>
      </c>
      <c r="FF23" s="19">
        <f>IF(VLOOKUP(FF$2,Table2[[#All],[RC]:[Total External Corrosion Score]],13,FALSE)="",0,100)</f>
        <v>100</v>
      </c>
      <c r="FG23" s="19">
        <f>IF(VLOOKUP(FG$2,Table2[[#All],[RC]:[Total External Corrosion Score]],13,FALSE)="",0,100)</f>
        <v>100</v>
      </c>
      <c r="FH23" s="19" t="e">
        <f>IF(VLOOKUP(FH$2,Table2[[#All],[RC]:[Total External Corrosion Score]],13,FALSE)="",0,100)</f>
        <v>#N/A</v>
      </c>
      <c r="FI23" s="19" t="e">
        <f>IF(VLOOKUP(FI$2,Table2[[#All],[RC]:[Total External Corrosion Score]],13,FALSE)="",0,100)</f>
        <v>#N/A</v>
      </c>
      <c r="FJ23" s="19">
        <f>IF(VLOOKUP(FJ$2,Table2[[#All],[RC]:[Total External Corrosion Score]],13,FALSE)="",0,100)</f>
        <v>100</v>
      </c>
      <c r="FK23" s="19">
        <f>IF(VLOOKUP(FK$2,Table2[[#All],[RC]:[Total External Corrosion Score]],13,FALSE)="",0,100)</f>
        <v>100</v>
      </c>
      <c r="FL23" s="19" t="e">
        <f>IF(VLOOKUP(FL$2,Table2[[#All],[RC]:[Total External Corrosion Score]],13,FALSE)="",0,100)</f>
        <v>#N/A</v>
      </c>
      <c r="FM23" s="19" t="e">
        <f>IF(VLOOKUP(FM$2,Table2[[#All],[RC]:[Total External Corrosion Score]],13,FALSE)="",0,100)</f>
        <v>#N/A</v>
      </c>
      <c r="FN23" s="19" t="e">
        <f>IF(VLOOKUP(FN$2,Table2[[#All],[RC]:[Total External Corrosion Score]],13,FALSE)="",0,100)</f>
        <v>#N/A</v>
      </c>
      <c r="FO23" s="19">
        <f>IF(VLOOKUP(FO$2,Table2[[#All],[RC]:[Total External Corrosion Score]],13,FALSE)="",0,100)</f>
        <v>100</v>
      </c>
      <c r="FP23" s="19">
        <f>IF(VLOOKUP(FP$2,Table2[[#All],[RC]:[Total External Corrosion Score]],13,FALSE)="",0,100)</f>
        <v>100</v>
      </c>
      <c r="FQ23" s="19">
        <f>IF(VLOOKUP(FQ$2,Table2[[#All],[RC]:[Total External Corrosion Score]],13,FALSE)="",0,100)</f>
        <v>100</v>
      </c>
      <c r="FR23" s="19">
        <f>IF(VLOOKUP(FR$2,Table2[[#All],[RC]:[Total External Corrosion Score]],13,FALSE)="",0,100)</f>
        <v>100</v>
      </c>
      <c r="FS23" s="19" t="e">
        <f>IF(VLOOKUP(FS$2,Table2[[#All],[RC]:[Total External Corrosion Score]],13,FALSE)="",0,100)</f>
        <v>#N/A</v>
      </c>
      <c r="FT23" s="19" t="e">
        <f>IF(VLOOKUP(FT$2,Table2[[#All],[RC]:[Total External Corrosion Score]],13,FALSE)="",0,100)</f>
        <v>#N/A</v>
      </c>
      <c r="FU23" s="19" t="e">
        <f>IF(VLOOKUP(FU$2,Table2[[#All],[RC]:[Total External Corrosion Score]],13,FALSE)="",0,100)</f>
        <v>#N/A</v>
      </c>
      <c r="FV23" s="19" t="e">
        <f>IF(VLOOKUP(FV$2,Table2[[#All],[RC]:[Total External Corrosion Score]],13,FALSE)="",0,100)</f>
        <v>#N/A</v>
      </c>
    </row>
    <row r="24" spans="1:178">
      <c r="A24" s="61" t="s">
        <v>148</v>
      </c>
      <c r="B24" s="19" t="e">
        <f>IF(VLOOKUP(B$2,Table2[[#All],[RC]:[Total External Corrosion Score]],14,FALSE)="",0,100)</f>
        <v>#N/A</v>
      </c>
      <c r="C24" s="19" t="e">
        <f>IF(VLOOKUP(C$2,Table2[[#All],[RC]:[Total External Corrosion Score]],14,FALSE)="",0,100)</f>
        <v>#N/A</v>
      </c>
      <c r="D24" s="19">
        <f>IF(VLOOKUP(D$2,Table2[[#All],[RC]:[Total External Corrosion Score]],14,FALSE)="",0,100)</f>
        <v>100</v>
      </c>
      <c r="E24" s="19">
        <f>IF(VLOOKUP(E$2,Table2[[#All],[RC]:[Total External Corrosion Score]],14,FALSE)="",0,100)</f>
        <v>100</v>
      </c>
      <c r="F24" s="19">
        <f>IF(VLOOKUP(F$2,Table2[[#All],[RC]:[Total External Corrosion Score]],14,FALSE)="",0,100)</f>
        <v>100</v>
      </c>
      <c r="G24" s="19">
        <f>IF(VLOOKUP(G$2,Table2[[#All],[RC]:[Total External Corrosion Score]],14,FALSE)="",0,100)</f>
        <v>100</v>
      </c>
      <c r="H24" s="19">
        <f>IF(VLOOKUP(H$2,Table2[[#All],[RC]:[Total External Corrosion Score]],14,FALSE)="",0,100)</f>
        <v>100</v>
      </c>
      <c r="I24" s="19">
        <f>IF(VLOOKUP(I$2,Table2[[#All],[RC]:[Total External Corrosion Score]],14,FALSE)="",0,100)</f>
        <v>100</v>
      </c>
      <c r="J24" s="19">
        <f>IF(VLOOKUP(J$2,Table2[[#All],[RC]:[Total External Corrosion Score]],14,FALSE)="",0,100)</f>
        <v>100</v>
      </c>
      <c r="K24" s="19">
        <f>IF(VLOOKUP(K$2,Table2[[#All],[RC]:[Total External Corrosion Score]],14,FALSE)="",0,100)</f>
        <v>100</v>
      </c>
      <c r="L24" s="19">
        <f>IF(VLOOKUP(L$2,Table2[[#All],[RC]:[Total External Corrosion Score]],14,FALSE)="",0,100)</f>
        <v>100</v>
      </c>
      <c r="M24" s="19" t="e">
        <f>IF(VLOOKUP(M$2,Table2[[#All],[RC]:[Total External Corrosion Score]],14,FALSE)="",0,100)</f>
        <v>#N/A</v>
      </c>
      <c r="N24" s="19">
        <f>IF(VLOOKUP(N$2,Table2[[#All],[RC]:[Total External Corrosion Score]],14,FALSE)="",0,100)</f>
        <v>100</v>
      </c>
      <c r="O24" s="19">
        <f>IF(VLOOKUP(O$2,Table2[[#All],[RC]:[Total External Corrosion Score]],14,FALSE)="",0,100)</f>
        <v>100</v>
      </c>
      <c r="P24" s="19">
        <f>IF(VLOOKUP(P$2,Table2[[#All],[RC]:[Total External Corrosion Score]],14,FALSE)="",0,100)</f>
        <v>100</v>
      </c>
      <c r="Q24" s="19">
        <f>IF(VLOOKUP(Q$2,Table2[[#All],[RC]:[Total External Corrosion Score]],14,FALSE)="",0,100)</f>
        <v>100</v>
      </c>
      <c r="R24" s="19">
        <f>IF(VLOOKUP(R$2,Table2[[#All],[RC]:[Total External Corrosion Score]],14,FALSE)="",0,100)</f>
        <v>100</v>
      </c>
      <c r="S24" s="19">
        <f>IF(VLOOKUP(S$2,Table2[[#All],[RC]:[Total External Corrosion Score]],14,FALSE)="",0,100)</f>
        <v>100</v>
      </c>
      <c r="T24" s="19">
        <f>IF(VLOOKUP(T$2,Table2[[#All],[RC]:[Total External Corrosion Score]],14,FALSE)="",0,100)</f>
        <v>100</v>
      </c>
      <c r="U24" s="19">
        <f>IF(VLOOKUP(U$2,Table2[[#All],[RC]:[Total External Corrosion Score]],14,FALSE)="",0,100)</f>
        <v>100</v>
      </c>
      <c r="V24" s="19">
        <f>IF(VLOOKUP(V$2,Table2[[#All],[RC]:[Total External Corrosion Score]],14,FALSE)="",0,100)</f>
        <v>100</v>
      </c>
      <c r="W24" s="19">
        <f>IF(VLOOKUP(W$2,Table2[[#All],[RC]:[Total External Corrosion Score]],14,FALSE)="",0,100)</f>
        <v>100</v>
      </c>
      <c r="X24" s="19">
        <f>IF(VLOOKUP(X$2,Table2[[#All],[RC]:[Total External Corrosion Score]],14,FALSE)="",0,100)</f>
        <v>100</v>
      </c>
      <c r="Y24" s="19" t="e">
        <f>IF(VLOOKUP(Y$2,Table2[[#All],[RC]:[Total External Corrosion Score]],14,FALSE)="",0,100)</f>
        <v>#N/A</v>
      </c>
      <c r="Z24" s="19" t="e">
        <f>IF(VLOOKUP(Z$2,Table2[[#All],[RC]:[Total External Corrosion Score]],14,FALSE)="",0,100)</f>
        <v>#N/A</v>
      </c>
      <c r="AA24" s="19">
        <f>IF(VLOOKUP(AA$2,Table2[[#All],[RC]:[Total External Corrosion Score]],14,FALSE)="",0,100)</f>
        <v>100</v>
      </c>
      <c r="AB24" s="19">
        <f>IF(VLOOKUP(AB$2,Table2[[#All],[RC]:[Total External Corrosion Score]],14,FALSE)="",0,100)</f>
        <v>100</v>
      </c>
      <c r="AC24" s="19">
        <f>IF(VLOOKUP(AC$2,Table2[[#All],[RC]:[Total External Corrosion Score]],14,FALSE)="",0,100)</f>
        <v>100</v>
      </c>
      <c r="AD24" s="19">
        <f>IF(VLOOKUP(AD$2,Table2[[#All],[RC]:[Total External Corrosion Score]],14,FALSE)="",0,100)</f>
        <v>100</v>
      </c>
      <c r="AE24" s="19" t="e">
        <f>IF(VLOOKUP(AE$2,Table2[[#All],[RC]:[Total External Corrosion Score]],14,FALSE)="",0,100)</f>
        <v>#N/A</v>
      </c>
      <c r="AF24" s="19">
        <f>IF(VLOOKUP(AF$2,Table2[[#All],[RC]:[Total External Corrosion Score]],14,FALSE)="",0,100)</f>
        <v>100</v>
      </c>
      <c r="AG24" s="19">
        <f>IF(VLOOKUP(AG$2,Table2[[#All],[RC]:[Total External Corrosion Score]],14,FALSE)="",0,100)</f>
        <v>100</v>
      </c>
      <c r="AH24" s="19">
        <f>IF(VLOOKUP(AH$2,Table2[[#All],[RC]:[Total External Corrosion Score]],14,FALSE)="",0,100)</f>
        <v>100</v>
      </c>
      <c r="AI24" s="19">
        <f>IF(VLOOKUP(AI$2,Table2[[#All],[RC]:[Total External Corrosion Score]],14,FALSE)="",0,100)</f>
        <v>100</v>
      </c>
      <c r="AJ24" s="19">
        <f>IF(VLOOKUP(AJ$2,Table2[[#All],[RC]:[Total External Corrosion Score]],14,FALSE)="",0,100)</f>
        <v>100</v>
      </c>
      <c r="AK24" s="19">
        <f>IF(VLOOKUP(AK$2,Table2[[#All],[RC]:[Total External Corrosion Score]],14,FALSE)="",0,100)</f>
        <v>100</v>
      </c>
      <c r="AL24" s="19" t="e">
        <f>IF(VLOOKUP(AL$2,Table2[[#All],[RC]:[Total External Corrosion Score]],14,FALSE)="",0,100)</f>
        <v>#N/A</v>
      </c>
      <c r="AM24" s="19" t="e">
        <f>IF(VLOOKUP(AM$2,Table2[[#All],[RC]:[Total External Corrosion Score]],14,FALSE)="",0,100)</f>
        <v>#N/A</v>
      </c>
      <c r="AN24" s="19" t="e">
        <f>IF(VLOOKUP(AN$2,Table2[[#All],[RC]:[Total External Corrosion Score]],14,FALSE)="",0,100)</f>
        <v>#N/A</v>
      </c>
      <c r="AO24" s="19">
        <f>IF(VLOOKUP(AO$2,Table2[[#All],[RC]:[Total External Corrosion Score]],14,FALSE)="",0,100)</f>
        <v>100</v>
      </c>
      <c r="AP24" s="19">
        <f>IF(VLOOKUP(AP$2,Table2[[#All],[RC]:[Total External Corrosion Score]],14,FALSE)="",0,100)</f>
        <v>100</v>
      </c>
      <c r="AQ24" s="19" t="e">
        <f>IF(VLOOKUP(AQ$2,Table2[[#All],[RC]:[Total External Corrosion Score]],14,FALSE)="",0,100)</f>
        <v>#N/A</v>
      </c>
      <c r="AR24" s="19" t="e">
        <f>IF(VLOOKUP(AR$2,Table2[[#All],[RC]:[Total External Corrosion Score]],14,FALSE)="",0,100)</f>
        <v>#N/A</v>
      </c>
      <c r="AS24" s="19" t="e">
        <f>IF(VLOOKUP(AS$2,Table2[[#All],[RC]:[Total External Corrosion Score]],14,FALSE)="",0,100)</f>
        <v>#N/A</v>
      </c>
      <c r="AT24" s="19">
        <f>IF(VLOOKUP(AT$2,Table2[[#All],[RC]:[Total External Corrosion Score]],14,FALSE)="",0,100)</f>
        <v>100</v>
      </c>
      <c r="AU24" s="19">
        <f>IF(VLOOKUP(AU$2,Table2[[#All],[RC]:[Total External Corrosion Score]],14,FALSE)="",0,100)</f>
        <v>100</v>
      </c>
      <c r="AV24" s="19">
        <f>IF(VLOOKUP(AV$2,Table2[[#All],[RC]:[Total External Corrosion Score]],14,FALSE)="",0,100)</f>
        <v>100</v>
      </c>
      <c r="AW24" s="19" t="e">
        <f>IF(VLOOKUP(AW$2,Table2[[#All],[RC]:[Total External Corrosion Score]],14,FALSE)="",0,100)</f>
        <v>#N/A</v>
      </c>
      <c r="AX24" s="19">
        <f>IF(VLOOKUP(AX$2,Table2[[#All],[RC]:[Total External Corrosion Score]],14,FALSE)="",0,100)</f>
        <v>100</v>
      </c>
      <c r="AY24" s="19">
        <f>IF(VLOOKUP(AY$2,Table2[[#All],[RC]:[Total External Corrosion Score]],14,FALSE)="",0,100)</f>
        <v>100</v>
      </c>
      <c r="AZ24" s="19">
        <f>IF(VLOOKUP(AZ$2,Table2[[#All],[RC]:[Total External Corrosion Score]],14,FALSE)="",0,100)</f>
        <v>100</v>
      </c>
      <c r="BA24" s="19" t="e">
        <f>IF(VLOOKUP(BA$2,Table2[[#All],[RC]:[Total External Corrosion Score]],14,FALSE)="",0,100)</f>
        <v>#N/A</v>
      </c>
      <c r="BB24" s="19">
        <f>IF(VLOOKUP(BB$2,Table2[[#All],[RC]:[Total External Corrosion Score]],14,FALSE)="",0,100)</f>
        <v>100</v>
      </c>
      <c r="BC24" s="19">
        <f>IF(VLOOKUP(BC$2,Table2[[#All],[RC]:[Total External Corrosion Score]],14,FALSE)="",0,100)</f>
        <v>100</v>
      </c>
      <c r="BD24" s="19" t="e">
        <f>IF(VLOOKUP(BD$2,Table2[[#All],[RC]:[Total External Corrosion Score]],14,FALSE)="",0,100)</f>
        <v>#N/A</v>
      </c>
      <c r="BE24" s="19">
        <f>IF(VLOOKUP(BE$2,Table2[[#All],[RC]:[Total External Corrosion Score]],14,FALSE)="",0,100)</f>
        <v>100</v>
      </c>
      <c r="BF24" s="19">
        <f>IF(VLOOKUP(BF$2,Table2[[#All],[RC]:[Total External Corrosion Score]],14,FALSE)="",0,100)</f>
        <v>100</v>
      </c>
      <c r="BG24" s="19">
        <f>IF(VLOOKUP(BG$2,Table2[[#All],[RC]:[Total External Corrosion Score]],14,FALSE)="",0,100)</f>
        <v>100</v>
      </c>
      <c r="BH24" s="19" t="e">
        <f>IF(VLOOKUP(BH$2,Table2[[#All],[RC]:[Total External Corrosion Score]],14,FALSE)="",0,100)</f>
        <v>#N/A</v>
      </c>
      <c r="BI24" s="19" t="e">
        <f>IF(VLOOKUP(BI$2,Table2[[#All],[RC]:[Total External Corrosion Score]],14,FALSE)="",0,100)</f>
        <v>#N/A</v>
      </c>
      <c r="BJ24" s="19" t="e">
        <f>IF(VLOOKUP(BJ$2,Table2[[#All],[RC]:[Total External Corrosion Score]],14,FALSE)="",0,100)</f>
        <v>#N/A</v>
      </c>
      <c r="BK24" s="19">
        <f>IF(VLOOKUP(BK$2,Table2[[#All],[RC]:[Total External Corrosion Score]],14,FALSE)="",0,100)</f>
        <v>100</v>
      </c>
      <c r="BL24" s="19">
        <f>IF(VLOOKUP(BL$2,Table2[[#All],[RC]:[Total External Corrosion Score]],14,FALSE)="",0,100)</f>
        <v>100</v>
      </c>
      <c r="BM24" s="19" t="e">
        <f>IF(VLOOKUP(BM$2,Table2[[#All],[RC]:[Total External Corrosion Score]],14,FALSE)="",0,100)</f>
        <v>#N/A</v>
      </c>
      <c r="BN24" s="19">
        <f>IF(VLOOKUP(BN$2,Table2[[#All],[RC]:[Total External Corrosion Score]],14,FALSE)="",0,100)</f>
        <v>100</v>
      </c>
      <c r="BO24" s="19">
        <f>IF(VLOOKUP(BO$2,Table2[[#All],[RC]:[Total External Corrosion Score]],14,FALSE)="",0,100)</f>
        <v>100</v>
      </c>
      <c r="BP24" s="19">
        <f>IF(VLOOKUP(BP$2,Table2[[#All],[RC]:[Total External Corrosion Score]],14,FALSE)="",0,100)</f>
        <v>100</v>
      </c>
      <c r="BQ24" s="19">
        <f>IF(VLOOKUP(BQ$2,Table2[[#All],[RC]:[Total External Corrosion Score]],14,FALSE)="",0,100)</f>
        <v>100</v>
      </c>
      <c r="BR24" s="19">
        <f>IF(VLOOKUP(BR$2,Table2[[#All],[RC]:[Total External Corrosion Score]],14,FALSE)="",0,100)</f>
        <v>100</v>
      </c>
      <c r="BS24" s="19">
        <f>IF(VLOOKUP(BS$2,Table2[[#All],[RC]:[Total External Corrosion Score]],14,FALSE)="",0,100)</f>
        <v>100</v>
      </c>
      <c r="BT24" s="19" t="e">
        <f>IF(VLOOKUP(BT$2,Table2[[#All],[RC]:[Total External Corrosion Score]],14,FALSE)="",0,100)</f>
        <v>#N/A</v>
      </c>
      <c r="BU24" s="19">
        <f>IF(VLOOKUP(BU$2,Table2[[#All],[RC]:[Total External Corrosion Score]],14,FALSE)="",0,100)</f>
        <v>100</v>
      </c>
      <c r="BV24" s="19" t="e">
        <f>IF(VLOOKUP(BV$2,Table2[[#All],[RC]:[Total External Corrosion Score]],14,FALSE)="",0,100)</f>
        <v>#N/A</v>
      </c>
      <c r="BW24" s="19">
        <f>IF(VLOOKUP(BW$2,Table2[[#All],[RC]:[Total External Corrosion Score]],14,FALSE)="",0,100)</f>
        <v>100</v>
      </c>
      <c r="BX24" s="19">
        <f>IF(VLOOKUP(BX$2,Table2[[#All],[RC]:[Total External Corrosion Score]],14,FALSE)="",0,100)</f>
        <v>100</v>
      </c>
      <c r="BY24" s="19">
        <f>IF(VLOOKUP(BY$2,Table2[[#All],[RC]:[Total External Corrosion Score]],14,FALSE)="",0,100)</f>
        <v>100</v>
      </c>
      <c r="BZ24" s="19">
        <f>IF(VLOOKUP(BZ$2,Table2[[#All],[RC]:[Total External Corrosion Score]],14,FALSE)="",0,100)</f>
        <v>100</v>
      </c>
      <c r="CA24" s="19">
        <f>IF(VLOOKUP(CA$2,Table2[[#All],[RC]:[Total External Corrosion Score]],14,FALSE)="",0,100)</f>
        <v>100</v>
      </c>
      <c r="CB24" s="19" t="e">
        <f>IF(VLOOKUP(CB$2,Table2[[#All],[RC]:[Total External Corrosion Score]],14,FALSE)="",0,100)</f>
        <v>#N/A</v>
      </c>
      <c r="CC24" s="19" t="e">
        <f>IF(VLOOKUP(CC$2,Table2[[#All],[RC]:[Total External Corrosion Score]],14,FALSE)="",0,100)</f>
        <v>#N/A</v>
      </c>
      <c r="CD24" s="19">
        <f>IF(VLOOKUP(CD$2,Table2[[#All],[RC]:[Total External Corrosion Score]],14,FALSE)="",0,100)</f>
        <v>100</v>
      </c>
      <c r="CE24" s="19">
        <f>IF(VLOOKUP(CE$2,Table2[[#All],[RC]:[Total External Corrosion Score]],14,FALSE)="",0,100)</f>
        <v>100</v>
      </c>
      <c r="CF24" s="19">
        <f>IF(VLOOKUP(CF$2,Table2[[#All],[RC]:[Total External Corrosion Score]],14,FALSE)="",0,100)</f>
        <v>100</v>
      </c>
      <c r="CG24" s="19">
        <f>IF(VLOOKUP(CG$2,Table2[[#All],[RC]:[Total External Corrosion Score]],14,FALSE)="",0,100)</f>
        <v>100</v>
      </c>
      <c r="CH24" s="19">
        <f>IF(VLOOKUP(CH$2,Table2[[#All],[RC]:[Total External Corrosion Score]],14,FALSE)="",0,100)</f>
        <v>100</v>
      </c>
      <c r="CI24" s="19">
        <f>IF(VLOOKUP(CI$2,Table2[[#All],[RC]:[Total External Corrosion Score]],14,FALSE)="",0,100)</f>
        <v>100</v>
      </c>
      <c r="CJ24" s="19">
        <f>IF(VLOOKUP(CJ$2,Table2[[#All],[RC]:[Total External Corrosion Score]],14,FALSE)="",0,100)</f>
        <v>100</v>
      </c>
      <c r="CK24" s="19">
        <f>IF(VLOOKUP(CK$2,Table2[[#All],[RC]:[Total External Corrosion Score]],14,FALSE)="",0,100)</f>
        <v>100</v>
      </c>
      <c r="CL24" s="19">
        <f>IF(VLOOKUP(CL$2,Table2[[#All],[RC]:[Total External Corrosion Score]],14,FALSE)="",0,100)</f>
        <v>100</v>
      </c>
      <c r="CM24" s="19">
        <f>IF(VLOOKUP(CM$2,Table2[[#All],[RC]:[Total External Corrosion Score]],14,FALSE)="",0,100)</f>
        <v>100</v>
      </c>
      <c r="CN24" s="19">
        <f>IF(VLOOKUP(CN$2,Table2[[#All],[RC]:[Total External Corrosion Score]],14,FALSE)="",0,100)</f>
        <v>100</v>
      </c>
      <c r="CO24" s="19">
        <f>IF(VLOOKUP(CO$2,Table2[[#All],[RC]:[Total External Corrosion Score]],14,FALSE)="",0,100)</f>
        <v>100</v>
      </c>
      <c r="CP24" s="19">
        <f>IF(VLOOKUP(CP$2,Table2[[#All],[RC]:[Total External Corrosion Score]],14,FALSE)="",0,100)</f>
        <v>100</v>
      </c>
      <c r="CQ24" s="19">
        <f>IF(VLOOKUP(CQ$2,Table2[[#All],[RC]:[Total External Corrosion Score]],14,FALSE)="",0,100)</f>
        <v>100</v>
      </c>
      <c r="CR24" s="19">
        <f>IF(VLOOKUP(CR$2,Table2[[#All],[RC]:[Total External Corrosion Score]],14,FALSE)="",0,100)</f>
        <v>100</v>
      </c>
      <c r="CS24" s="19">
        <f>IF(VLOOKUP(CS$2,Table2[[#All],[RC]:[Total External Corrosion Score]],14,FALSE)="",0,100)</f>
        <v>100</v>
      </c>
      <c r="CT24" s="19">
        <f>IF(VLOOKUP(CT$2,Table2[[#All],[RC]:[Total External Corrosion Score]],14,FALSE)="",0,100)</f>
        <v>100</v>
      </c>
      <c r="CU24" s="19">
        <f>IF(VLOOKUP(CU$2,Table2[[#All],[RC]:[Total External Corrosion Score]],14,FALSE)="",0,100)</f>
        <v>100</v>
      </c>
      <c r="CV24" s="19">
        <f>IF(VLOOKUP(CV$2,Table2[[#All],[RC]:[Total External Corrosion Score]],14,FALSE)="",0,100)</f>
        <v>100</v>
      </c>
      <c r="CW24" s="19">
        <f>IF(VLOOKUP(CW$2,Table2[[#All],[RC]:[Total External Corrosion Score]],14,FALSE)="",0,100)</f>
        <v>100</v>
      </c>
      <c r="CX24" s="19">
        <f>IF(VLOOKUP(CX$2,Table2[[#All],[RC]:[Total External Corrosion Score]],14,FALSE)="",0,100)</f>
        <v>100</v>
      </c>
      <c r="CY24" s="19">
        <f>IF(VLOOKUP(CY$2,Table2[[#All],[RC]:[Total External Corrosion Score]],14,FALSE)="",0,100)</f>
        <v>100</v>
      </c>
      <c r="CZ24" s="19">
        <f>IF(VLOOKUP(CZ$2,Table2[[#All],[RC]:[Total External Corrosion Score]],14,FALSE)="",0,100)</f>
        <v>100</v>
      </c>
      <c r="DA24" s="19">
        <f>IF(VLOOKUP(DA$2,Table2[[#All],[RC]:[Total External Corrosion Score]],14,FALSE)="",0,100)</f>
        <v>100</v>
      </c>
      <c r="DB24" s="19">
        <f>IF(VLOOKUP(DB$2,Table2[[#All],[RC]:[Total External Corrosion Score]],14,FALSE)="",0,100)</f>
        <v>100</v>
      </c>
      <c r="DC24" s="19">
        <f>IF(VLOOKUP(DC$2,Table2[[#All],[RC]:[Total External Corrosion Score]],14,FALSE)="",0,100)</f>
        <v>100</v>
      </c>
      <c r="DD24" s="19">
        <f>IF(VLOOKUP(DD$2,Table2[[#All],[RC]:[Total External Corrosion Score]],14,FALSE)="",0,100)</f>
        <v>100</v>
      </c>
      <c r="DE24" s="19">
        <f>IF(VLOOKUP(DE$2,Table2[[#All],[RC]:[Total External Corrosion Score]],14,FALSE)="",0,100)</f>
        <v>100</v>
      </c>
      <c r="DF24" s="19">
        <f>IF(VLOOKUP(DF$2,Table2[[#All],[RC]:[Total External Corrosion Score]],14,FALSE)="",0,100)</f>
        <v>100</v>
      </c>
      <c r="DG24" s="19" t="e">
        <f>IF(VLOOKUP(DG$2,Table2[[#All],[RC]:[Total External Corrosion Score]],14,FALSE)="",0,100)</f>
        <v>#N/A</v>
      </c>
      <c r="DH24" s="19" t="e">
        <f>IF(VLOOKUP(DH$2,Table2[[#All],[RC]:[Total External Corrosion Score]],14,FALSE)="",0,100)</f>
        <v>#N/A</v>
      </c>
      <c r="DI24" s="19" t="e">
        <f>IF(VLOOKUP(DI$2,Table2[[#All],[RC]:[Total External Corrosion Score]],14,FALSE)="",0,100)</f>
        <v>#N/A</v>
      </c>
      <c r="DJ24" s="19">
        <f>IF(VLOOKUP(DJ$2,Table2[[#All],[RC]:[Total External Corrosion Score]],14,FALSE)="",0,100)</f>
        <v>100</v>
      </c>
      <c r="DK24" s="19">
        <f>IF(VLOOKUP(DK$2,Table2[[#All],[RC]:[Total External Corrosion Score]],14,FALSE)="",0,100)</f>
        <v>100</v>
      </c>
      <c r="DL24" s="19">
        <f>IF(VLOOKUP(DL$2,Table2[[#All],[RC]:[Total External Corrosion Score]],14,FALSE)="",0,100)</f>
        <v>100</v>
      </c>
      <c r="DM24" s="19">
        <f>IF(VLOOKUP(DM$2,Table2[[#All],[RC]:[Total External Corrosion Score]],14,FALSE)="",0,100)</f>
        <v>100</v>
      </c>
      <c r="DN24" s="19">
        <f>IF(VLOOKUP(DN$2,Table2[[#All],[RC]:[Total External Corrosion Score]],14,FALSE)="",0,100)</f>
        <v>100</v>
      </c>
      <c r="DO24" s="19">
        <f>IF(VLOOKUP(DO$2,Table2[[#All],[RC]:[Total External Corrosion Score]],14,FALSE)="",0,100)</f>
        <v>100</v>
      </c>
      <c r="DP24" s="19" t="e">
        <f>IF(VLOOKUP(DP$2,Table2[[#All],[RC]:[Total External Corrosion Score]],14,FALSE)="",0,100)</f>
        <v>#N/A</v>
      </c>
      <c r="DQ24" s="19" t="e">
        <f>IF(VLOOKUP(DQ$2,Table2[[#All],[RC]:[Total External Corrosion Score]],14,FALSE)="",0,100)</f>
        <v>#N/A</v>
      </c>
      <c r="DR24" s="19" t="e">
        <f>IF(VLOOKUP(DR$2,Table2[[#All],[RC]:[Total External Corrosion Score]],14,FALSE)="",0,100)</f>
        <v>#N/A</v>
      </c>
      <c r="DS24" s="19" t="e">
        <f>IF(VLOOKUP(DS$2,Table2[[#All],[RC]:[Total External Corrosion Score]],14,FALSE)="",0,100)</f>
        <v>#N/A</v>
      </c>
      <c r="DT24" s="19">
        <f>IF(VLOOKUP(DT$2,Table2[[#All],[RC]:[Total External Corrosion Score]],14,FALSE)="",0,100)</f>
        <v>100</v>
      </c>
      <c r="DU24" s="19" t="e">
        <f>IF(VLOOKUP(DU$2,Table2[[#All],[RC]:[Total External Corrosion Score]],14,FALSE)="",0,100)</f>
        <v>#N/A</v>
      </c>
      <c r="DV24" s="19" t="e">
        <f>IF(VLOOKUP(DV$2,Table2[[#All],[RC]:[Total External Corrosion Score]],14,FALSE)="",0,100)</f>
        <v>#N/A</v>
      </c>
      <c r="DW24" s="19">
        <f>IF(VLOOKUP(DW$2,Table2[[#All],[RC]:[Total External Corrosion Score]],14,FALSE)="",0,100)</f>
        <v>100</v>
      </c>
      <c r="DX24" s="19">
        <f>IF(VLOOKUP(DX$2,Table2[[#All],[RC]:[Total External Corrosion Score]],14,FALSE)="",0,100)</f>
        <v>100</v>
      </c>
      <c r="DY24" s="19">
        <f>IF(VLOOKUP(DY$2,Table2[[#All],[RC]:[Total External Corrosion Score]],14,FALSE)="",0,100)</f>
        <v>100</v>
      </c>
      <c r="DZ24" s="19">
        <f>IF(VLOOKUP(DZ$2,Table2[[#All],[RC]:[Total External Corrosion Score]],14,FALSE)="",0,100)</f>
        <v>100</v>
      </c>
      <c r="EA24" s="19" t="e">
        <f>IF(VLOOKUP(EA$2,Table2[[#All],[RC]:[Total External Corrosion Score]],14,FALSE)="",0,100)</f>
        <v>#N/A</v>
      </c>
      <c r="EB24" s="19" t="e">
        <f>IF(VLOOKUP(EB$2,Table2[[#All],[RC]:[Total External Corrosion Score]],14,FALSE)="",0,100)</f>
        <v>#N/A</v>
      </c>
      <c r="EC24" s="19">
        <f>IF(VLOOKUP(EC$2,Table2[[#All],[RC]:[Total External Corrosion Score]],14,FALSE)="",0,100)</f>
        <v>100</v>
      </c>
      <c r="ED24" s="19">
        <f>IF(VLOOKUP(ED$2,Table2[[#All],[RC]:[Total External Corrosion Score]],14,FALSE)="",0,100)</f>
        <v>100</v>
      </c>
      <c r="EE24" s="19" t="e">
        <f>IF(VLOOKUP(EE$2,Table2[[#All],[RC]:[Total External Corrosion Score]],14,FALSE)="",0,100)</f>
        <v>#N/A</v>
      </c>
      <c r="EF24" s="19">
        <f>IF(VLOOKUP(EF$2,Table2[[#All],[RC]:[Total External Corrosion Score]],14,FALSE)="",0,100)</f>
        <v>100</v>
      </c>
      <c r="EG24" s="19">
        <f>IF(VLOOKUP(EG$2,Table2[[#All],[RC]:[Total External Corrosion Score]],14,FALSE)="",0,100)</f>
        <v>100</v>
      </c>
      <c r="EH24" s="19">
        <f>IF(VLOOKUP(EH$2,Table2[[#All],[RC]:[Total External Corrosion Score]],14,FALSE)="",0,100)</f>
        <v>100</v>
      </c>
      <c r="EI24" s="19">
        <f>IF(VLOOKUP(EI$2,Table2[[#All],[RC]:[Total External Corrosion Score]],14,FALSE)="",0,100)</f>
        <v>100</v>
      </c>
      <c r="EJ24" s="19">
        <f>IF(VLOOKUP(EJ$2,Table2[[#All],[RC]:[Total External Corrosion Score]],14,FALSE)="",0,100)</f>
        <v>100</v>
      </c>
      <c r="EK24" s="19" t="e">
        <f>IF(VLOOKUP(EK$2,Table2[[#All],[RC]:[Total External Corrosion Score]],14,FALSE)="",0,100)</f>
        <v>#N/A</v>
      </c>
      <c r="EL24" s="19" t="e">
        <f>IF(VLOOKUP(EL$2,Table2[[#All],[RC]:[Total External Corrosion Score]],14,FALSE)="",0,100)</f>
        <v>#N/A</v>
      </c>
      <c r="EM24" s="19" t="e">
        <f>IF(VLOOKUP(EM$2,Table2[[#All],[RC]:[Total External Corrosion Score]],14,FALSE)="",0,100)</f>
        <v>#N/A</v>
      </c>
      <c r="EN24" s="19" t="e">
        <f>IF(VLOOKUP(EN$2,Table2[[#All],[RC]:[Total External Corrosion Score]],14,FALSE)="",0,100)</f>
        <v>#N/A</v>
      </c>
      <c r="EO24" s="19" t="e">
        <f>IF(VLOOKUP(EO$2,Table2[[#All],[RC]:[Total External Corrosion Score]],14,FALSE)="",0,100)</f>
        <v>#N/A</v>
      </c>
      <c r="EP24" s="19" t="e">
        <f>IF(VLOOKUP(EP$2,Table2[[#All],[RC]:[Total External Corrosion Score]],14,FALSE)="",0,100)</f>
        <v>#N/A</v>
      </c>
      <c r="EQ24" s="19" t="e">
        <f>IF(VLOOKUP(EQ$2,Table2[[#All],[RC]:[Total External Corrosion Score]],14,FALSE)="",0,100)</f>
        <v>#N/A</v>
      </c>
      <c r="ER24" s="19" t="e">
        <f>IF(VLOOKUP(ER$2,Table2[[#All],[RC]:[Total External Corrosion Score]],14,FALSE)="",0,100)</f>
        <v>#N/A</v>
      </c>
      <c r="ES24" s="19">
        <f>IF(VLOOKUP(ES$2,Table2[[#All],[RC]:[Total External Corrosion Score]],14,FALSE)="",0,100)</f>
        <v>100</v>
      </c>
      <c r="ET24" s="19">
        <f>IF(VLOOKUP(ET$2,Table2[[#All],[RC]:[Total External Corrosion Score]],14,FALSE)="",0,100)</f>
        <v>100</v>
      </c>
      <c r="EU24" s="19">
        <f>IF(VLOOKUP(EU$2,Table2[[#All],[RC]:[Total External Corrosion Score]],14,FALSE)="",0,100)</f>
        <v>100</v>
      </c>
      <c r="EV24" s="19">
        <f>IF(VLOOKUP(EV$2,Table2[[#All],[RC]:[Total External Corrosion Score]],14,FALSE)="",0,100)</f>
        <v>100</v>
      </c>
      <c r="EW24" s="19">
        <f>IF(VLOOKUP(EW$2,Table2[[#All],[RC]:[Total External Corrosion Score]],14,FALSE)="",0,100)</f>
        <v>100</v>
      </c>
      <c r="EX24" s="19">
        <f>IF(VLOOKUP(EX$2,Table2[[#All],[RC]:[Total External Corrosion Score]],14,FALSE)="",0,100)</f>
        <v>100</v>
      </c>
      <c r="EY24" s="19" t="e">
        <f>IF(VLOOKUP(EY$2,Table2[[#All],[RC]:[Total External Corrosion Score]],14,FALSE)="",0,100)</f>
        <v>#N/A</v>
      </c>
      <c r="EZ24" s="19" t="e">
        <f>IF(VLOOKUP(EZ$2,Table2[[#All],[RC]:[Total External Corrosion Score]],14,FALSE)="",0,100)</f>
        <v>#N/A</v>
      </c>
      <c r="FA24" s="19" t="e">
        <f>IF(VLOOKUP(FA$2,Table2[[#All],[RC]:[Total External Corrosion Score]],14,FALSE)="",0,100)</f>
        <v>#N/A</v>
      </c>
      <c r="FB24" s="19">
        <f>IF(VLOOKUP(FB$2,Table2[[#All],[RC]:[Total External Corrosion Score]],14,FALSE)="",0,100)</f>
        <v>100</v>
      </c>
      <c r="FC24" s="19" t="e">
        <f>IF(VLOOKUP(FC$2,Table2[[#All],[RC]:[Total External Corrosion Score]],14,FALSE)="",0,100)</f>
        <v>#N/A</v>
      </c>
      <c r="FD24" s="19">
        <f>IF(VLOOKUP(FD$2,Table2[[#All],[RC]:[Total External Corrosion Score]],14,FALSE)="",0,100)</f>
        <v>100</v>
      </c>
      <c r="FE24" s="19">
        <f>IF(VLOOKUP(FE$2,Table2[[#All],[RC]:[Total External Corrosion Score]],14,FALSE)="",0,100)</f>
        <v>100</v>
      </c>
      <c r="FF24" s="19">
        <f>IF(VLOOKUP(FF$2,Table2[[#All],[RC]:[Total External Corrosion Score]],14,FALSE)="",0,100)</f>
        <v>100</v>
      </c>
      <c r="FG24" s="19">
        <f>IF(VLOOKUP(FG$2,Table2[[#All],[RC]:[Total External Corrosion Score]],14,FALSE)="",0,100)</f>
        <v>100</v>
      </c>
      <c r="FH24" s="19" t="e">
        <f>IF(VLOOKUP(FH$2,Table2[[#All],[RC]:[Total External Corrosion Score]],14,FALSE)="",0,100)</f>
        <v>#N/A</v>
      </c>
      <c r="FI24" s="19" t="e">
        <f>IF(VLOOKUP(FI$2,Table2[[#All],[RC]:[Total External Corrosion Score]],14,FALSE)="",0,100)</f>
        <v>#N/A</v>
      </c>
      <c r="FJ24" s="19">
        <f>IF(VLOOKUP(FJ$2,Table2[[#All],[RC]:[Total External Corrosion Score]],14,FALSE)="",0,100)</f>
        <v>100</v>
      </c>
      <c r="FK24" s="19">
        <f>IF(VLOOKUP(FK$2,Table2[[#All],[RC]:[Total External Corrosion Score]],14,FALSE)="",0,100)</f>
        <v>100</v>
      </c>
      <c r="FL24" s="19" t="e">
        <f>IF(VLOOKUP(FL$2,Table2[[#All],[RC]:[Total External Corrosion Score]],14,FALSE)="",0,100)</f>
        <v>#N/A</v>
      </c>
      <c r="FM24" s="19" t="e">
        <f>IF(VLOOKUP(FM$2,Table2[[#All],[RC]:[Total External Corrosion Score]],14,FALSE)="",0,100)</f>
        <v>#N/A</v>
      </c>
      <c r="FN24" s="19" t="e">
        <f>IF(VLOOKUP(FN$2,Table2[[#All],[RC]:[Total External Corrosion Score]],14,FALSE)="",0,100)</f>
        <v>#N/A</v>
      </c>
      <c r="FO24" s="19">
        <f>IF(VLOOKUP(FO$2,Table2[[#All],[RC]:[Total External Corrosion Score]],14,FALSE)="",0,100)</f>
        <v>100</v>
      </c>
      <c r="FP24" s="19">
        <f>IF(VLOOKUP(FP$2,Table2[[#All],[RC]:[Total External Corrosion Score]],14,FALSE)="",0,100)</f>
        <v>100</v>
      </c>
      <c r="FQ24" s="19">
        <f>IF(VLOOKUP(FQ$2,Table2[[#All],[RC]:[Total External Corrosion Score]],14,FALSE)="",0,100)</f>
        <v>100</v>
      </c>
      <c r="FR24" s="19">
        <f>IF(VLOOKUP(FR$2,Table2[[#All],[RC]:[Total External Corrosion Score]],14,FALSE)="",0,100)</f>
        <v>100</v>
      </c>
      <c r="FS24" s="19" t="e">
        <f>IF(VLOOKUP(FS$2,Table2[[#All],[RC]:[Total External Corrosion Score]],14,FALSE)="",0,100)</f>
        <v>#N/A</v>
      </c>
      <c r="FT24" s="19" t="e">
        <f>IF(VLOOKUP(FT$2,Table2[[#All],[RC]:[Total External Corrosion Score]],14,FALSE)="",0,100)</f>
        <v>#N/A</v>
      </c>
      <c r="FU24" s="19" t="e">
        <f>IF(VLOOKUP(FU$2,Table2[[#All],[RC]:[Total External Corrosion Score]],14,FALSE)="",0,100)</f>
        <v>#N/A</v>
      </c>
      <c r="FV24" s="19" t="e">
        <f>IF(VLOOKUP(FV$2,Table2[[#All],[RC]:[Total External Corrosion Score]],14,FALSE)="",0,100)</f>
        <v>#N/A</v>
      </c>
    </row>
    <row r="25" spans="1:178">
      <c r="A25" s="61" t="s">
        <v>158</v>
      </c>
      <c r="B25" s="19" t="e">
        <f>IF(VLOOKUP(B$2,Table2[[#All],[RC]:[Total External Corrosion Score]],15,FALSE)="",0,100)</f>
        <v>#N/A</v>
      </c>
      <c r="C25" s="19" t="e">
        <f>IF(VLOOKUP(C$2,Table2[[#All],[RC]:[Total External Corrosion Score]],15,FALSE)="",0,100)</f>
        <v>#N/A</v>
      </c>
      <c r="D25" s="19">
        <f>IF(VLOOKUP(D$2,Table2[[#All],[RC]:[Total External Corrosion Score]],15,FALSE)="",0,100)</f>
        <v>100</v>
      </c>
      <c r="E25" s="19">
        <f>IF(VLOOKUP(E$2,Table2[[#All],[RC]:[Total External Corrosion Score]],15,FALSE)="",0,100)</f>
        <v>100</v>
      </c>
      <c r="F25" s="19">
        <f>IF(VLOOKUP(F$2,Table2[[#All],[RC]:[Total External Corrosion Score]],15,FALSE)="",0,100)</f>
        <v>100</v>
      </c>
      <c r="G25" s="19">
        <f>IF(VLOOKUP(G$2,Table2[[#All],[RC]:[Total External Corrosion Score]],15,FALSE)="",0,100)</f>
        <v>100</v>
      </c>
      <c r="H25" s="19">
        <f>IF(VLOOKUP(H$2,Table2[[#All],[RC]:[Total External Corrosion Score]],15,FALSE)="",0,100)</f>
        <v>100</v>
      </c>
      <c r="I25" s="19">
        <f>IF(VLOOKUP(I$2,Table2[[#All],[RC]:[Total External Corrosion Score]],15,FALSE)="",0,100)</f>
        <v>100</v>
      </c>
      <c r="J25" s="19">
        <f>IF(VLOOKUP(J$2,Table2[[#All],[RC]:[Total External Corrosion Score]],15,FALSE)="",0,100)</f>
        <v>100</v>
      </c>
      <c r="K25" s="19">
        <f>IF(VLOOKUP(K$2,Table2[[#All],[RC]:[Total External Corrosion Score]],15,FALSE)="",0,100)</f>
        <v>100</v>
      </c>
      <c r="L25" s="19">
        <f>IF(VLOOKUP(L$2,Table2[[#All],[RC]:[Total External Corrosion Score]],15,FALSE)="",0,100)</f>
        <v>100</v>
      </c>
      <c r="M25" s="19" t="e">
        <f>IF(VLOOKUP(M$2,Table2[[#All],[RC]:[Total External Corrosion Score]],15,FALSE)="",0,100)</f>
        <v>#N/A</v>
      </c>
      <c r="N25" s="19">
        <f>IF(VLOOKUP(N$2,Table2[[#All],[RC]:[Total External Corrosion Score]],15,FALSE)="",0,100)</f>
        <v>100</v>
      </c>
      <c r="O25" s="19">
        <f>IF(VLOOKUP(O$2,Table2[[#All],[RC]:[Total External Corrosion Score]],15,FALSE)="",0,100)</f>
        <v>100</v>
      </c>
      <c r="P25" s="19">
        <f>IF(VLOOKUP(P$2,Table2[[#All],[RC]:[Total External Corrosion Score]],15,FALSE)="",0,100)</f>
        <v>100</v>
      </c>
      <c r="Q25" s="19">
        <f>IF(VLOOKUP(Q$2,Table2[[#All],[RC]:[Total External Corrosion Score]],15,FALSE)="",0,100)</f>
        <v>100</v>
      </c>
      <c r="R25" s="19">
        <f>IF(VLOOKUP(R$2,Table2[[#All],[RC]:[Total External Corrosion Score]],15,FALSE)="",0,100)</f>
        <v>100</v>
      </c>
      <c r="S25" s="19">
        <f>IF(VLOOKUP(S$2,Table2[[#All],[RC]:[Total External Corrosion Score]],15,FALSE)="",0,100)</f>
        <v>100</v>
      </c>
      <c r="T25" s="19">
        <f>IF(VLOOKUP(T$2,Table2[[#All],[RC]:[Total External Corrosion Score]],15,FALSE)="",0,100)</f>
        <v>100</v>
      </c>
      <c r="U25" s="19">
        <f>IF(VLOOKUP(U$2,Table2[[#All],[RC]:[Total External Corrosion Score]],15,FALSE)="",0,100)</f>
        <v>100</v>
      </c>
      <c r="V25" s="19">
        <f>IF(VLOOKUP(V$2,Table2[[#All],[RC]:[Total External Corrosion Score]],15,FALSE)="",0,100)</f>
        <v>100</v>
      </c>
      <c r="W25" s="19">
        <f>IF(VLOOKUP(W$2,Table2[[#All],[RC]:[Total External Corrosion Score]],15,FALSE)="",0,100)</f>
        <v>100</v>
      </c>
      <c r="X25" s="19">
        <f>IF(VLOOKUP(X$2,Table2[[#All],[RC]:[Total External Corrosion Score]],15,FALSE)="",0,100)</f>
        <v>100</v>
      </c>
      <c r="Y25" s="19" t="e">
        <f>IF(VLOOKUP(Y$2,Table2[[#All],[RC]:[Total External Corrosion Score]],15,FALSE)="",0,100)</f>
        <v>#N/A</v>
      </c>
      <c r="Z25" s="19" t="e">
        <f>IF(VLOOKUP(Z$2,Table2[[#All],[RC]:[Total External Corrosion Score]],15,FALSE)="",0,100)</f>
        <v>#N/A</v>
      </c>
      <c r="AA25" s="19">
        <f>IF(VLOOKUP(AA$2,Table2[[#All],[RC]:[Total External Corrosion Score]],15,FALSE)="",0,100)</f>
        <v>100</v>
      </c>
      <c r="AB25" s="19">
        <f>IF(VLOOKUP(AB$2,Table2[[#All],[RC]:[Total External Corrosion Score]],15,FALSE)="",0,100)</f>
        <v>100</v>
      </c>
      <c r="AC25" s="19">
        <f>IF(VLOOKUP(AC$2,Table2[[#All],[RC]:[Total External Corrosion Score]],15,FALSE)="",0,100)</f>
        <v>100</v>
      </c>
      <c r="AD25" s="19">
        <f>IF(VLOOKUP(AD$2,Table2[[#All],[RC]:[Total External Corrosion Score]],15,FALSE)="",0,100)</f>
        <v>100</v>
      </c>
      <c r="AE25" s="19" t="e">
        <f>IF(VLOOKUP(AE$2,Table2[[#All],[RC]:[Total External Corrosion Score]],15,FALSE)="",0,100)</f>
        <v>#N/A</v>
      </c>
      <c r="AF25" s="19">
        <f>IF(VLOOKUP(AF$2,Table2[[#All],[RC]:[Total External Corrosion Score]],15,FALSE)="",0,100)</f>
        <v>100</v>
      </c>
      <c r="AG25" s="19">
        <f>IF(VLOOKUP(AG$2,Table2[[#All],[RC]:[Total External Corrosion Score]],15,FALSE)="",0,100)</f>
        <v>100</v>
      </c>
      <c r="AH25" s="19">
        <f>IF(VLOOKUP(AH$2,Table2[[#All],[RC]:[Total External Corrosion Score]],15,FALSE)="",0,100)</f>
        <v>100</v>
      </c>
      <c r="AI25" s="19">
        <f>IF(VLOOKUP(AI$2,Table2[[#All],[RC]:[Total External Corrosion Score]],15,FALSE)="",0,100)</f>
        <v>100</v>
      </c>
      <c r="AJ25" s="19">
        <f>IF(VLOOKUP(AJ$2,Table2[[#All],[RC]:[Total External Corrosion Score]],15,FALSE)="",0,100)</f>
        <v>100</v>
      </c>
      <c r="AK25" s="19">
        <f>IF(VLOOKUP(AK$2,Table2[[#All],[RC]:[Total External Corrosion Score]],15,FALSE)="",0,100)</f>
        <v>100</v>
      </c>
      <c r="AL25" s="19" t="e">
        <f>IF(VLOOKUP(AL$2,Table2[[#All],[RC]:[Total External Corrosion Score]],15,FALSE)="",0,100)</f>
        <v>#N/A</v>
      </c>
      <c r="AM25" s="19" t="e">
        <f>IF(VLOOKUP(AM$2,Table2[[#All],[RC]:[Total External Corrosion Score]],15,FALSE)="",0,100)</f>
        <v>#N/A</v>
      </c>
      <c r="AN25" s="19" t="e">
        <f>IF(VLOOKUP(AN$2,Table2[[#All],[RC]:[Total External Corrosion Score]],15,FALSE)="",0,100)</f>
        <v>#N/A</v>
      </c>
      <c r="AO25" s="19">
        <f>IF(VLOOKUP(AO$2,Table2[[#All],[RC]:[Total External Corrosion Score]],15,FALSE)="",0,100)</f>
        <v>100</v>
      </c>
      <c r="AP25" s="19">
        <f>IF(VLOOKUP(AP$2,Table2[[#All],[RC]:[Total External Corrosion Score]],15,FALSE)="",0,100)</f>
        <v>100</v>
      </c>
      <c r="AQ25" s="19" t="e">
        <f>IF(VLOOKUP(AQ$2,Table2[[#All],[RC]:[Total External Corrosion Score]],15,FALSE)="",0,100)</f>
        <v>#N/A</v>
      </c>
      <c r="AR25" s="19" t="e">
        <f>IF(VLOOKUP(AR$2,Table2[[#All],[RC]:[Total External Corrosion Score]],15,FALSE)="",0,100)</f>
        <v>#N/A</v>
      </c>
      <c r="AS25" s="19" t="e">
        <f>IF(VLOOKUP(AS$2,Table2[[#All],[RC]:[Total External Corrosion Score]],15,FALSE)="",0,100)</f>
        <v>#N/A</v>
      </c>
      <c r="AT25" s="19">
        <f>IF(VLOOKUP(AT$2,Table2[[#All],[RC]:[Total External Corrosion Score]],15,FALSE)="",0,100)</f>
        <v>100</v>
      </c>
      <c r="AU25" s="19">
        <f>IF(VLOOKUP(AU$2,Table2[[#All],[RC]:[Total External Corrosion Score]],15,FALSE)="",0,100)</f>
        <v>100</v>
      </c>
      <c r="AV25" s="19">
        <f>IF(VLOOKUP(AV$2,Table2[[#All],[RC]:[Total External Corrosion Score]],15,FALSE)="",0,100)</f>
        <v>100</v>
      </c>
      <c r="AW25" s="19" t="e">
        <f>IF(VLOOKUP(AW$2,Table2[[#All],[RC]:[Total External Corrosion Score]],15,FALSE)="",0,100)</f>
        <v>#N/A</v>
      </c>
      <c r="AX25" s="19">
        <f>IF(VLOOKUP(AX$2,Table2[[#All],[RC]:[Total External Corrosion Score]],15,FALSE)="",0,100)</f>
        <v>100</v>
      </c>
      <c r="AY25" s="19">
        <f>IF(VLOOKUP(AY$2,Table2[[#All],[RC]:[Total External Corrosion Score]],15,FALSE)="",0,100)</f>
        <v>100</v>
      </c>
      <c r="AZ25" s="19">
        <f>IF(VLOOKUP(AZ$2,Table2[[#All],[RC]:[Total External Corrosion Score]],15,FALSE)="",0,100)</f>
        <v>100</v>
      </c>
      <c r="BA25" s="19" t="e">
        <f>IF(VLOOKUP(BA$2,Table2[[#All],[RC]:[Total External Corrosion Score]],15,FALSE)="",0,100)</f>
        <v>#N/A</v>
      </c>
      <c r="BB25" s="19">
        <f>IF(VLOOKUP(BB$2,Table2[[#All],[RC]:[Total External Corrosion Score]],15,FALSE)="",0,100)</f>
        <v>100</v>
      </c>
      <c r="BC25" s="19">
        <f>IF(VLOOKUP(BC$2,Table2[[#All],[RC]:[Total External Corrosion Score]],15,FALSE)="",0,100)</f>
        <v>100</v>
      </c>
      <c r="BD25" s="19" t="e">
        <f>IF(VLOOKUP(BD$2,Table2[[#All],[RC]:[Total External Corrosion Score]],15,FALSE)="",0,100)</f>
        <v>#N/A</v>
      </c>
      <c r="BE25" s="19">
        <f>IF(VLOOKUP(BE$2,Table2[[#All],[RC]:[Total External Corrosion Score]],15,FALSE)="",0,100)</f>
        <v>100</v>
      </c>
      <c r="BF25" s="19">
        <f>IF(VLOOKUP(BF$2,Table2[[#All],[RC]:[Total External Corrosion Score]],15,FALSE)="",0,100)</f>
        <v>100</v>
      </c>
      <c r="BG25" s="19">
        <f>IF(VLOOKUP(BG$2,Table2[[#All],[RC]:[Total External Corrosion Score]],15,FALSE)="",0,100)</f>
        <v>100</v>
      </c>
      <c r="BH25" s="19" t="e">
        <f>IF(VLOOKUP(BH$2,Table2[[#All],[RC]:[Total External Corrosion Score]],15,FALSE)="",0,100)</f>
        <v>#N/A</v>
      </c>
      <c r="BI25" s="19" t="e">
        <f>IF(VLOOKUP(BI$2,Table2[[#All],[RC]:[Total External Corrosion Score]],15,FALSE)="",0,100)</f>
        <v>#N/A</v>
      </c>
      <c r="BJ25" s="19" t="e">
        <f>IF(VLOOKUP(BJ$2,Table2[[#All],[RC]:[Total External Corrosion Score]],15,FALSE)="",0,100)</f>
        <v>#N/A</v>
      </c>
      <c r="BK25" s="19">
        <f>IF(VLOOKUP(BK$2,Table2[[#All],[RC]:[Total External Corrosion Score]],15,FALSE)="",0,100)</f>
        <v>100</v>
      </c>
      <c r="BL25" s="19">
        <f>IF(VLOOKUP(BL$2,Table2[[#All],[RC]:[Total External Corrosion Score]],15,FALSE)="",0,100)</f>
        <v>100</v>
      </c>
      <c r="BM25" s="19" t="e">
        <f>IF(VLOOKUP(BM$2,Table2[[#All],[RC]:[Total External Corrosion Score]],15,FALSE)="",0,100)</f>
        <v>#N/A</v>
      </c>
      <c r="BN25" s="19">
        <f>IF(VLOOKUP(BN$2,Table2[[#All],[RC]:[Total External Corrosion Score]],15,FALSE)="",0,100)</f>
        <v>100</v>
      </c>
      <c r="BO25" s="19">
        <f>IF(VLOOKUP(BO$2,Table2[[#All],[RC]:[Total External Corrosion Score]],15,FALSE)="",0,100)</f>
        <v>100</v>
      </c>
      <c r="BP25" s="19">
        <f>IF(VLOOKUP(BP$2,Table2[[#All],[RC]:[Total External Corrosion Score]],15,FALSE)="",0,100)</f>
        <v>100</v>
      </c>
      <c r="BQ25" s="19">
        <f>IF(VLOOKUP(BQ$2,Table2[[#All],[RC]:[Total External Corrosion Score]],15,FALSE)="",0,100)</f>
        <v>100</v>
      </c>
      <c r="BR25" s="19">
        <f>IF(VLOOKUP(BR$2,Table2[[#All],[RC]:[Total External Corrosion Score]],15,FALSE)="",0,100)</f>
        <v>100</v>
      </c>
      <c r="BS25" s="19">
        <f>IF(VLOOKUP(BS$2,Table2[[#All],[RC]:[Total External Corrosion Score]],15,FALSE)="",0,100)</f>
        <v>100</v>
      </c>
      <c r="BT25" s="19" t="e">
        <f>IF(VLOOKUP(BT$2,Table2[[#All],[RC]:[Total External Corrosion Score]],15,FALSE)="",0,100)</f>
        <v>#N/A</v>
      </c>
      <c r="BU25" s="19">
        <f>IF(VLOOKUP(BU$2,Table2[[#All],[RC]:[Total External Corrosion Score]],15,FALSE)="",0,100)</f>
        <v>100</v>
      </c>
      <c r="BV25" s="19" t="e">
        <f>IF(VLOOKUP(BV$2,Table2[[#All],[RC]:[Total External Corrosion Score]],15,FALSE)="",0,100)</f>
        <v>#N/A</v>
      </c>
      <c r="BW25" s="19">
        <f>IF(VLOOKUP(BW$2,Table2[[#All],[RC]:[Total External Corrosion Score]],15,FALSE)="",0,100)</f>
        <v>100</v>
      </c>
      <c r="BX25" s="19">
        <f>IF(VLOOKUP(BX$2,Table2[[#All],[RC]:[Total External Corrosion Score]],15,FALSE)="",0,100)</f>
        <v>100</v>
      </c>
      <c r="BY25" s="19">
        <f>IF(VLOOKUP(BY$2,Table2[[#All],[RC]:[Total External Corrosion Score]],15,FALSE)="",0,100)</f>
        <v>100</v>
      </c>
      <c r="BZ25" s="19">
        <f>IF(VLOOKUP(BZ$2,Table2[[#All],[RC]:[Total External Corrosion Score]],15,FALSE)="",0,100)</f>
        <v>100</v>
      </c>
      <c r="CA25" s="19">
        <f>IF(VLOOKUP(CA$2,Table2[[#All],[RC]:[Total External Corrosion Score]],15,FALSE)="",0,100)</f>
        <v>100</v>
      </c>
      <c r="CB25" s="19" t="e">
        <f>IF(VLOOKUP(CB$2,Table2[[#All],[RC]:[Total External Corrosion Score]],15,FALSE)="",0,100)</f>
        <v>#N/A</v>
      </c>
      <c r="CC25" s="19" t="e">
        <f>IF(VLOOKUP(CC$2,Table2[[#All],[RC]:[Total External Corrosion Score]],15,FALSE)="",0,100)</f>
        <v>#N/A</v>
      </c>
      <c r="CD25" s="19">
        <f>IF(VLOOKUP(CD$2,Table2[[#All],[RC]:[Total External Corrosion Score]],15,FALSE)="",0,100)</f>
        <v>100</v>
      </c>
      <c r="CE25" s="19">
        <f>IF(VLOOKUP(CE$2,Table2[[#All],[RC]:[Total External Corrosion Score]],15,FALSE)="",0,100)</f>
        <v>100</v>
      </c>
      <c r="CF25" s="19">
        <f>IF(VLOOKUP(CF$2,Table2[[#All],[RC]:[Total External Corrosion Score]],15,FALSE)="",0,100)</f>
        <v>100</v>
      </c>
      <c r="CG25" s="19">
        <f>IF(VLOOKUP(CG$2,Table2[[#All],[RC]:[Total External Corrosion Score]],15,FALSE)="",0,100)</f>
        <v>100</v>
      </c>
      <c r="CH25" s="19">
        <f>IF(VLOOKUP(CH$2,Table2[[#All],[RC]:[Total External Corrosion Score]],15,FALSE)="",0,100)</f>
        <v>100</v>
      </c>
      <c r="CI25" s="19">
        <f>IF(VLOOKUP(CI$2,Table2[[#All],[RC]:[Total External Corrosion Score]],15,FALSE)="",0,100)</f>
        <v>100</v>
      </c>
      <c r="CJ25" s="19">
        <f>IF(VLOOKUP(CJ$2,Table2[[#All],[RC]:[Total External Corrosion Score]],15,FALSE)="",0,100)</f>
        <v>100</v>
      </c>
      <c r="CK25" s="19">
        <f>IF(VLOOKUP(CK$2,Table2[[#All],[RC]:[Total External Corrosion Score]],15,FALSE)="",0,100)</f>
        <v>100</v>
      </c>
      <c r="CL25" s="19">
        <f>IF(VLOOKUP(CL$2,Table2[[#All],[RC]:[Total External Corrosion Score]],15,FALSE)="",0,100)</f>
        <v>100</v>
      </c>
      <c r="CM25" s="19">
        <f>IF(VLOOKUP(CM$2,Table2[[#All],[RC]:[Total External Corrosion Score]],15,FALSE)="",0,100)</f>
        <v>100</v>
      </c>
      <c r="CN25" s="19">
        <f>IF(VLOOKUP(CN$2,Table2[[#All],[RC]:[Total External Corrosion Score]],15,FALSE)="",0,100)</f>
        <v>100</v>
      </c>
      <c r="CO25" s="19">
        <f>IF(VLOOKUP(CO$2,Table2[[#All],[RC]:[Total External Corrosion Score]],15,FALSE)="",0,100)</f>
        <v>100</v>
      </c>
      <c r="CP25" s="19">
        <f>IF(VLOOKUP(CP$2,Table2[[#All],[RC]:[Total External Corrosion Score]],15,FALSE)="",0,100)</f>
        <v>100</v>
      </c>
      <c r="CQ25" s="19">
        <f>IF(VLOOKUP(CQ$2,Table2[[#All],[RC]:[Total External Corrosion Score]],15,FALSE)="",0,100)</f>
        <v>100</v>
      </c>
      <c r="CR25" s="19">
        <f>IF(VLOOKUP(CR$2,Table2[[#All],[RC]:[Total External Corrosion Score]],15,FALSE)="",0,100)</f>
        <v>100</v>
      </c>
      <c r="CS25" s="19">
        <f>IF(VLOOKUP(CS$2,Table2[[#All],[RC]:[Total External Corrosion Score]],15,FALSE)="",0,100)</f>
        <v>100</v>
      </c>
      <c r="CT25" s="19">
        <f>IF(VLOOKUP(CT$2,Table2[[#All],[RC]:[Total External Corrosion Score]],15,FALSE)="",0,100)</f>
        <v>100</v>
      </c>
      <c r="CU25" s="19">
        <f>IF(VLOOKUP(CU$2,Table2[[#All],[RC]:[Total External Corrosion Score]],15,FALSE)="",0,100)</f>
        <v>100</v>
      </c>
      <c r="CV25" s="19">
        <f>IF(VLOOKUP(CV$2,Table2[[#All],[RC]:[Total External Corrosion Score]],15,FALSE)="",0,100)</f>
        <v>100</v>
      </c>
      <c r="CW25" s="19">
        <f>IF(VLOOKUP(CW$2,Table2[[#All],[RC]:[Total External Corrosion Score]],15,FALSE)="",0,100)</f>
        <v>100</v>
      </c>
      <c r="CX25" s="19">
        <f>IF(VLOOKUP(CX$2,Table2[[#All],[RC]:[Total External Corrosion Score]],15,FALSE)="",0,100)</f>
        <v>100</v>
      </c>
      <c r="CY25" s="19">
        <f>IF(VLOOKUP(CY$2,Table2[[#All],[RC]:[Total External Corrosion Score]],15,FALSE)="",0,100)</f>
        <v>100</v>
      </c>
      <c r="CZ25" s="19">
        <f>IF(VLOOKUP(CZ$2,Table2[[#All],[RC]:[Total External Corrosion Score]],15,FALSE)="",0,100)</f>
        <v>100</v>
      </c>
      <c r="DA25" s="19">
        <f>IF(VLOOKUP(DA$2,Table2[[#All],[RC]:[Total External Corrosion Score]],15,FALSE)="",0,100)</f>
        <v>100</v>
      </c>
      <c r="DB25" s="19">
        <f>IF(VLOOKUP(DB$2,Table2[[#All],[RC]:[Total External Corrosion Score]],15,FALSE)="",0,100)</f>
        <v>100</v>
      </c>
      <c r="DC25" s="19">
        <f>IF(VLOOKUP(DC$2,Table2[[#All],[RC]:[Total External Corrosion Score]],15,FALSE)="",0,100)</f>
        <v>100</v>
      </c>
      <c r="DD25" s="19">
        <f>IF(VLOOKUP(DD$2,Table2[[#All],[RC]:[Total External Corrosion Score]],15,FALSE)="",0,100)</f>
        <v>100</v>
      </c>
      <c r="DE25" s="19">
        <f>IF(VLOOKUP(DE$2,Table2[[#All],[RC]:[Total External Corrosion Score]],15,FALSE)="",0,100)</f>
        <v>100</v>
      </c>
      <c r="DF25" s="19">
        <f>IF(VLOOKUP(DF$2,Table2[[#All],[RC]:[Total External Corrosion Score]],15,FALSE)="",0,100)</f>
        <v>100</v>
      </c>
      <c r="DG25" s="19" t="e">
        <f>IF(VLOOKUP(DG$2,Table2[[#All],[RC]:[Total External Corrosion Score]],15,FALSE)="",0,100)</f>
        <v>#N/A</v>
      </c>
      <c r="DH25" s="19" t="e">
        <f>IF(VLOOKUP(DH$2,Table2[[#All],[RC]:[Total External Corrosion Score]],15,FALSE)="",0,100)</f>
        <v>#N/A</v>
      </c>
      <c r="DI25" s="19" t="e">
        <f>IF(VLOOKUP(DI$2,Table2[[#All],[RC]:[Total External Corrosion Score]],15,FALSE)="",0,100)</f>
        <v>#N/A</v>
      </c>
      <c r="DJ25" s="19">
        <f>IF(VLOOKUP(DJ$2,Table2[[#All],[RC]:[Total External Corrosion Score]],15,FALSE)="",0,100)</f>
        <v>100</v>
      </c>
      <c r="DK25" s="19">
        <f>IF(VLOOKUP(DK$2,Table2[[#All],[RC]:[Total External Corrosion Score]],15,FALSE)="",0,100)</f>
        <v>100</v>
      </c>
      <c r="DL25" s="19">
        <f>IF(VLOOKUP(DL$2,Table2[[#All],[RC]:[Total External Corrosion Score]],15,FALSE)="",0,100)</f>
        <v>100</v>
      </c>
      <c r="DM25" s="19">
        <f>IF(VLOOKUP(DM$2,Table2[[#All],[RC]:[Total External Corrosion Score]],15,FALSE)="",0,100)</f>
        <v>100</v>
      </c>
      <c r="DN25" s="19">
        <f>IF(VLOOKUP(DN$2,Table2[[#All],[RC]:[Total External Corrosion Score]],15,FALSE)="",0,100)</f>
        <v>100</v>
      </c>
      <c r="DO25" s="19">
        <f>IF(VLOOKUP(DO$2,Table2[[#All],[RC]:[Total External Corrosion Score]],15,FALSE)="",0,100)</f>
        <v>100</v>
      </c>
      <c r="DP25" s="19" t="e">
        <f>IF(VLOOKUP(DP$2,Table2[[#All],[RC]:[Total External Corrosion Score]],15,FALSE)="",0,100)</f>
        <v>#N/A</v>
      </c>
      <c r="DQ25" s="19" t="e">
        <f>IF(VLOOKUP(DQ$2,Table2[[#All],[RC]:[Total External Corrosion Score]],15,FALSE)="",0,100)</f>
        <v>#N/A</v>
      </c>
      <c r="DR25" s="19" t="e">
        <f>IF(VLOOKUP(DR$2,Table2[[#All],[RC]:[Total External Corrosion Score]],15,FALSE)="",0,100)</f>
        <v>#N/A</v>
      </c>
      <c r="DS25" s="19" t="e">
        <f>IF(VLOOKUP(DS$2,Table2[[#All],[RC]:[Total External Corrosion Score]],15,FALSE)="",0,100)</f>
        <v>#N/A</v>
      </c>
      <c r="DT25" s="19">
        <f>IF(VLOOKUP(DT$2,Table2[[#All],[RC]:[Total External Corrosion Score]],15,FALSE)="",0,100)</f>
        <v>100</v>
      </c>
      <c r="DU25" s="19" t="e">
        <f>IF(VLOOKUP(DU$2,Table2[[#All],[RC]:[Total External Corrosion Score]],15,FALSE)="",0,100)</f>
        <v>#N/A</v>
      </c>
      <c r="DV25" s="19" t="e">
        <f>IF(VLOOKUP(DV$2,Table2[[#All],[RC]:[Total External Corrosion Score]],15,FALSE)="",0,100)</f>
        <v>#N/A</v>
      </c>
      <c r="DW25" s="19">
        <f>IF(VLOOKUP(DW$2,Table2[[#All],[RC]:[Total External Corrosion Score]],15,FALSE)="",0,100)</f>
        <v>100</v>
      </c>
      <c r="DX25" s="19">
        <f>IF(VLOOKUP(DX$2,Table2[[#All],[RC]:[Total External Corrosion Score]],15,FALSE)="",0,100)</f>
        <v>100</v>
      </c>
      <c r="DY25" s="19">
        <f>IF(VLOOKUP(DY$2,Table2[[#All],[RC]:[Total External Corrosion Score]],15,FALSE)="",0,100)</f>
        <v>100</v>
      </c>
      <c r="DZ25" s="19">
        <f>IF(VLOOKUP(DZ$2,Table2[[#All],[RC]:[Total External Corrosion Score]],15,FALSE)="",0,100)</f>
        <v>100</v>
      </c>
      <c r="EA25" s="19" t="e">
        <f>IF(VLOOKUP(EA$2,Table2[[#All],[RC]:[Total External Corrosion Score]],15,FALSE)="",0,100)</f>
        <v>#N/A</v>
      </c>
      <c r="EB25" s="19" t="e">
        <f>IF(VLOOKUP(EB$2,Table2[[#All],[RC]:[Total External Corrosion Score]],15,FALSE)="",0,100)</f>
        <v>#N/A</v>
      </c>
      <c r="EC25" s="19">
        <f>IF(VLOOKUP(EC$2,Table2[[#All],[RC]:[Total External Corrosion Score]],15,FALSE)="",0,100)</f>
        <v>100</v>
      </c>
      <c r="ED25" s="19">
        <f>IF(VLOOKUP(ED$2,Table2[[#All],[RC]:[Total External Corrosion Score]],15,FALSE)="",0,100)</f>
        <v>100</v>
      </c>
      <c r="EE25" s="19" t="e">
        <f>IF(VLOOKUP(EE$2,Table2[[#All],[RC]:[Total External Corrosion Score]],15,FALSE)="",0,100)</f>
        <v>#N/A</v>
      </c>
      <c r="EF25" s="19">
        <f>IF(VLOOKUP(EF$2,Table2[[#All],[RC]:[Total External Corrosion Score]],15,FALSE)="",0,100)</f>
        <v>100</v>
      </c>
      <c r="EG25" s="19">
        <f>IF(VLOOKUP(EG$2,Table2[[#All],[RC]:[Total External Corrosion Score]],15,FALSE)="",0,100)</f>
        <v>100</v>
      </c>
      <c r="EH25" s="19">
        <f>IF(VLOOKUP(EH$2,Table2[[#All],[RC]:[Total External Corrosion Score]],15,FALSE)="",0,100)</f>
        <v>100</v>
      </c>
      <c r="EI25" s="19">
        <f>IF(VLOOKUP(EI$2,Table2[[#All],[RC]:[Total External Corrosion Score]],15,FALSE)="",0,100)</f>
        <v>100</v>
      </c>
      <c r="EJ25" s="19">
        <f>IF(VLOOKUP(EJ$2,Table2[[#All],[RC]:[Total External Corrosion Score]],15,FALSE)="",0,100)</f>
        <v>100</v>
      </c>
      <c r="EK25" s="19" t="e">
        <f>IF(VLOOKUP(EK$2,Table2[[#All],[RC]:[Total External Corrosion Score]],15,FALSE)="",0,100)</f>
        <v>#N/A</v>
      </c>
      <c r="EL25" s="19" t="e">
        <f>IF(VLOOKUP(EL$2,Table2[[#All],[RC]:[Total External Corrosion Score]],15,FALSE)="",0,100)</f>
        <v>#N/A</v>
      </c>
      <c r="EM25" s="19" t="e">
        <f>IF(VLOOKUP(EM$2,Table2[[#All],[RC]:[Total External Corrosion Score]],15,FALSE)="",0,100)</f>
        <v>#N/A</v>
      </c>
      <c r="EN25" s="19" t="e">
        <f>IF(VLOOKUP(EN$2,Table2[[#All],[RC]:[Total External Corrosion Score]],15,FALSE)="",0,100)</f>
        <v>#N/A</v>
      </c>
      <c r="EO25" s="19" t="e">
        <f>IF(VLOOKUP(EO$2,Table2[[#All],[RC]:[Total External Corrosion Score]],15,FALSE)="",0,100)</f>
        <v>#N/A</v>
      </c>
      <c r="EP25" s="19" t="e">
        <f>IF(VLOOKUP(EP$2,Table2[[#All],[RC]:[Total External Corrosion Score]],15,FALSE)="",0,100)</f>
        <v>#N/A</v>
      </c>
      <c r="EQ25" s="19" t="e">
        <f>IF(VLOOKUP(EQ$2,Table2[[#All],[RC]:[Total External Corrosion Score]],15,FALSE)="",0,100)</f>
        <v>#N/A</v>
      </c>
      <c r="ER25" s="19" t="e">
        <f>IF(VLOOKUP(ER$2,Table2[[#All],[RC]:[Total External Corrosion Score]],15,FALSE)="",0,100)</f>
        <v>#N/A</v>
      </c>
      <c r="ES25" s="19">
        <f>IF(VLOOKUP(ES$2,Table2[[#All],[RC]:[Total External Corrosion Score]],15,FALSE)="",0,100)</f>
        <v>100</v>
      </c>
      <c r="ET25" s="19">
        <f>IF(VLOOKUP(ET$2,Table2[[#All],[RC]:[Total External Corrosion Score]],15,FALSE)="",0,100)</f>
        <v>100</v>
      </c>
      <c r="EU25" s="19">
        <f>IF(VLOOKUP(EU$2,Table2[[#All],[RC]:[Total External Corrosion Score]],15,FALSE)="",0,100)</f>
        <v>100</v>
      </c>
      <c r="EV25" s="19">
        <f>IF(VLOOKUP(EV$2,Table2[[#All],[RC]:[Total External Corrosion Score]],15,FALSE)="",0,100)</f>
        <v>100</v>
      </c>
      <c r="EW25" s="19">
        <f>IF(VLOOKUP(EW$2,Table2[[#All],[RC]:[Total External Corrosion Score]],15,FALSE)="",0,100)</f>
        <v>100</v>
      </c>
      <c r="EX25" s="19">
        <f>IF(VLOOKUP(EX$2,Table2[[#All],[RC]:[Total External Corrosion Score]],15,FALSE)="",0,100)</f>
        <v>100</v>
      </c>
      <c r="EY25" s="19" t="e">
        <f>IF(VLOOKUP(EY$2,Table2[[#All],[RC]:[Total External Corrosion Score]],15,FALSE)="",0,100)</f>
        <v>#N/A</v>
      </c>
      <c r="EZ25" s="19" t="e">
        <f>IF(VLOOKUP(EZ$2,Table2[[#All],[RC]:[Total External Corrosion Score]],15,FALSE)="",0,100)</f>
        <v>#N/A</v>
      </c>
      <c r="FA25" s="19" t="e">
        <f>IF(VLOOKUP(FA$2,Table2[[#All],[RC]:[Total External Corrosion Score]],15,FALSE)="",0,100)</f>
        <v>#N/A</v>
      </c>
      <c r="FB25" s="19">
        <f>IF(VLOOKUP(FB$2,Table2[[#All],[RC]:[Total External Corrosion Score]],15,FALSE)="",0,100)</f>
        <v>100</v>
      </c>
      <c r="FC25" s="19" t="e">
        <f>IF(VLOOKUP(FC$2,Table2[[#All],[RC]:[Total External Corrosion Score]],15,FALSE)="",0,100)</f>
        <v>#N/A</v>
      </c>
      <c r="FD25" s="19">
        <f>IF(VLOOKUP(FD$2,Table2[[#All],[RC]:[Total External Corrosion Score]],15,FALSE)="",0,100)</f>
        <v>100</v>
      </c>
      <c r="FE25" s="19">
        <f>IF(VLOOKUP(FE$2,Table2[[#All],[RC]:[Total External Corrosion Score]],15,FALSE)="",0,100)</f>
        <v>100</v>
      </c>
      <c r="FF25" s="19">
        <f>IF(VLOOKUP(FF$2,Table2[[#All],[RC]:[Total External Corrosion Score]],15,FALSE)="",0,100)</f>
        <v>100</v>
      </c>
      <c r="FG25" s="19">
        <f>IF(VLOOKUP(FG$2,Table2[[#All],[RC]:[Total External Corrosion Score]],15,FALSE)="",0,100)</f>
        <v>100</v>
      </c>
      <c r="FH25" s="19" t="e">
        <f>IF(VLOOKUP(FH$2,Table2[[#All],[RC]:[Total External Corrosion Score]],15,FALSE)="",0,100)</f>
        <v>#N/A</v>
      </c>
      <c r="FI25" s="19" t="e">
        <f>IF(VLOOKUP(FI$2,Table2[[#All],[RC]:[Total External Corrosion Score]],15,FALSE)="",0,100)</f>
        <v>#N/A</v>
      </c>
      <c r="FJ25" s="19">
        <f>IF(VLOOKUP(FJ$2,Table2[[#All],[RC]:[Total External Corrosion Score]],15,FALSE)="",0,100)</f>
        <v>100</v>
      </c>
      <c r="FK25" s="19">
        <f>IF(VLOOKUP(FK$2,Table2[[#All],[RC]:[Total External Corrosion Score]],15,FALSE)="",0,100)</f>
        <v>100</v>
      </c>
      <c r="FL25" s="19" t="e">
        <f>IF(VLOOKUP(FL$2,Table2[[#All],[RC]:[Total External Corrosion Score]],15,FALSE)="",0,100)</f>
        <v>#N/A</v>
      </c>
      <c r="FM25" s="19" t="e">
        <f>IF(VLOOKUP(FM$2,Table2[[#All],[RC]:[Total External Corrosion Score]],15,FALSE)="",0,100)</f>
        <v>#N/A</v>
      </c>
      <c r="FN25" s="19" t="e">
        <f>IF(VLOOKUP(FN$2,Table2[[#All],[RC]:[Total External Corrosion Score]],15,FALSE)="",0,100)</f>
        <v>#N/A</v>
      </c>
      <c r="FO25" s="19">
        <f>IF(VLOOKUP(FO$2,Table2[[#All],[RC]:[Total External Corrosion Score]],15,FALSE)="",0,100)</f>
        <v>100</v>
      </c>
      <c r="FP25" s="19">
        <f>IF(VLOOKUP(FP$2,Table2[[#All],[RC]:[Total External Corrosion Score]],15,FALSE)="",0,100)</f>
        <v>100</v>
      </c>
      <c r="FQ25" s="19">
        <f>IF(VLOOKUP(FQ$2,Table2[[#All],[RC]:[Total External Corrosion Score]],15,FALSE)="",0,100)</f>
        <v>100</v>
      </c>
      <c r="FR25" s="19">
        <f>IF(VLOOKUP(FR$2,Table2[[#All],[RC]:[Total External Corrosion Score]],15,FALSE)="",0,100)</f>
        <v>100</v>
      </c>
      <c r="FS25" s="19" t="e">
        <f>IF(VLOOKUP(FS$2,Table2[[#All],[RC]:[Total External Corrosion Score]],15,FALSE)="",0,100)</f>
        <v>#N/A</v>
      </c>
      <c r="FT25" s="19" t="e">
        <f>IF(VLOOKUP(FT$2,Table2[[#All],[RC]:[Total External Corrosion Score]],15,FALSE)="",0,100)</f>
        <v>#N/A</v>
      </c>
      <c r="FU25" s="19" t="e">
        <f>IF(VLOOKUP(FU$2,Table2[[#All],[RC]:[Total External Corrosion Score]],15,FALSE)="",0,100)</f>
        <v>#N/A</v>
      </c>
      <c r="FV25" s="19" t="e">
        <f>IF(VLOOKUP(FV$2,Table2[[#All],[RC]:[Total External Corrosion Score]],15,FALSE)="",0,100)</f>
        <v>#N/A</v>
      </c>
    </row>
    <row r="26" spans="1:178">
      <c r="A26" s="61" t="s">
        <v>69</v>
      </c>
      <c r="B26" s="19" t="e">
        <f>IF(VLOOKUP(B$2,Table2[[#All],[RC]:[Total External Corrosion Score]],16,FALSE)="",0,100)</f>
        <v>#N/A</v>
      </c>
      <c r="C26" s="19" t="e">
        <f>IF(VLOOKUP(C$2,Table2[[#All],[RC]:[Total External Corrosion Score]],16,FALSE)="",0,100)</f>
        <v>#N/A</v>
      </c>
      <c r="D26" s="19">
        <f>IF(VLOOKUP(D$2,Table2[[#All],[RC]:[Total External Corrosion Score]],16,FALSE)="",0,100)</f>
        <v>100</v>
      </c>
      <c r="E26" s="19">
        <f>IF(VLOOKUP(E$2,Table2[[#All],[RC]:[Total External Corrosion Score]],16,FALSE)="",0,100)</f>
        <v>100</v>
      </c>
      <c r="F26" s="19">
        <f>IF(VLOOKUP(F$2,Table2[[#All],[RC]:[Total External Corrosion Score]],16,FALSE)="",0,100)</f>
        <v>100</v>
      </c>
      <c r="G26" s="19">
        <f>IF(VLOOKUP(G$2,Table2[[#All],[RC]:[Total External Corrosion Score]],16,FALSE)="",0,100)</f>
        <v>100</v>
      </c>
      <c r="H26" s="19">
        <f>IF(VLOOKUP(H$2,Table2[[#All],[RC]:[Total External Corrosion Score]],16,FALSE)="",0,100)</f>
        <v>100</v>
      </c>
      <c r="I26" s="19">
        <f>IF(VLOOKUP(I$2,Table2[[#All],[RC]:[Total External Corrosion Score]],16,FALSE)="",0,100)</f>
        <v>100</v>
      </c>
      <c r="J26" s="19">
        <f>IF(VLOOKUP(J$2,Table2[[#All],[RC]:[Total External Corrosion Score]],16,FALSE)="",0,100)</f>
        <v>100</v>
      </c>
      <c r="K26" s="19">
        <f>IF(VLOOKUP(K$2,Table2[[#All],[RC]:[Total External Corrosion Score]],16,FALSE)="",0,100)</f>
        <v>100</v>
      </c>
      <c r="L26" s="19">
        <f>IF(VLOOKUP(L$2,Table2[[#All],[RC]:[Total External Corrosion Score]],16,FALSE)="",0,100)</f>
        <v>100</v>
      </c>
      <c r="M26" s="19" t="e">
        <f>IF(VLOOKUP(M$2,Table2[[#All],[RC]:[Total External Corrosion Score]],16,FALSE)="",0,100)</f>
        <v>#N/A</v>
      </c>
      <c r="N26" s="19">
        <f>IF(VLOOKUP(N$2,Table2[[#All],[RC]:[Total External Corrosion Score]],16,FALSE)="",0,100)</f>
        <v>100</v>
      </c>
      <c r="O26" s="19">
        <f>IF(VLOOKUP(O$2,Table2[[#All],[RC]:[Total External Corrosion Score]],16,FALSE)="",0,100)</f>
        <v>100</v>
      </c>
      <c r="P26" s="19">
        <f>IF(VLOOKUP(P$2,Table2[[#All],[RC]:[Total External Corrosion Score]],16,FALSE)="",0,100)</f>
        <v>100</v>
      </c>
      <c r="Q26" s="19">
        <f>IF(VLOOKUP(Q$2,Table2[[#All],[RC]:[Total External Corrosion Score]],16,FALSE)="",0,100)</f>
        <v>100</v>
      </c>
      <c r="R26" s="19">
        <f>IF(VLOOKUP(R$2,Table2[[#All],[RC]:[Total External Corrosion Score]],16,FALSE)="",0,100)</f>
        <v>100</v>
      </c>
      <c r="S26" s="19">
        <f>IF(VLOOKUP(S$2,Table2[[#All],[RC]:[Total External Corrosion Score]],16,FALSE)="",0,100)</f>
        <v>100</v>
      </c>
      <c r="T26" s="19">
        <f>IF(VLOOKUP(T$2,Table2[[#All],[RC]:[Total External Corrosion Score]],16,FALSE)="",0,100)</f>
        <v>100</v>
      </c>
      <c r="U26" s="19">
        <f>IF(VLOOKUP(U$2,Table2[[#All],[RC]:[Total External Corrosion Score]],16,FALSE)="",0,100)</f>
        <v>100</v>
      </c>
      <c r="V26" s="19">
        <f>IF(VLOOKUP(V$2,Table2[[#All],[RC]:[Total External Corrosion Score]],16,FALSE)="",0,100)</f>
        <v>100</v>
      </c>
      <c r="W26" s="19">
        <f>IF(VLOOKUP(W$2,Table2[[#All],[RC]:[Total External Corrosion Score]],16,FALSE)="",0,100)</f>
        <v>100</v>
      </c>
      <c r="X26" s="19">
        <f>IF(VLOOKUP(X$2,Table2[[#All],[RC]:[Total External Corrosion Score]],16,FALSE)="",0,100)</f>
        <v>100</v>
      </c>
      <c r="Y26" s="19" t="e">
        <f>IF(VLOOKUP(Y$2,Table2[[#All],[RC]:[Total External Corrosion Score]],16,FALSE)="",0,100)</f>
        <v>#N/A</v>
      </c>
      <c r="Z26" s="19" t="e">
        <f>IF(VLOOKUP(Z$2,Table2[[#All],[RC]:[Total External Corrosion Score]],16,FALSE)="",0,100)</f>
        <v>#N/A</v>
      </c>
      <c r="AA26" s="19">
        <f>IF(VLOOKUP(AA$2,Table2[[#All],[RC]:[Total External Corrosion Score]],16,FALSE)="",0,100)</f>
        <v>100</v>
      </c>
      <c r="AB26" s="19">
        <f>IF(VLOOKUP(AB$2,Table2[[#All],[RC]:[Total External Corrosion Score]],16,FALSE)="",0,100)</f>
        <v>100</v>
      </c>
      <c r="AC26" s="19">
        <f>IF(VLOOKUP(AC$2,Table2[[#All],[RC]:[Total External Corrosion Score]],16,FALSE)="",0,100)</f>
        <v>100</v>
      </c>
      <c r="AD26" s="19">
        <f>IF(VLOOKUP(AD$2,Table2[[#All],[RC]:[Total External Corrosion Score]],16,FALSE)="",0,100)</f>
        <v>100</v>
      </c>
      <c r="AE26" s="19" t="e">
        <f>IF(VLOOKUP(AE$2,Table2[[#All],[RC]:[Total External Corrosion Score]],16,FALSE)="",0,100)</f>
        <v>#N/A</v>
      </c>
      <c r="AF26" s="19">
        <f>IF(VLOOKUP(AF$2,Table2[[#All],[RC]:[Total External Corrosion Score]],16,FALSE)="",0,100)</f>
        <v>100</v>
      </c>
      <c r="AG26" s="19">
        <f>IF(VLOOKUP(AG$2,Table2[[#All],[RC]:[Total External Corrosion Score]],16,FALSE)="",0,100)</f>
        <v>100</v>
      </c>
      <c r="AH26" s="19">
        <f>IF(VLOOKUP(AH$2,Table2[[#All],[RC]:[Total External Corrosion Score]],16,FALSE)="",0,100)</f>
        <v>100</v>
      </c>
      <c r="AI26" s="19">
        <f>IF(VLOOKUP(AI$2,Table2[[#All],[RC]:[Total External Corrosion Score]],16,FALSE)="",0,100)</f>
        <v>100</v>
      </c>
      <c r="AJ26" s="19">
        <f>IF(VLOOKUP(AJ$2,Table2[[#All],[RC]:[Total External Corrosion Score]],16,FALSE)="",0,100)</f>
        <v>100</v>
      </c>
      <c r="AK26" s="19">
        <f>IF(VLOOKUP(AK$2,Table2[[#All],[RC]:[Total External Corrosion Score]],16,FALSE)="",0,100)</f>
        <v>100</v>
      </c>
      <c r="AL26" s="19" t="e">
        <f>IF(VLOOKUP(AL$2,Table2[[#All],[RC]:[Total External Corrosion Score]],16,FALSE)="",0,100)</f>
        <v>#N/A</v>
      </c>
      <c r="AM26" s="19" t="e">
        <f>IF(VLOOKUP(AM$2,Table2[[#All],[RC]:[Total External Corrosion Score]],16,FALSE)="",0,100)</f>
        <v>#N/A</v>
      </c>
      <c r="AN26" s="19" t="e">
        <f>IF(VLOOKUP(AN$2,Table2[[#All],[RC]:[Total External Corrosion Score]],16,FALSE)="",0,100)</f>
        <v>#N/A</v>
      </c>
      <c r="AO26" s="19">
        <f>IF(VLOOKUP(AO$2,Table2[[#All],[RC]:[Total External Corrosion Score]],16,FALSE)="",0,100)</f>
        <v>100</v>
      </c>
      <c r="AP26" s="19">
        <f>IF(VLOOKUP(AP$2,Table2[[#All],[RC]:[Total External Corrosion Score]],16,FALSE)="",0,100)</f>
        <v>100</v>
      </c>
      <c r="AQ26" s="19" t="e">
        <f>IF(VLOOKUP(AQ$2,Table2[[#All],[RC]:[Total External Corrosion Score]],16,FALSE)="",0,100)</f>
        <v>#N/A</v>
      </c>
      <c r="AR26" s="19" t="e">
        <f>IF(VLOOKUP(AR$2,Table2[[#All],[RC]:[Total External Corrosion Score]],16,FALSE)="",0,100)</f>
        <v>#N/A</v>
      </c>
      <c r="AS26" s="19" t="e">
        <f>IF(VLOOKUP(AS$2,Table2[[#All],[RC]:[Total External Corrosion Score]],16,FALSE)="",0,100)</f>
        <v>#N/A</v>
      </c>
      <c r="AT26" s="19">
        <f>IF(VLOOKUP(AT$2,Table2[[#All],[RC]:[Total External Corrosion Score]],16,FALSE)="",0,100)</f>
        <v>100</v>
      </c>
      <c r="AU26" s="19">
        <f>IF(VLOOKUP(AU$2,Table2[[#All],[RC]:[Total External Corrosion Score]],16,FALSE)="",0,100)</f>
        <v>100</v>
      </c>
      <c r="AV26" s="19">
        <f>IF(VLOOKUP(AV$2,Table2[[#All],[RC]:[Total External Corrosion Score]],16,FALSE)="",0,100)</f>
        <v>100</v>
      </c>
      <c r="AW26" s="19" t="e">
        <f>IF(VLOOKUP(AW$2,Table2[[#All],[RC]:[Total External Corrosion Score]],16,FALSE)="",0,100)</f>
        <v>#N/A</v>
      </c>
      <c r="AX26" s="19">
        <f>IF(VLOOKUP(AX$2,Table2[[#All],[RC]:[Total External Corrosion Score]],16,FALSE)="",0,100)</f>
        <v>100</v>
      </c>
      <c r="AY26" s="19">
        <f>IF(VLOOKUP(AY$2,Table2[[#All],[RC]:[Total External Corrosion Score]],16,FALSE)="",0,100)</f>
        <v>100</v>
      </c>
      <c r="AZ26" s="19">
        <f>IF(VLOOKUP(AZ$2,Table2[[#All],[RC]:[Total External Corrosion Score]],16,FALSE)="",0,100)</f>
        <v>100</v>
      </c>
      <c r="BA26" s="19" t="e">
        <f>IF(VLOOKUP(BA$2,Table2[[#All],[RC]:[Total External Corrosion Score]],16,FALSE)="",0,100)</f>
        <v>#N/A</v>
      </c>
      <c r="BB26" s="19">
        <f>IF(VLOOKUP(BB$2,Table2[[#All],[RC]:[Total External Corrosion Score]],16,FALSE)="",0,100)</f>
        <v>100</v>
      </c>
      <c r="BC26" s="19">
        <f>IF(VLOOKUP(BC$2,Table2[[#All],[RC]:[Total External Corrosion Score]],16,FALSE)="",0,100)</f>
        <v>100</v>
      </c>
      <c r="BD26" s="19" t="e">
        <f>IF(VLOOKUP(BD$2,Table2[[#All],[RC]:[Total External Corrosion Score]],16,FALSE)="",0,100)</f>
        <v>#N/A</v>
      </c>
      <c r="BE26" s="19">
        <f>IF(VLOOKUP(BE$2,Table2[[#All],[RC]:[Total External Corrosion Score]],16,FALSE)="",0,100)</f>
        <v>100</v>
      </c>
      <c r="BF26" s="19">
        <f>IF(VLOOKUP(BF$2,Table2[[#All],[RC]:[Total External Corrosion Score]],16,FALSE)="",0,100)</f>
        <v>100</v>
      </c>
      <c r="BG26" s="19">
        <f>IF(VLOOKUP(BG$2,Table2[[#All],[RC]:[Total External Corrosion Score]],16,FALSE)="",0,100)</f>
        <v>100</v>
      </c>
      <c r="BH26" s="19" t="e">
        <f>IF(VLOOKUP(BH$2,Table2[[#All],[RC]:[Total External Corrosion Score]],16,FALSE)="",0,100)</f>
        <v>#N/A</v>
      </c>
      <c r="BI26" s="19" t="e">
        <f>IF(VLOOKUP(BI$2,Table2[[#All],[RC]:[Total External Corrosion Score]],16,FALSE)="",0,100)</f>
        <v>#N/A</v>
      </c>
      <c r="BJ26" s="19" t="e">
        <f>IF(VLOOKUP(BJ$2,Table2[[#All],[RC]:[Total External Corrosion Score]],16,FALSE)="",0,100)</f>
        <v>#N/A</v>
      </c>
      <c r="BK26" s="19">
        <f>IF(VLOOKUP(BK$2,Table2[[#All],[RC]:[Total External Corrosion Score]],16,FALSE)="",0,100)</f>
        <v>100</v>
      </c>
      <c r="BL26" s="19">
        <f>IF(VLOOKUP(BL$2,Table2[[#All],[RC]:[Total External Corrosion Score]],16,FALSE)="",0,100)</f>
        <v>100</v>
      </c>
      <c r="BM26" s="19" t="e">
        <f>IF(VLOOKUP(BM$2,Table2[[#All],[RC]:[Total External Corrosion Score]],16,FALSE)="",0,100)</f>
        <v>#N/A</v>
      </c>
      <c r="BN26" s="19">
        <f>IF(VLOOKUP(BN$2,Table2[[#All],[RC]:[Total External Corrosion Score]],16,FALSE)="",0,100)</f>
        <v>100</v>
      </c>
      <c r="BO26" s="19">
        <f>IF(VLOOKUP(BO$2,Table2[[#All],[RC]:[Total External Corrosion Score]],16,FALSE)="",0,100)</f>
        <v>100</v>
      </c>
      <c r="BP26" s="19">
        <f>IF(VLOOKUP(BP$2,Table2[[#All],[RC]:[Total External Corrosion Score]],16,FALSE)="",0,100)</f>
        <v>100</v>
      </c>
      <c r="BQ26" s="19">
        <f>IF(VLOOKUP(BQ$2,Table2[[#All],[RC]:[Total External Corrosion Score]],16,FALSE)="",0,100)</f>
        <v>100</v>
      </c>
      <c r="BR26" s="19">
        <f>IF(VLOOKUP(BR$2,Table2[[#All],[RC]:[Total External Corrosion Score]],16,FALSE)="",0,100)</f>
        <v>100</v>
      </c>
      <c r="BS26" s="19">
        <f>IF(VLOOKUP(BS$2,Table2[[#All],[RC]:[Total External Corrosion Score]],16,FALSE)="",0,100)</f>
        <v>100</v>
      </c>
      <c r="BT26" s="19" t="e">
        <f>IF(VLOOKUP(BT$2,Table2[[#All],[RC]:[Total External Corrosion Score]],16,FALSE)="",0,100)</f>
        <v>#N/A</v>
      </c>
      <c r="BU26" s="19">
        <f>IF(VLOOKUP(BU$2,Table2[[#All],[RC]:[Total External Corrosion Score]],16,FALSE)="",0,100)</f>
        <v>100</v>
      </c>
      <c r="BV26" s="19" t="e">
        <f>IF(VLOOKUP(BV$2,Table2[[#All],[RC]:[Total External Corrosion Score]],16,FALSE)="",0,100)</f>
        <v>#N/A</v>
      </c>
      <c r="BW26" s="19">
        <f>IF(VLOOKUP(BW$2,Table2[[#All],[RC]:[Total External Corrosion Score]],16,FALSE)="",0,100)</f>
        <v>100</v>
      </c>
      <c r="BX26" s="19">
        <f>IF(VLOOKUP(BX$2,Table2[[#All],[RC]:[Total External Corrosion Score]],16,FALSE)="",0,100)</f>
        <v>100</v>
      </c>
      <c r="BY26" s="19">
        <f>IF(VLOOKUP(BY$2,Table2[[#All],[RC]:[Total External Corrosion Score]],16,FALSE)="",0,100)</f>
        <v>100</v>
      </c>
      <c r="BZ26" s="19">
        <f>IF(VLOOKUP(BZ$2,Table2[[#All],[RC]:[Total External Corrosion Score]],16,FALSE)="",0,100)</f>
        <v>100</v>
      </c>
      <c r="CA26" s="19">
        <f>IF(VLOOKUP(CA$2,Table2[[#All],[RC]:[Total External Corrosion Score]],16,FALSE)="",0,100)</f>
        <v>100</v>
      </c>
      <c r="CB26" s="19" t="e">
        <f>IF(VLOOKUP(CB$2,Table2[[#All],[RC]:[Total External Corrosion Score]],16,FALSE)="",0,100)</f>
        <v>#N/A</v>
      </c>
      <c r="CC26" s="19" t="e">
        <f>IF(VLOOKUP(CC$2,Table2[[#All],[RC]:[Total External Corrosion Score]],16,FALSE)="",0,100)</f>
        <v>#N/A</v>
      </c>
      <c r="CD26" s="19">
        <f>IF(VLOOKUP(CD$2,Table2[[#All],[RC]:[Total External Corrosion Score]],16,FALSE)="",0,100)</f>
        <v>100</v>
      </c>
      <c r="CE26" s="19">
        <f>IF(VLOOKUP(CE$2,Table2[[#All],[RC]:[Total External Corrosion Score]],16,FALSE)="",0,100)</f>
        <v>100</v>
      </c>
      <c r="CF26" s="19">
        <f>IF(VLOOKUP(CF$2,Table2[[#All],[RC]:[Total External Corrosion Score]],16,FALSE)="",0,100)</f>
        <v>100</v>
      </c>
      <c r="CG26" s="19">
        <f>IF(VLOOKUP(CG$2,Table2[[#All],[RC]:[Total External Corrosion Score]],16,FALSE)="",0,100)</f>
        <v>100</v>
      </c>
      <c r="CH26" s="19">
        <f>IF(VLOOKUP(CH$2,Table2[[#All],[RC]:[Total External Corrosion Score]],16,FALSE)="",0,100)</f>
        <v>100</v>
      </c>
      <c r="CI26" s="19">
        <f>IF(VLOOKUP(CI$2,Table2[[#All],[RC]:[Total External Corrosion Score]],16,FALSE)="",0,100)</f>
        <v>100</v>
      </c>
      <c r="CJ26" s="19">
        <f>IF(VLOOKUP(CJ$2,Table2[[#All],[RC]:[Total External Corrosion Score]],16,FALSE)="",0,100)</f>
        <v>100</v>
      </c>
      <c r="CK26" s="19">
        <f>IF(VLOOKUP(CK$2,Table2[[#All],[RC]:[Total External Corrosion Score]],16,FALSE)="",0,100)</f>
        <v>100</v>
      </c>
      <c r="CL26" s="19">
        <f>IF(VLOOKUP(CL$2,Table2[[#All],[RC]:[Total External Corrosion Score]],16,FALSE)="",0,100)</f>
        <v>100</v>
      </c>
      <c r="CM26" s="19">
        <f>IF(VLOOKUP(CM$2,Table2[[#All],[RC]:[Total External Corrosion Score]],16,FALSE)="",0,100)</f>
        <v>100</v>
      </c>
      <c r="CN26" s="19">
        <f>IF(VLOOKUP(CN$2,Table2[[#All],[RC]:[Total External Corrosion Score]],16,FALSE)="",0,100)</f>
        <v>100</v>
      </c>
      <c r="CO26" s="19">
        <f>IF(VLOOKUP(CO$2,Table2[[#All],[RC]:[Total External Corrosion Score]],16,FALSE)="",0,100)</f>
        <v>100</v>
      </c>
      <c r="CP26" s="19">
        <f>IF(VLOOKUP(CP$2,Table2[[#All],[RC]:[Total External Corrosion Score]],16,FALSE)="",0,100)</f>
        <v>100</v>
      </c>
      <c r="CQ26" s="19">
        <f>IF(VLOOKUP(CQ$2,Table2[[#All],[RC]:[Total External Corrosion Score]],16,FALSE)="",0,100)</f>
        <v>100</v>
      </c>
      <c r="CR26" s="19">
        <f>IF(VLOOKUP(CR$2,Table2[[#All],[RC]:[Total External Corrosion Score]],16,FALSE)="",0,100)</f>
        <v>100</v>
      </c>
      <c r="CS26" s="19">
        <f>IF(VLOOKUP(CS$2,Table2[[#All],[RC]:[Total External Corrosion Score]],16,FALSE)="",0,100)</f>
        <v>100</v>
      </c>
      <c r="CT26" s="19">
        <f>IF(VLOOKUP(CT$2,Table2[[#All],[RC]:[Total External Corrosion Score]],16,FALSE)="",0,100)</f>
        <v>100</v>
      </c>
      <c r="CU26" s="19">
        <f>IF(VLOOKUP(CU$2,Table2[[#All],[RC]:[Total External Corrosion Score]],16,FALSE)="",0,100)</f>
        <v>100</v>
      </c>
      <c r="CV26" s="19">
        <f>IF(VLOOKUP(CV$2,Table2[[#All],[RC]:[Total External Corrosion Score]],16,FALSE)="",0,100)</f>
        <v>100</v>
      </c>
      <c r="CW26" s="19">
        <f>IF(VLOOKUP(CW$2,Table2[[#All],[RC]:[Total External Corrosion Score]],16,FALSE)="",0,100)</f>
        <v>100</v>
      </c>
      <c r="CX26" s="19">
        <f>IF(VLOOKUP(CX$2,Table2[[#All],[RC]:[Total External Corrosion Score]],16,FALSE)="",0,100)</f>
        <v>100</v>
      </c>
      <c r="CY26" s="19">
        <f>IF(VLOOKUP(CY$2,Table2[[#All],[RC]:[Total External Corrosion Score]],16,FALSE)="",0,100)</f>
        <v>100</v>
      </c>
      <c r="CZ26" s="19">
        <f>IF(VLOOKUP(CZ$2,Table2[[#All],[RC]:[Total External Corrosion Score]],16,FALSE)="",0,100)</f>
        <v>100</v>
      </c>
      <c r="DA26" s="19">
        <f>IF(VLOOKUP(DA$2,Table2[[#All],[RC]:[Total External Corrosion Score]],16,FALSE)="",0,100)</f>
        <v>100</v>
      </c>
      <c r="DB26" s="19">
        <f>IF(VLOOKUP(DB$2,Table2[[#All],[RC]:[Total External Corrosion Score]],16,FALSE)="",0,100)</f>
        <v>100</v>
      </c>
      <c r="DC26" s="19">
        <f>IF(VLOOKUP(DC$2,Table2[[#All],[RC]:[Total External Corrosion Score]],16,FALSE)="",0,100)</f>
        <v>100</v>
      </c>
      <c r="DD26" s="19">
        <f>IF(VLOOKUP(DD$2,Table2[[#All],[RC]:[Total External Corrosion Score]],16,FALSE)="",0,100)</f>
        <v>100</v>
      </c>
      <c r="DE26" s="19">
        <f>IF(VLOOKUP(DE$2,Table2[[#All],[RC]:[Total External Corrosion Score]],16,FALSE)="",0,100)</f>
        <v>100</v>
      </c>
      <c r="DF26" s="19">
        <f>IF(VLOOKUP(DF$2,Table2[[#All],[RC]:[Total External Corrosion Score]],16,FALSE)="",0,100)</f>
        <v>100</v>
      </c>
      <c r="DG26" s="19" t="e">
        <f>IF(VLOOKUP(DG$2,Table2[[#All],[RC]:[Total External Corrosion Score]],16,FALSE)="",0,100)</f>
        <v>#N/A</v>
      </c>
      <c r="DH26" s="19" t="e">
        <f>IF(VLOOKUP(DH$2,Table2[[#All],[RC]:[Total External Corrosion Score]],16,FALSE)="",0,100)</f>
        <v>#N/A</v>
      </c>
      <c r="DI26" s="19" t="e">
        <f>IF(VLOOKUP(DI$2,Table2[[#All],[RC]:[Total External Corrosion Score]],16,FALSE)="",0,100)</f>
        <v>#N/A</v>
      </c>
      <c r="DJ26" s="19">
        <f>IF(VLOOKUP(DJ$2,Table2[[#All],[RC]:[Total External Corrosion Score]],16,FALSE)="",0,100)</f>
        <v>100</v>
      </c>
      <c r="DK26" s="19">
        <f>IF(VLOOKUP(DK$2,Table2[[#All],[RC]:[Total External Corrosion Score]],16,FALSE)="",0,100)</f>
        <v>100</v>
      </c>
      <c r="DL26" s="19">
        <f>IF(VLOOKUP(DL$2,Table2[[#All],[RC]:[Total External Corrosion Score]],16,FALSE)="",0,100)</f>
        <v>100</v>
      </c>
      <c r="DM26" s="19">
        <f>IF(VLOOKUP(DM$2,Table2[[#All],[RC]:[Total External Corrosion Score]],16,FALSE)="",0,100)</f>
        <v>100</v>
      </c>
      <c r="DN26" s="19">
        <f>IF(VLOOKUP(DN$2,Table2[[#All],[RC]:[Total External Corrosion Score]],16,FALSE)="",0,100)</f>
        <v>100</v>
      </c>
      <c r="DO26" s="19">
        <f>IF(VLOOKUP(DO$2,Table2[[#All],[RC]:[Total External Corrosion Score]],16,FALSE)="",0,100)</f>
        <v>100</v>
      </c>
      <c r="DP26" s="19" t="e">
        <f>IF(VLOOKUP(DP$2,Table2[[#All],[RC]:[Total External Corrosion Score]],16,FALSE)="",0,100)</f>
        <v>#N/A</v>
      </c>
      <c r="DQ26" s="19" t="e">
        <f>IF(VLOOKUP(DQ$2,Table2[[#All],[RC]:[Total External Corrosion Score]],16,FALSE)="",0,100)</f>
        <v>#N/A</v>
      </c>
      <c r="DR26" s="19" t="e">
        <f>IF(VLOOKUP(DR$2,Table2[[#All],[RC]:[Total External Corrosion Score]],16,FALSE)="",0,100)</f>
        <v>#N/A</v>
      </c>
      <c r="DS26" s="19" t="e">
        <f>IF(VLOOKUP(DS$2,Table2[[#All],[RC]:[Total External Corrosion Score]],16,FALSE)="",0,100)</f>
        <v>#N/A</v>
      </c>
      <c r="DT26" s="19">
        <f>IF(VLOOKUP(DT$2,Table2[[#All],[RC]:[Total External Corrosion Score]],16,FALSE)="",0,100)</f>
        <v>100</v>
      </c>
      <c r="DU26" s="19" t="e">
        <f>IF(VLOOKUP(DU$2,Table2[[#All],[RC]:[Total External Corrosion Score]],16,FALSE)="",0,100)</f>
        <v>#N/A</v>
      </c>
      <c r="DV26" s="19" t="e">
        <f>IF(VLOOKUP(DV$2,Table2[[#All],[RC]:[Total External Corrosion Score]],16,FALSE)="",0,100)</f>
        <v>#N/A</v>
      </c>
      <c r="DW26" s="19">
        <f>IF(VLOOKUP(DW$2,Table2[[#All],[RC]:[Total External Corrosion Score]],16,FALSE)="",0,100)</f>
        <v>100</v>
      </c>
      <c r="DX26" s="19">
        <f>IF(VLOOKUP(DX$2,Table2[[#All],[RC]:[Total External Corrosion Score]],16,FALSE)="",0,100)</f>
        <v>100</v>
      </c>
      <c r="DY26" s="19">
        <f>IF(VLOOKUP(DY$2,Table2[[#All],[RC]:[Total External Corrosion Score]],16,FALSE)="",0,100)</f>
        <v>100</v>
      </c>
      <c r="DZ26" s="19">
        <f>IF(VLOOKUP(DZ$2,Table2[[#All],[RC]:[Total External Corrosion Score]],16,FALSE)="",0,100)</f>
        <v>100</v>
      </c>
      <c r="EA26" s="19" t="e">
        <f>IF(VLOOKUP(EA$2,Table2[[#All],[RC]:[Total External Corrosion Score]],16,FALSE)="",0,100)</f>
        <v>#N/A</v>
      </c>
      <c r="EB26" s="19" t="e">
        <f>IF(VLOOKUP(EB$2,Table2[[#All],[RC]:[Total External Corrosion Score]],16,FALSE)="",0,100)</f>
        <v>#N/A</v>
      </c>
      <c r="EC26" s="19">
        <f>IF(VLOOKUP(EC$2,Table2[[#All],[RC]:[Total External Corrosion Score]],16,FALSE)="",0,100)</f>
        <v>100</v>
      </c>
      <c r="ED26" s="19">
        <f>IF(VLOOKUP(ED$2,Table2[[#All],[RC]:[Total External Corrosion Score]],16,FALSE)="",0,100)</f>
        <v>100</v>
      </c>
      <c r="EE26" s="19" t="e">
        <f>IF(VLOOKUP(EE$2,Table2[[#All],[RC]:[Total External Corrosion Score]],16,FALSE)="",0,100)</f>
        <v>#N/A</v>
      </c>
      <c r="EF26" s="19">
        <f>IF(VLOOKUP(EF$2,Table2[[#All],[RC]:[Total External Corrosion Score]],16,FALSE)="",0,100)</f>
        <v>100</v>
      </c>
      <c r="EG26" s="19">
        <f>IF(VLOOKUP(EG$2,Table2[[#All],[RC]:[Total External Corrosion Score]],16,FALSE)="",0,100)</f>
        <v>100</v>
      </c>
      <c r="EH26" s="19">
        <f>IF(VLOOKUP(EH$2,Table2[[#All],[RC]:[Total External Corrosion Score]],16,FALSE)="",0,100)</f>
        <v>100</v>
      </c>
      <c r="EI26" s="19">
        <f>IF(VLOOKUP(EI$2,Table2[[#All],[RC]:[Total External Corrosion Score]],16,FALSE)="",0,100)</f>
        <v>100</v>
      </c>
      <c r="EJ26" s="19">
        <f>IF(VLOOKUP(EJ$2,Table2[[#All],[RC]:[Total External Corrosion Score]],16,FALSE)="",0,100)</f>
        <v>100</v>
      </c>
      <c r="EK26" s="19" t="e">
        <f>IF(VLOOKUP(EK$2,Table2[[#All],[RC]:[Total External Corrosion Score]],16,FALSE)="",0,100)</f>
        <v>#N/A</v>
      </c>
      <c r="EL26" s="19" t="e">
        <f>IF(VLOOKUP(EL$2,Table2[[#All],[RC]:[Total External Corrosion Score]],16,FALSE)="",0,100)</f>
        <v>#N/A</v>
      </c>
      <c r="EM26" s="19" t="e">
        <f>IF(VLOOKUP(EM$2,Table2[[#All],[RC]:[Total External Corrosion Score]],16,FALSE)="",0,100)</f>
        <v>#N/A</v>
      </c>
      <c r="EN26" s="19" t="e">
        <f>IF(VLOOKUP(EN$2,Table2[[#All],[RC]:[Total External Corrosion Score]],16,FALSE)="",0,100)</f>
        <v>#N/A</v>
      </c>
      <c r="EO26" s="19" t="e">
        <f>IF(VLOOKUP(EO$2,Table2[[#All],[RC]:[Total External Corrosion Score]],16,FALSE)="",0,100)</f>
        <v>#N/A</v>
      </c>
      <c r="EP26" s="19" t="e">
        <f>IF(VLOOKUP(EP$2,Table2[[#All],[RC]:[Total External Corrosion Score]],16,FALSE)="",0,100)</f>
        <v>#N/A</v>
      </c>
      <c r="EQ26" s="19" t="e">
        <f>IF(VLOOKUP(EQ$2,Table2[[#All],[RC]:[Total External Corrosion Score]],16,FALSE)="",0,100)</f>
        <v>#N/A</v>
      </c>
      <c r="ER26" s="19" t="e">
        <f>IF(VLOOKUP(ER$2,Table2[[#All],[RC]:[Total External Corrosion Score]],16,FALSE)="",0,100)</f>
        <v>#N/A</v>
      </c>
      <c r="ES26" s="19">
        <f>IF(VLOOKUP(ES$2,Table2[[#All],[RC]:[Total External Corrosion Score]],16,FALSE)="",0,100)</f>
        <v>100</v>
      </c>
      <c r="ET26" s="19">
        <f>IF(VLOOKUP(ET$2,Table2[[#All],[RC]:[Total External Corrosion Score]],16,FALSE)="",0,100)</f>
        <v>100</v>
      </c>
      <c r="EU26" s="19">
        <f>IF(VLOOKUP(EU$2,Table2[[#All],[RC]:[Total External Corrosion Score]],16,FALSE)="",0,100)</f>
        <v>100</v>
      </c>
      <c r="EV26" s="19">
        <f>IF(VLOOKUP(EV$2,Table2[[#All],[RC]:[Total External Corrosion Score]],16,FALSE)="",0,100)</f>
        <v>100</v>
      </c>
      <c r="EW26" s="19">
        <f>IF(VLOOKUP(EW$2,Table2[[#All],[RC]:[Total External Corrosion Score]],16,FALSE)="",0,100)</f>
        <v>100</v>
      </c>
      <c r="EX26" s="19">
        <f>IF(VLOOKUP(EX$2,Table2[[#All],[RC]:[Total External Corrosion Score]],16,FALSE)="",0,100)</f>
        <v>100</v>
      </c>
      <c r="EY26" s="19" t="e">
        <f>IF(VLOOKUP(EY$2,Table2[[#All],[RC]:[Total External Corrosion Score]],16,FALSE)="",0,100)</f>
        <v>#N/A</v>
      </c>
      <c r="EZ26" s="19" t="e">
        <f>IF(VLOOKUP(EZ$2,Table2[[#All],[RC]:[Total External Corrosion Score]],16,FALSE)="",0,100)</f>
        <v>#N/A</v>
      </c>
      <c r="FA26" s="19" t="e">
        <f>IF(VLOOKUP(FA$2,Table2[[#All],[RC]:[Total External Corrosion Score]],16,FALSE)="",0,100)</f>
        <v>#N/A</v>
      </c>
      <c r="FB26" s="19">
        <f>IF(VLOOKUP(FB$2,Table2[[#All],[RC]:[Total External Corrosion Score]],16,FALSE)="",0,100)</f>
        <v>100</v>
      </c>
      <c r="FC26" s="19" t="e">
        <f>IF(VLOOKUP(FC$2,Table2[[#All],[RC]:[Total External Corrosion Score]],16,FALSE)="",0,100)</f>
        <v>#N/A</v>
      </c>
      <c r="FD26" s="19">
        <f>IF(VLOOKUP(FD$2,Table2[[#All],[RC]:[Total External Corrosion Score]],16,FALSE)="",0,100)</f>
        <v>100</v>
      </c>
      <c r="FE26" s="19">
        <f>IF(VLOOKUP(FE$2,Table2[[#All],[RC]:[Total External Corrosion Score]],16,FALSE)="",0,100)</f>
        <v>100</v>
      </c>
      <c r="FF26" s="19">
        <f>IF(VLOOKUP(FF$2,Table2[[#All],[RC]:[Total External Corrosion Score]],16,FALSE)="",0,100)</f>
        <v>100</v>
      </c>
      <c r="FG26" s="19">
        <f>IF(VLOOKUP(FG$2,Table2[[#All],[RC]:[Total External Corrosion Score]],16,FALSE)="",0,100)</f>
        <v>100</v>
      </c>
      <c r="FH26" s="19" t="e">
        <f>IF(VLOOKUP(FH$2,Table2[[#All],[RC]:[Total External Corrosion Score]],16,FALSE)="",0,100)</f>
        <v>#N/A</v>
      </c>
      <c r="FI26" s="19" t="e">
        <f>IF(VLOOKUP(FI$2,Table2[[#All],[RC]:[Total External Corrosion Score]],16,FALSE)="",0,100)</f>
        <v>#N/A</v>
      </c>
      <c r="FJ26" s="19">
        <f>IF(VLOOKUP(FJ$2,Table2[[#All],[RC]:[Total External Corrosion Score]],16,FALSE)="",0,100)</f>
        <v>100</v>
      </c>
      <c r="FK26" s="19">
        <f>IF(VLOOKUP(FK$2,Table2[[#All],[RC]:[Total External Corrosion Score]],16,FALSE)="",0,100)</f>
        <v>100</v>
      </c>
      <c r="FL26" s="19" t="e">
        <f>IF(VLOOKUP(FL$2,Table2[[#All],[RC]:[Total External Corrosion Score]],16,FALSE)="",0,100)</f>
        <v>#N/A</v>
      </c>
      <c r="FM26" s="19" t="e">
        <f>IF(VLOOKUP(FM$2,Table2[[#All],[RC]:[Total External Corrosion Score]],16,FALSE)="",0,100)</f>
        <v>#N/A</v>
      </c>
      <c r="FN26" s="19" t="e">
        <f>IF(VLOOKUP(FN$2,Table2[[#All],[RC]:[Total External Corrosion Score]],16,FALSE)="",0,100)</f>
        <v>#N/A</v>
      </c>
      <c r="FO26" s="19">
        <f>IF(VLOOKUP(FO$2,Table2[[#All],[RC]:[Total External Corrosion Score]],16,FALSE)="",0,100)</f>
        <v>100</v>
      </c>
      <c r="FP26" s="19">
        <f>IF(VLOOKUP(FP$2,Table2[[#All],[RC]:[Total External Corrosion Score]],16,FALSE)="",0,100)</f>
        <v>100</v>
      </c>
      <c r="FQ26" s="19">
        <f>IF(VLOOKUP(FQ$2,Table2[[#All],[RC]:[Total External Corrosion Score]],16,FALSE)="",0,100)</f>
        <v>100</v>
      </c>
      <c r="FR26" s="19">
        <f>IF(VLOOKUP(FR$2,Table2[[#All],[RC]:[Total External Corrosion Score]],16,FALSE)="",0,100)</f>
        <v>100</v>
      </c>
      <c r="FS26" s="19" t="e">
        <f>IF(VLOOKUP(FS$2,Table2[[#All],[RC]:[Total External Corrosion Score]],16,FALSE)="",0,100)</f>
        <v>#N/A</v>
      </c>
      <c r="FT26" s="19" t="e">
        <f>IF(VLOOKUP(FT$2,Table2[[#All],[RC]:[Total External Corrosion Score]],16,FALSE)="",0,100)</f>
        <v>#N/A</v>
      </c>
      <c r="FU26" s="19" t="e">
        <f>IF(VLOOKUP(FU$2,Table2[[#All],[RC]:[Total External Corrosion Score]],16,FALSE)="",0,100)</f>
        <v>#N/A</v>
      </c>
      <c r="FV26" s="19" t="e">
        <f>IF(VLOOKUP(FV$2,Table2[[#All],[RC]:[Total External Corrosion Score]],16,FALSE)="",0,100)</f>
        <v>#N/A</v>
      </c>
    </row>
    <row r="27" spans="1:178" ht="18" customHeight="1">
      <c r="A27" s="263" t="s">
        <v>534</v>
      </c>
      <c r="B27" s="263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  <c r="BJ27" s="263"/>
      <c r="BK27" s="263"/>
      <c r="BL27" s="263"/>
      <c r="BM27" s="263"/>
      <c r="BN27" s="263"/>
      <c r="BO27" s="263"/>
      <c r="BP27" s="263"/>
      <c r="BQ27" s="263"/>
      <c r="BR27" s="263"/>
      <c r="BS27" s="263"/>
      <c r="BT27" s="263"/>
      <c r="BU27" s="263"/>
      <c r="BV27" s="263"/>
      <c r="BW27" s="263"/>
      <c r="BX27" s="263"/>
      <c r="BY27" s="263"/>
      <c r="BZ27" s="263"/>
      <c r="CA27" s="263"/>
      <c r="CB27" s="263"/>
      <c r="CC27" s="263"/>
      <c r="CD27" s="263"/>
      <c r="CE27" s="263"/>
      <c r="CF27" s="263"/>
      <c r="CG27" s="263"/>
      <c r="CH27" s="263"/>
      <c r="CI27" s="263"/>
      <c r="CJ27" s="263"/>
      <c r="CK27" s="263"/>
      <c r="CL27" s="263"/>
      <c r="CM27" s="263"/>
      <c r="CN27" s="263"/>
      <c r="CO27" s="263"/>
      <c r="CP27" s="263"/>
      <c r="CQ27" s="263"/>
      <c r="CR27" s="263"/>
      <c r="CS27" s="263"/>
      <c r="CT27" s="263"/>
      <c r="CU27" s="263"/>
      <c r="CV27" s="263"/>
      <c r="CW27" s="263"/>
      <c r="CX27" s="263"/>
      <c r="CY27" s="263"/>
      <c r="CZ27" s="263"/>
      <c r="DA27" s="263"/>
      <c r="DB27" s="263"/>
      <c r="DC27" s="263"/>
      <c r="DD27" s="263"/>
      <c r="DE27" s="263"/>
      <c r="DF27" s="263"/>
      <c r="DG27" s="263"/>
      <c r="DH27" s="263"/>
      <c r="DI27" s="263"/>
      <c r="DJ27" s="263"/>
      <c r="DK27" s="263"/>
      <c r="DL27" s="263"/>
      <c r="DM27" s="263"/>
      <c r="DN27" s="263"/>
      <c r="DO27" s="263"/>
      <c r="DP27" s="263"/>
      <c r="DQ27" s="263"/>
      <c r="DR27" s="263"/>
      <c r="DS27" s="263"/>
      <c r="DT27" s="263"/>
      <c r="DU27" s="263"/>
      <c r="DV27" s="263"/>
      <c r="DW27" s="263"/>
      <c r="DX27" s="263"/>
      <c r="DY27" s="263"/>
      <c r="DZ27" s="263"/>
      <c r="EA27" s="263"/>
      <c r="EB27" s="263"/>
      <c r="EC27" s="263"/>
      <c r="ED27" s="263"/>
      <c r="EE27" s="263"/>
      <c r="EF27" s="263"/>
      <c r="EG27" s="263"/>
      <c r="EH27" s="263"/>
      <c r="EI27" s="263"/>
      <c r="EJ27" s="263"/>
      <c r="EK27" s="263"/>
      <c r="EL27" s="263"/>
      <c r="EM27" s="263"/>
      <c r="EN27" s="263"/>
      <c r="EO27" s="263"/>
      <c r="EP27" s="263"/>
      <c r="EQ27" s="263"/>
      <c r="ER27" s="263"/>
      <c r="ES27" s="263"/>
      <c r="ET27" s="263"/>
      <c r="EU27" s="263"/>
      <c r="EV27" s="263"/>
      <c r="EW27" s="263"/>
      <c r="EX27" s="263"/>
      <c r="EY27" s="263"/>
      <c r="EZ27" s="263"/>
      <c r="FA27" s="263"/>
      <c r="FB27" s="263"/>
      <c r="FC27" s="263"/>
      <c r="FD27" s="263"/>
      <c r="FE27" s="263"/>
      <c r="FF27" s="263"/>
      <c r="FG27" s="263"/>
      <c r="FH27" s="263"/>
      <c r="FI27" s="263"/>
      <c r="FJ27" s="263"/>
      <c r="FK27" s="263"/>
      <c r="FL27" s="263"/>
      <c r="FM27" s="263"/>
      <c r="FN27" s="263"/>
      <c r="FO27" s="263"/>
      <c r="FP27" s="263"/>
      <c r="FQ27" s="263"/>
      <c r="FR27" s="263"/>
      <c r="FS27" s="263"/>
      <c r="FT27" s="263"/>
      <c r="FU27" s="263"/>
      <c r="FV27" s="263"/>
    </row>
    <row r="28" spans="1:178">
      <c r="A28" s="61" t="s">
        <v>352</v>
      </c>
      <c r="B28" s="19" t="e">
        <f>IF(VLOOKUP(B$2,#REF!,6,FALSE)="",0,100)</f>
        <v>#REF!</v>
      </c>
      <c r="C28" s="19" t="e">
        <f>IF(VLOOKUP(C$2,#REF!,6,FALSE)="",0,100)</f>
        <v>#REF!</v>
      </c>
      <c r="D28" s="19" t="e">
        <f>IF(VLOOKUP(D$2,#REF!,6,FALSE)="",0,100)</f>
        <v>#REF!</v>
      </c>
      <c r="E28" s="19" t="e">
        <f>IF(VLOOKUP(E$2,#REF!,6,FALSE)="",0,100)</f>
        <v>#REF!</v>
      </c>
      <c r="F28" s="19" t="e">
        <f>IF(VLOOKUP(F$2,#REF!,6,FALSE)="",0,100)</f>
        <v>#REF!</v>
      </c>
      <c r="G28" s="19" t="e">
        <f>IF(VLOOKUP(G$2,#REF!,6,FALSE)="",0,100)</f>
        <v>#REF!</v>
      </c>
      <c r="H28" s="19" t="e">
        <f>IF(VLOOKUP(H$2,#REF!,6,FALSE)="",0,100)</f>
        <v>#REF!</v>
      </c>
      <c r="I28" s="19" t="e">
        <f>IF(VLOOKUP(I$2,#REF!,6,FALSE)="",0,100)</f>
        <v>#REF!</v>
      </c>
      <c r="J28" s="19" t="e">
        <f>IF(VLOOKUP(J$2,#REF!,6,FALSE)="",0,100)</f>
        <v>#REF!</v>
      </c>
      <c r="K28" s="19" t="e">
        <f>IF(VLOOKUP(K$2,#REF!,6,FALSE)="",0,100)</f>
        <v>#REF!</v>
      </c>
      <c r="L28" s="19" t="e">
        <f>IF(VLOOKUP(L$2,#REF!,6,FALSE)="",0,100)</f>
        <v>#REF!</v>
      </c>
      <c r="M28" s="19" t="e">
        <f>IF(VLOOKUP(M$2,#REF!,6,FALSE)="",0,100)</f>
        <v>#REF!</v>
      </c>
      <c r="N28" s="19" t="e">
        <f>IF(VLOOKUP(N$2,#REF!,6,FALSE)="",0,100)</f>
        <v>#REF!</v>
      </c>
      <c r="O28" s="19" t="e">
        <f>IF(VLOOKUP(O$2,#REF!,6,FALSE)="",0,100)</f>
        <v>#REF!</v>
      </c>
      <c r="P28" s="19" t="e">
        <f>IF(VLOOKUP(P$2,#REF!,6,FALSE)="",0,100)</f>
        <v>#REF!</v>
      </c>
      <c r="Q28" s="19" t="e">
        <f>IF(VLOOKUP(Q$2,#REF!,6,FALSE)="",0,100)</f>
        <v>#REF!</v>
      </c>
      <c r="R28" s="19" t="e">
        <f>IF(VLOOKUP(R$2,#REF!,6,FALSE)="",0,100)</f>
        <v>#REF!</v>
      </c>
      <c r="S28" s="19" t="e">
        <f>IF(VLOOKUP(S$2,#REF!,6,FALSE)="",0,100)</f>
        <v>#REF!</v>
      </c>
      <c r="T28" s="19" t="e">
        <f>IF(VLOOKUP(T$2,#REF!,6,FALSE)="",0,100)</f>
        <v>#REF!</v>
      </c>
      <c r="U28" s="19" t="e">
        <f>IF(VLOOKUP(U$2,#REF!,6,FALSE)="",0,100)</f>
        <v>#REF!</v>
      </c>
      <c r="V28" s="19" t="e">
        <f>IF(VLOOKUP(V$2,#REF!,6,FALSE)="",0,100)</f>
        <v>#REF!</v>
      </c>
      <c r="W28" s="19" t="e">
        <f>IF(VLOOKUP(W$2,#REF!,6,FALSE)="",0,100)</f>
        <v>#REF!</v>
      </c>
      <c r="X28" s="19" t="e">
        <f>IF(VLOOKUP(X$2,#REF!,6,FALSE)="",0,100)</f>
        <v>#REF!</v>
      </c>
      <c r="Y28" s="19" t="e">
        <f>IF(VLOOKUP(Y$2,#REF!,6,FALSE)="",0,100)</f>
        <v>#REF!</v>
      </c>
      <c r="Z28" s="19" t="e">
        <f>IF(VLOOKUP(Z$2,#REF!,6,FALSE)="",0,100)</f>
        <v>#REF!</v>
      </c>
      <c r="AA28" s="19" t="e">
        <f>IF(VLOOKUP(AA$2,#REF!,6,FALSE)="",0,100)</f>
        <v>#REF!</v>
      </c>
      <c r="AB28" s="19" t="e">
        <f>IF(VLOOKUP(AB$2,#REF!,6,FALSE)="",0,100)</f>
        <v>#REF!</v>
      </c>
      <c r="AC28" s="19" t="e">
        <f>IF(VLOOKUP(AC$2,#REF!,6,FALSE)="",0,100)</f>
        <v>#REF!</v>
      </c>
      <c r="AD28" s="19" t="e">
        <f>IF(VLOOKUP(AD$2,#REF!,6,FALSE)="",0,100)</f>
        <v>#REF!</v>
      </c>
      <c r="AE28" s="19" t="e">
        <f>IF(VLOOKUP(AE$2,#REF!,6,FALSE)="",0,100)</f>
        <v>#REF!</v>
      </c>
      <c r="AF28" s="19" t="e">
        <f>IF(VLOOKUP(AF$2,#REF!,6,FALSE)="",0,100)</f>
        <v>#REF!</v>
      </c>
      <c r="AG28" s="19" t="e">
        <f>IF(VLOOKUP(AG$2,#REF!,6,FALSE)="",0,100)</f>
        <v>#REF!</v>
      </c>
      <c r="AH28" s="19" t="e">
        <f>IF(VLOOKUP(AH$2,#REF!,6,FALSE)="",0,100)</f>
        <v>#REF!</v>
      </c>
      <c r="AI28" s="19" t="e">
        <f>IF(VLOOKUP(AI$2,#REF!,6,FALSE)="",0,100)</f>
        <v>#REF!</v>
      </c>
      <c r="AJ28" s="19" t="e">
        <f>IF(VLOOKUP(AJ$2,#REF!,6,FALSE)="",0,100)</f>
        <v>#REF!</v>
      </c>
      <c r="AK28" s="19" t="e">
        <f>IF(VLOOKUP(AK$2,#REF!,6,FALSE)="",0,100)</f>
        <v>#REF!</v>
      </c>
      <c r="AL28" s="19" t="e">
        <f>IF(VLOOKUP(AL$2,#REF!,6,FALSE)="",0,100)</f>
        <v>#REF!</v>
      </c>
      <c r="AM28" s="19" t="e">
        <f>IF(VLOOKUP(AM$2,#REF!,6,FALSE)="",0,100)</f>
        <v>#REF!</v>
      </c>
      <c r="AN28" s="19" t="e">
        <f>IF(VLOOKUP(AN$2,#REF!,6,FALSE)="",0,100)</f>
        <v>#REF!</v>
      </c>
      <c r="AO28" s="19" t="e">
        <f>IF(VLOOKUP(AO$2,#REF!,6,FALSE)="",0,100)</f>
        <v>#REF!</v>
      </c>
      <c r="AP28" s="19" t="e">
        <f>IF(VLOOKUP(AP$2,#REF!,6,FALSE)="",0,100)</f>
        <v>#REF!</v>
      </c>
      <c r="AQ28" s="19" t="e">
        <f>IF(VLOOKUP(AQ$2,#REF!,6,FALSE)="",0,100)</f>
        <v>#REF!</v>
      </c>
      <c r="AR28" s="19" t="e">
        <f>IF(VLOOKUP(AR$2,#REF!,6,FALSE)="",0,100)</f>
        <v>#REF!</v>
      </c>
      <c r="AS28" s="19" t="e">
        <f>IF(VLOOKUP(AS$2,#REF!,6,FALSE)="",0,100)</f>
        <v>#REF!</v>
      </c>
      <c r="AT28" s="19" t="e">
        <f>IF(VLOOKUP(AT$2,#REF!,6,FALSE)="",0,100)</f>
        <v>#REF!</v>
      </c>
      <c r="AU28" s="19" t="e">
        <f>IF(VLOOKUP(AU$2,#REF!,6,FALSE)="",0,100)</f>
        <v>#REF!</v>
      </c>
      <c r="AV28" s="19" t="e">
        <f>IF(VLOOKUP(AV$2,#REF!,6,FALSE)="",0,100)</f>
        <v>#REF!</v>
      </c>
      <c r="AW28" s="19" t="e">
        <f>IF(VLOOKUP(AW$2,#REF!,6,FALSE)="",0,100)</f>
        <v>#REF!</v>
      </c>
      <c r="AX28" s="19" t="e">
        <f>IF(VLOOKUP(AX$2,#REF!,6,FALSE)="",0,100)</f>
        <v>#REF!</v>
      </c>
      <c r="AY28" s="19" t="e">
        <f>IF(VLOOKUP(AY$2,#REF!,6,FALSE)="",0,100)</f>
        <v>#REF!</v>
      </c>
      <c r="AZ28" s="19" t="e">
        <f>IF(VLOOKUP(AZ$2,#REF!,6,FALSE)="",0,100)</f>
        <v>#REF!</v>
      </c>
      <c r="BA28" s="19" t="e">
        <f>IF(VLOOKUP(BA$2,#REF!,6,FALSE)="",0,100)</f>
        <v>#REF!</v>
      </c>
      <c r="BB28" s="19" t="e">
        <f>IF(VLOOKUP(BB$2,#REF!,6,FALSE)="",0,100)</f>
        <v>#REF!</v>
      </c>
      <c r="BC28" s="19" t="e">
        <f>IF(VLOOKUP(BC$2,#REF!,6,FALSE)="",0,100)</f>
        <v>#REF!</v>
      </c>
      <c r="BD28" s="19" t="e">
        <f>IF(VLOOKUP(BD$2,#REF!,6,FALSE)="",0,100)</f>
        <v>#REF!</v>
      </c>
      <c r="BE28" s="19" t="e">
        <f>IF(VLOOKUP(BE$2,#REF!,6,FALSE)="",0,100)</f>
        <v>#REF!</v>
      </c>
      <c r="BF28" s="19" t="e">
        <f>IF(VLOOKUP(BF$2,#REF!,6,FALSE)="",0,100)</f>
        <v>#REF!</v>
      </c>
      <c r="BG28" s="19" t="e">
        <f>IF(VLOOKUP(BG$2,#REF!,6,FALSE)="",0,100)</f>
        <v>#REF!</v>
      </c>
      <c r="BH28" s="19" t="e">
        <f>IF(VLOOKUP(BH$2,#REF!,6,FALSE)="",0,100)</f>
        <v>#REF!</v>
      </c>
      <c r="BI28" s="19" t="e">
        <f>IF(VLOOKUP(BI$2,#REF!,6,FALSE)="",0,100)</f>
        <v>#REF!</v>
      </c>
      <c r="BJ28" s="19" t="e">
        <f>IF(VLOOKUP(BJ$2,#REF!,6,FALSE)="",0,100)</f>
        <v>#REF!</v>
      </c>
      <c r="BK28" s="19" t="e">
        <f>IF(VLOOKUP(BK$2,#REF!,6,FALSE)="",0,100)</f>
        <v>#REF!</v>
      </c>
      <c r="BL28" s="19" t="e">
        <f>IF(VLOOKUP(BL$2,#REF!,6,FALSE)="",0,100)</f>
        <v>#REF!</v>
      </c>
      <c r="BM28" s="19" t="e">
        <f>IF(VLOOKUP(BM$2,#REF!,6,FALSE)="",0,100)</f>
        <v>#REF!</v>
      </c>
      <c r="BN28" s="19" t="e">
        <f>IF(VLOOKUP(BN$2,#REF!,6,FALSE)="",0,100)</f>
        <v>#REF!</v>
      </c>
      <c r="BO28" s="19" t="e">
        <f>IF(VLOOKUP(BO$2,#REF!,6,FALSE)="",0,100)</f>
        <v>#REF!</v>
      </c>
      <c r="BP28" s="19" t="e">
        <f>IF(VLOOKUP(BP$2,#REF!,6,FALSE)="",0,100)</f>
        <v>#REF!</v>
      </c>
      <c r="BQ28" s="19" t="e">
        <f>IF(VLOOKUP(BQ$2,#REF!,6,FALSE)="",0,100)</f>
        <v>#REF!</v>
      </c>
      <c r="BR28" s="19" t="e">
        <f>IF(VLOOKUP(BR$2,#REF!,6,FALSE)="",0,100)</f>
        <v>#REF!</v>
      </c>
      <c r="BS28" s="19" t="e">
        <f>IF(VLOOKUP(BS$2,#REF!,6,FALSE)="",0,100)</f>
        <v>#REF!</v>
      </c>
      <c r="BT28" s="19" t="e">
        <f>IF(VLOOKUP(BT$2,#REF!,6,FALSE)="",0,100)</f>
        <v>#REF!</v>
      </c>
      <c r="BU28" s="19" t="e">
        <f>IF(VLOOKUP(BU$2,#REF!,6,FALSE)="",0,100)</f>
        <v>#REF!</v>
      </c>
      <c r="BV28" s="19" t="e">
        <f>IF(VLOOKUP(BV$2,#REF!,6,FALSE)="",0,100)</f>
        <v>#REF!</v>
      </c>
      <c r="BW28" s="19" t="e">
        <f>IF(VLOOKUP(BW$2,#REF!,6,FALSE)="",0,100)</f>
        <v>#REF!</v>
      </c>
      <c r="BX28" s="19" t="e">
        <f>IF(VLOOKUP(BX$2,#REF!,6,FALSE)="",0,100)</f>
        <v>#REF!</v>
      </c>
      <c r="BY28" s="19" t="e">
        <f>IF(VLOOKUP(BY$2,#REF!,6,FALSE)="",0,100)</f>
        <v>#REF!</v>
      </c>
      <c r="BZ28" s="19" t="e">
        <f>IF(VLOOKUP(BZ$2,#REF!,6,FALSE)="",0,100)</f>
        <v>#REF!</v>
      </c>
      <c r="CA28" s="19" t="e">
        <f>IF(VLOOKUP(CA$2,#REF!,6,FALSE)="",0,100)</f>
        <v>#REF!</v>
      </c>
      <c r="CB28" s="19" t="e">
        <f>IF(VLOOKUP(CB$2,#REF!,6,FALSE)="",0,100)</f>
        <v>#REF!</v>
      </c>
      <c r="CC28" s="19" t="e">
        <f>IF(VLOOKUP(CC$2,#REF!,6,FALSE)="",0,100)</f>
        <v>#REF!</v>
      </c>
      <c r="CD28" s="19" t="e">
        <f>IF(VLOOKUP(CD$2,#REF!,6,FALSE)="",0,100)</f>
        <v>#REF!</v>
      </c>
      <c r="CE28" s="19" t="e">
        <f>IF(VLOOKUP(CE$2,#REF!,6,FALSE)="",0,100)</f>
        <v>#REF!</v>
      </c>
      <c r="CF28" s="19" t="e">
        <f>IF(VLOOKUP(CF$2,#REF!,6,FALSE)="",0,100)</f>
        <v>#REF!</v>
      </c>
      <c r="CG28" s="19" t="e">
        <f>IF(VLOOKUP(CG$2,#REF!,6,FALSE)="",0,100)</f>
        <v>#REF!</v>
      </c>
      <c r="CH28" s="19" t="e">
        <f>IF(VLOOKUP(CH$2,#REF!,6,FALSE)="",0,100)</f>
        <v>#REF!</v>
      </c>
      <c r="CI28" s="19" t="e">
        <f>IF(VLOOKUP(CI$2,#REF!,6,FALSE)="",0,100)</f>
        <v>#REF!</v>
      </c>
      <c r="CJ28" s="19" t="e">
        <f>IF(VLOOKUP(CJ$2,#REF!,6,FALSE)="",0,100)</f>
        <v>#REF!</v>
      </c>
      <c r="CK28" s="19" t="e">
        <f>IF(VLOOKUP(CK$2,#REF!,6,FALSE)="",0,100)</f>
        <v>#REF!</v>
      </c>
      <c r="CL28" s="19" t="e">
        <f>IF(VLOOKUP(CL$2,#REF!,6,FALSE)="",0,100)</f>
        <v>#REF!</v>
      </c>
      <c r="CM28" s="19" t="e">
        <f>IF(VLOOKUP(CM$2,#REF!,6,FALSE)="",0,100)</f>
        <v>#REF!</v>
      </c>
      <c r="CN28" s="19" t="e">
        <f>IF(VLOOKUP(CN$2,#REF!,6,FALSE)="",0,100)</f>
        <v>#REF!</v>
      </c>
      <c r="CO28" s="19" t="e">
        <f>IF(VLOOKUP(CO$2,#REF!,6,FALSE)="",0,100)</f>
        <v>#REF!</v>
      </c>
      <c r="CP28" s="19" t="e">
        <f>IF(VLOOKUP(CP$2,#REF!,6,FALSE)="",0,100)</f>
        <v>#REF!</v>
      </c>
      <c r="CQ28" s="19" t="e">
        <f>IF(VLOOKUP(CQ$2,#REF!,6,FALSE)="",0,100)</f>
        <v>#REF!</v>
      </c>
      <c r="CR28" s="19" t="e">
        <f>IF(VLOOKUP(CR$2,#REF!,6,FALSE)="",0,100)</f>
        <v>#REF!</v>
      </c>
      <c r="CS28" s="19" t="e">
        <f>IF(VLOOKUP(CS$2,#REF!,6,FALSE)="",0,100)</f>
        <v>#REF!</v>
      </c>
      <c r="CT28" s="19" t="e">
        <f>IF(VLOOKUP(CT$2,#REF!,6,FALSE)="",0,100)</f>
        <v>#REF!</v>
      </c>
      <c r="CU28" s="19" t="e">
        <f>IF(VLOOKUP(CU$2,#REF!,6,FALSE)="",0,100)</f>
        <v>#REF!</v>
      </c>
      <c r="CV28" s="19" t="e">
        <f>IF(VLOOKUP(CV$2,#REF!,6,FALSE)="",0,100)</f>
        <v>#REF!</v>
      </c>
      <c r="CW28" s="19" t="e">
        <f>IF(VLOOKUP(CW$2,#REF!,6,FALSE)="",0,100)</f>
        <v>#REF!</v>
      </c>
      <c r="CX28" s="19" t="e">
        <f>IF(VLOOKUP(CX$2,#REF!,6,FALSE)="",0,100)</f>
        <v>#REF!</v>
      </c>
      <c r="CY28" s="19" t="e">
        <f>IF(VLOOKUP(CY$2,#REF!,6,FALSE)="",0,100)</f>
        <v>#REF!</v>
      </c>
      <c r="CZ28" s="19" t="e">
        <f>IF(VLOOKUP(CZ$2,#REF!,6,FALSE)="",0,100)</f>
        <v>#REF!</v>
      </c>
      <c r="DA28" s="19" t="e">
        <f>IF(VLOOKUP(DA$2,#REF!,6,FALSE)="",0,100)</f>
        <v>#REF!</v>
      </c>
      <c r="DB28" s="19" t="e">
        <f>IF(VLOOKUP(DB$2,#REF!,6,FALSE)="",0,100)</f>
        <v>#REF!</v>
      </c>
      <c r="DC28" s="19" t="e">
        <f>IF(VLOOKUP(DC$2,#REF!,6,FALSE)="",0,100)</f>
        <v>#REF!</v>
      </c>
      <c r="DD28" s="19" t="e">
        <f>IF(VLOOKUP(DD$2,#REF!,6,FALSE)="",0,100)</f>
        <v>#REF!</v>
      </c>
      <c r="DE28" s="19" t="e">
        <f>IF(VLOOKUP(DE$2,#REF!,6,FALSE)="",0,100)</f>
        <v>#REF!</v>
      </c>
      <c r="DF28" s="19" t="e">
        <f>IF(VLOOKUP(DF$2,#REF!,6,FALSE)="",0,100)</f>
        <v>#REF!</v>
      </c>
      <c r="DG28" s="19" t="e">
        <f>IF(VLOOKUP(DG$2,#REF!,6,FALSE)="",0,100)</f>
        <v>#REF!</v>
      </c>
      <c r="DH28" s="19" t="e">
        <f>IF(VLOOKUP(DH$2,#REF!,6,FALSE)="",0,100)</f>
        <v>#REF!</v>
      </c>
      <c r="DI28" s="19" t="e">
        <f>IF(VLOOKUP(DI$2,#REF!,6,FALSE)="",0,100)</f>
        <v>#REF!</v>
      </c>
      <c r="DJ28" s="19" t="e">
        <f>IF(VLOOKUP(DJ$2,#REF!,6,FALSE)="",0,100)</f>
        <v>#REF!</v>
      </c>
      <c r="DK28" s="19" t="e">
        <f>IF(VLOOKUP(DK$2,#REF!,6,FALSE)="",0,100)</f>
        <v>#REF!</v>
      </c>
      <c r="DL28" s="19" t="e">
        <f>IF(VLOOKUP(DL$2,#REF!,6,FALSE)="",0,100)</f>
        <v>#REF!</v>
      </c>
      <c r="DM28" s="19" t="e">
        <f>IF(VLOOKUP(DM$2,#REF!,6,FALSE)="",0,100)</f>
        <v>#REF!</v>
      </c>
      <c r="DN28" s="19" t="e">
        <f>IF(VLOOKUP(DN$2,#REF!,6,FALSE)="",0,100)</f>
        <v>#REF!</v>
      </c>
      <c r="DO28" s="19" t="e">
        <f>IF(VLOOKUP(DO$2,#REF!,6,FALSE)="",0,100)</f>
        <v>#REF!</v>
      </c>
      <c r="DP28" s="19" t="e">
        <f>IF(VLOOKUP(DP$2,#REF!,6,FALSE)="",0,100)</f>
        <v>#REF!</v>
      </c>
      <c r="DQ28" s="19" t="e">
        <f>IF(VLOOKUP(DQ$2,#REF!,6,FALSE)="",0,100)</f>
        <v>#REF!</v>
      </c>
      <c r="DR28" s="19" t="e">
        <f>IF(VLOOKUP(DR$2,#REF!,6,FALSE)="",0,100)</f>
        <v>#REF!</v>
      </c>
      <c r="DS28" s="19" t="e">
        <f>IF(VLOOKUP(DS$2,#REF!,6,FALSE)="",0,100)</f>
        <v>#REF!</v>
      </c>
      <c r="DT28" s="19" t="e">
        <f>IF(VLOOKUP(DT$2,#REF!,6,FALSE)="",0,100)</f>
        <v>#REF!</v>
      </c>
      <c r="DU28" s="19" t="e">
        <f>IF(VLOOKUP(DU$2,#REF!,6,FALSE)="",0,100)</f>
        <v>#REF!</v>
      </c>
      <c r="DV28" s="19" t="e">
        <f>IF(VLOOKUP(DV$2,#REF!,6,FALSE)="",0,100)</f>
        <v>#REF!</v>
      </c>
      <c r="DW28" s="19" t="e">
        <f>IF(VLOOKUP(DW$2,#REF!,6,FALSE)="",0,100)</f>
        <v>#REF!</v>
      </c>
      <c r="DX28" s="19" t="e">
        <f>IF(VLOOKUP(DX$2,#REF!,6,FALSE)="",0,100)</f>
        <v>#REF!</v>
      </c>
      <c r="DY28" s="19" t="e">
        <f>IF(VLOOKUP(DY$2,#REF!,6,FALSE)="",0,100)</f>
        <v>#REF!</v>
      </c>
      <c r="DZ28" s="19" t="e">
        <f>IF(VLOOKUP(DZ$2,#REF!,6,FALSE)="",0,100)</f>
        <v>#REF!</v>
      </c>
      <c r="EA28" s="19" t="e">
        <f>IF(VLOOKUP(EA$2,#REF!,6,FALSE)="",0,100)</f>
        <v>#REF!</v>
      </c>
      <c r="EB28" s="19" t="e">
        <f>IF(VLOOKUP(EB$2,#REF!,6,FALSE)="",0,100)</f>
        <v>#REF!</v>
      </c>
      <c r="EC28" s="19" t="e">
        <f>IF(VLOOKUP(EC$2,#REF!,6,FALSE)="",0,100)</f>
        <v>#REF!</v>
      </c>
      <c r="ED28" s="19" t="e">
        <f>IF(VLOOKUP(ED$2,#REF!,6,FALSE)="",0,100)</f>
        <v>#REF!</v>
      </c>
      <c r="EE28" s="19" t="e">
        <f>IF(VLOOKUP(EE$2,#REF!,6,FALSE)="",0,100)</f>
        <v>#REF!</v>
      </c>
      <c r="EF28" s="19" t="e">
        <f>IF(VLOOKUP(EF$2,#REF!,6,FALSE)="",0,100)</f>
        <v>#REF!</v>
      </c>
      <c r="EG28" s="19" t="e">
        <f>IF(VLOOKUP(EG$2,#REF!,6,FALSE)="",0,100)</f>
        <v>#REF!</v>
      </c>
      <c r="EH28" s="19" t="e">
        <f>IF(VLOOKUP(EH$2,#REF!,6,FALSE)="",0,100)</f>
        <v>#REF!</v>
      </c>
      <c r="EI28" s="19" t="e">
        <f>IF(VLOOKUP(EI$2,#REF!,6,FALSE)="",0,100)</f>
        <v>#REF!</v>
      </c>
      <c r="EJ28" s="19" t="e">
        <f>IF(VLOOKUP(EJ$2,#REF!,6,FALSE)="",0,100)</f>
        <v>#REF!</v>
      </c>
      <c r="EK28" s="19" t="e">
        <f>IF(VLOOKUP(EK$2,#REF!,6,FALSE)="",0,100)</f>
        <v>#REF!</v>
      </c>
      <c r="EL28" s="19" t="e">
        <f>IF(VLOOKUP(EL$2,#REF!,6,FALSE)="",0,100)</f>
        <v>#REF!</v>
      </c>
      <c r="EM28" s="19" t="e">
        <f>IF(VLOOKUP(EM$2,#REF!,6,FALSE)="",0,100)</f>
        <v>#REF!</v>
      </c>
      <c r="EN28" s="19" t="e">
        <f>IF(VLOOKUP(EN$2,#REF!,6,FALSE)="",0,100)</f>
        <v>#REF!</v>
      </c>
      <c r="EO28" s="19" t="e">
        <f>IF(VLOOKUP(EO$2,#REF!,6,FALSE)="",0,100)</f>
        <v>#REF!</v>
      </c>
      <c r="EP28" s="19" t="e">
        <f>IF(VLOOKUP(EP$2,#REF!,6,FALSE)="",0,100)</f>
        <v>#REF!</v>
      </c>
      <c r="EQ28" s="19" t="e">
        <f>IF(VLOOKUP(EQ$2,#REF!,6,FALSE)="",0,100)</f>
        <v>#REF!</v>
      </c>
      <c r="ER28" s="19" t="e">
        <f>IF(VLOOKUP(ER$2,#REF!,6,FALSE)="",0,100)</f>
        <v>#REF!</v>
      </c>
      <c r="ES28" s="19" t="e">
        <f>IF(VLOOKUP(ES$2,#REF!,6,FALSE)="",0,100)</f>
        <v>#REF!</v>
      </c>
      <c r="ET28" s="19" t="e">
        <f>IF(VLOOKUP(ET$2,#REF!,6,FALSE)="",0,100)</f>
        <v>#REF!</v>
      </c>
      <c r="EU28" s="19" t="e">
        <f>IF(VLOOKUP(EU$2,#REF!,6,FALSE)="",0,100)</f>
        <v>#REF!</v>
      </c>
      <c r="EV28" s="19" t="e">
        <f>IF(VLOOKUP(EV$2,#REF!,6,FALSE)="",0,100)</f>
        <v>#REF!</v>
      </c>
      <c r="EW28" s="19" t="e">
        <f>IF(VLOOKUP(EW$2,#REF!,6,FALSE)="",0,100)</f>
        <v>#REF!</v>
      </c>
      <c r="EX28" s="19" t="e">
        <f>IF(VLOOKUP(EX$2,#REF!,6,FALSE)="",0,100)</f>
        <v>#REF!</v>
      </c>
      <c r="EY28" s="19" t="e">
        <f>IF(VLOOKUP(EY$2,#REF!,6,FALSE)="",0,100)</f>
        <v>#REF!</v>
      </c>
      <c r="EZ28" s="19" t="e">
        <f>IF(VLOOKUP(EZ$2,#REF!,6,FALSE)="",0,100)</f>
        <v>#REF!</v>
      </c>
      <c r="FA28" s="19" t="e">
        <f>IF(VLOOKUP(FA$2,#REF!,6,FALSE)="",0,100)</f>
        <v>#REF!</v>
      </c>
      <c r="FB28" s="19" t="e">
        <f>IF(VLOOKUP(FB$2,#REF!,6,FALSE)="",0,100)</f>
        <v>#REF!</v>
      </c>
      <c r="FC28" s="19" t="e">
        <f>IF(VLOOKUP(FC$2,#REF!,6,FALSE)="",0,100)</f>
        <v>#REF!</v>
      </c>
      <c r="FD28" s="19" t="e">
        <f>IF(VLOOKUP(FD$2,#REF!,6,FALSE)="",0,100)</f>
        <v>#REF!</v>
      </c>
      <c r="FE28" s="19" t="e">
        <f>IF(VLOOKUP(FE$2,#REF!,6,FALSE)="",0,100)</f>
        <v>#REF!</v>
      </c>
      <c r="FF28" s="19" t="e">
        <f>IF(VLOOKUP(FF$2,#REF!,6,FALSE)="",0,100)</f>
        <v>#REF!</v>
      </c>
      <c r="FG28" s="19" t="e">
        <f>IF(VLOOKUP(FG$2,#REF!,6,FALSE)="",0,100)</f>
        <v>#REF!</v>
      </c>
      <c r="FH28" s="19" t="e">
        <f>IF(VLOOKUP(FH$2,#REF!,6,FALSE)="",0,100)</f>
        <v>#REF!</v>
      </c>
      <c r="FI28" s="19" t="e">
        <f>IF(VLOOKUP(FI$2,#REF!,6,FALSE)="",0,100)</f>
        <v>#REF!</v>
      </c>
      <c r="FJ28" s="19" t="e">
        <f>IF(VLOOKUP(FJ$2,#REF!,6,FALSE)="",0,100)</f>
        <v>#REF!</v>
      </c>
      <c r="FK28" s="19" t="e">
        <f>IF(VLOOKUP(FK$2,#REF!,6,FALSE)="",0,100)</f>
        <v>#REF!</v>
      </c>
      <c r="FL28" s="19" t="e">
        <f>IF(VLOOKUP(FL$2,#REF!,6,FALSE)="",0,100)</f>
        <v>#REF!</v>
      </c>
      <c r="FM28" s="19" t="e">
        <f>IF(VLOOKUP(FM$2,#REF!,6,FALSE)="",0,100)</f>
        <v>#REF!</v>
      </c>
      <c r="FN28" s="19" t="e">
        <f>IF(VLOOKUP(FN$2,#REF!,6,FALSE)="",0,100)</f>
        <v>#REF!</v>
      </c>
      <c r="FO28" s="19" t="e">
        <f>IF(VLOOKUP(FO$2,#REF!,6,FALSE)="",0,100)</f>
        <v>#REF!</v>
      </c>
      <c r="FP28" s="19" t="e">
        <f>IF(VLOOKUP(FP$2,#REF!,6,FALSE)="",0,100)</f>
        <v>#REF!</v>
      </c>
      <c r="FQ28" s="19" t="e">
        <f>IF(VLOOKUP(FQ$2,#REF!,6,FALSE)="",0,100)</f>
        <v>#REF!</v>
      </c>
      <c r="FR28" s="19" t="e">
        <f>IF(VLOOKUP(FR$2,#REF!,6,FALSE)="",0,100)</f>
        <v>#REF!</v>
      </c>
      <c r="FS28" s="19" t="e">
        <f>IF(VLOOKUP(FS$2,#REF!,6,FALSE)="",0,100)</f>
        <v>#REF!</v>
      </c>
      <c r="FT28" s="19" t="e">
        <f>IF(VLOOKUP(FT$2,#REF!,6,FALSE)="",0,100)</f>
        <v>#REF!</v>
      </c>
      <c r="FU28" s="19" t="e">
        <f>IF(VLOOKUP(FU$2,#REF!,6,FALSE)="",0,100)</f>
        <v>#REF!</v>
      </c>
      <c r="FV28" s="19" t="e">
        <f>IF(VLOOKUP(FV$2,#REF!,6,FALSE)="",0,100)</f>
        <v>#REF!</v>
      </c>
    </row>
    <row r="29" spans="1:178">
      <c r="A29" s="61" t="s">
        <v>181</v>
      </c>
      <c r="B29" s="19" t="e">
        <f>IF(VLOOKUP(B$2,#REF!,7,FALSE)="",0,100)</f>
        <v>#REF!</v>
      </c>
      <c r="C29" s="19" t="e">
        <f>IF(VLOOKUP(C$2,#REF!,7,FALSE)="",0,100)</f>
        <v>#REF!</v>
      </c>
      <c r="D29" s="19" t="e">
        <f>IF(VLOOKUP(D$2,#REF!,7,FALSE)="",0,100)</f>
        <v>#REF!</v>
      </c>
      <c r="E29" s="19" t="e">
        <f>IF(VLOOKUP(E$2,#REF!,7,FALSE)="",0,100)</f>
        <v>#REF!</v>
      </c>
      <c r="F29" s="19" t="e">
        <f>IF(VLOOKUP(F$2,#REF!,7,FALSE)="",0,100)</f>
        <v>#REF!</v>
      </c>
      <c r="G29" s="19" t="e">
        <f>IF(VLOOKUP(G$2,#REF!,7,FALSE)="",0,100)</f>
        <v>#REF!</v>
      </c>
      <c r="H29" s="19" t="e">
        <f>IF(VLOOKUP(H$2,#REF!,7,FALSE)="",0,100)</f>
        <v>#REF!</v>
      </c>
      <c r="I29" s="19" t="e">
        <f>IF(VLOOKUP(I$2,#REF!,7,FALSE)="",0,100)</f>
        <v>#REF!</v>
      </c>
      <c r="J29" s="19" t="e">
        <f>IF(VLOOKUP(J$2,#REF!,7,FALSE)="",0,100)</f>
        <v>#REF!</v>
      </c>
      <c r="K29" s="19" t="e">
        <f>IF(VLOOKUP(K$2,#REF!,7,FALSE)="",0,100)</f>
        <v>#REF!</v>
      </c>
      <c r="L29" s="19" t="e">
        <f>IF(VLOOKUP(L$2,#REF!,7,FALSE)="",0,100)</f>
        <v>#REF!</v>
      </c>
      <c r="M29" s="19" t="e">
        <f>IF(VLOOKUP(M$2,#REF!,7,FALSE)="",0,100)</f>
        <v>#REF!</v>
      </c>
      <c r="N29" s="19" t="e">
        <f>IF(VLOOKUP(N$2,#REF!,7,FALSE)="",0,100)</f>
        <v>#REF!</v>
      </c>
      <c r="O29" s="19" t="e">
        <f>IF(VLOOKUP(O$2,#REF!,7,FALSE)="",0,100)</f>
        <v>#REF!</v>
      </c>
      <c r="P29" s="19" t="e">
        <f>IF(VLOOKUP(P$2,#REF!,7,FALSE)="",0,100)</f>
        <v>#REF!</v>
      </c>
      <c r="Q29" s="19" t="e">
        <f>IF(VLOOKUP(Q$2,#REF!,7,FALSE)="",0,100)</f>
        <v>#REF!</v>
      </c>
      <c r="R29" s="19" t="e">
        <f>IF(VLOOKUP(R$2,#REF!,7,FALSE)="",0,100)</f>
        <v>#REF!</v>
      </c>
      <c r="S29" s="19" t="e">
        <f>IF(VLOOKUP(S$2,#REF!,7,FALSE)="",0,100)</f>
        <v>#REF!</v>
      </c>
      <c r="T29" s="19" t="e">
        <f>IF(VLOOKUP(T$2,#REF!,7,FALSE)="",0,100)</f>
        <v>#REF!</v>
      </c>
      <c r="U29" s="19" t="e">
        <f>IF(VLOOKUP(U$2,#REF!,7,FALSE)="",0,100)</f>
        <v>#REF!</v>
      </c>
      <c r="V29" s="19" t="e">
        <f>IF(VLOOKUP(V$2,#REF!,7,FALSE)="",0,100)</f>
        <v>#REF!</v>
      </c>
      <c r="W29" s="19" t="e">
        <f>IF(VLOOKUP(W$2,#REF!,7,FALSE)="",0,100)</f>
        <v>#REF!</v>
      </c>
      <c r="X29" s="19" t="e">
        <f>IF(VLOOKUP(X$2,#REF!,7,FALSE)="",0,100)</f>
        <v>#REF!</v>
      </c>
      <c r="Y29" s="19" t="e">
        <f>IF(VLOOKUP(Y$2,#REF!,7,FALSE)="",0,100)</f>
        <v>#REF!</v>
      </c>
      <c r="Z29" s="19" t="e">
        <f>IF(VLOOKUP(Z$2,#REF!,7,FALSE)="",0,100)</f>
        <v>#REF!</v>
      </c>
      <c r="AA29" s="19" t="e">
        <f>IF(VLOOKUP(AA$2,#REF!,7,FALSE)="",0,100)</f>
        <v>#REF!</v>
      </c>
      <c r="AB29" s="19" t="e">
        <f>IF(VLOOKUP(AB$2,#REF!,7,FALSE)="",0,100)</f>
        <v>#REF!</v>
      </c>
      <c r="AC29" s="19" t="e">
        <f>IF(VLOOKUP(AC$2,#REF!,7,FALSE)="",0,100)</f>
        <v>#REF!</v>
      </c>
      <c r="AD29" s="19" t="e">
        <f>IF(VLOOKUP(AD$2,#REF!,7,FALSE)="",0,100)</f>
        <v>#REF!</v>
      </c>
      <c r="AE29" s="19" t="e">
        <f>IF(VLOOKUP(AE$2,#REF!,7,FALSE)="",0,100)</f>
        <v>#REF!</v>
      </c>
      <c r="AF29" s="19" t="e">
        <f>IF(VLOOKUP(AF$2,#REF!,7,FALSE)="",0,100)</f>
        <v>#REF!</v>
      </c>
      <c r="AG29" s="19" t="e">
        <f>IF(VLOOKUP(AG$2,#REF!,7,FALSE)="",0,100)</f>
        <v>#REF!</v>
      </c>
      <c r="AH29" s="19" t="e">
        <f>IF(VLOOKUP(AH$2,#REF!,7,FALSE)="",0,100)</f>
        <v>#REF!</v>
      </c>
      <c r="AI29" s="19" t="e">
        <f>IF(VLOOKUP(AI$2,#REF!,7,FALSE)="",0,100)</f>
        <v>#REF!</v>
      </c>
      <c r="AJ29" s="19" t="e">
        <f>IF(VLOOKUP(AJ$2,#REF!,7,FALSE)="",0,100)</f>
        <v>#REF!</v>
      </c>
      <c r="AK29" s="19" t="e">
        <f>IF(VLOOKUP(AK$2,#REF!,7,FALSE)="",0,100)</f>
        <v>#REF!</v>
      </c>
      <c r="AL29" s="19" t="e">
        <f>IF(VLOOKUP(AL$2,#REF!,7,FALSE)="",0,100)</f>
        <v>#REF!</v>
      </c>
      <c r="AM29" s="19" t="e">
        <f>IF(VLOOKUP(AM$2,#REF!,7,FALSE)="",0,100)</f>
        <v>#REF!</v>
      </c>
      <c r="AN29" s="19" t="e">
        <f>IF(VLOOKUP(AN$2,#REF!,7,FALSE)="",0,100)</f>
        <v>#REF!</v>
      </c>
      <c r="AO29" s="19" t="e">
        <f>IF(VLOOKUP(AO$2,#REF!,7,FALSE)="",0,100)</f>
        <v>#REF!</v>
      </c>
      <c r="AP29" s="19" t="e">
        <f>IF(VLOOKUP(AP$2,#REF!,7,FALSE)="",0,100)</f>
        <v>#REF!</v>
      </c>
      <c r="AQ29" s="19" t="e">
        <f>IF(VLOOKUP(AQ$2,#REF!,7,FALSE)="",0,100)</f>
        <v>#REF!</v>
      </c>
      <c r="AR29" s="19" t="e">
        <f>IF(VLOOKUP(AR$2,#REF!,7,FALSE)="",0,100)</f>
        <v>#REF!</v>
      </c>
      <c r="AS29" s="19" t="e">
        <f>IF(VLOOKUP(AS$2,#REF!,7,FALSE)="",0,100)</f>
        <v>#REF!</v>
      </c>
      <c r="AT29" s="19" t="e">
        <f>IF(VLOOKUP(AT$2,#REF!,7,FALSE)="",0,100)</f>
        <v>#REF!</v>
      </c>
      <c r="AU29" s="19" t="e">
        <f>IF(VLOOKUP(AU$2,#REF!,7,FALSE)="",0,100)</f>
        <v>#REF!</v>
      </c>
      <c r="AV29" s="19" t="e">
        <f>IF(VLOOKUP(AV$2,#REF!,7,FALSE)="",0,100)</f>
        <v>#REF!</v>
      </c>
      <c r="AW29" s="19" t="e">
        <f>IF(VLOOKUP(AW$2,#REF!,7,FALSE)="",0,100)</f>
        <v>#REF!</v>
      </c>
      <c r="AX29" s="19" t="e">
        <f>IF(VLOOKUP(AX$2,#REF!,7,FALSE)="",0,100)</f>
        <v>#REF!</v>
      </c>
      <c r="AY29" s="19" t="e">
        <f>IF(VLOOKUP(AY$2,#REF!,7,FALSE)="",0,100)</f>
        <v>#REF!</v>
      </c>
      <c r="AZ29" s="19" t="e">
        <f>IF(VLOOKUP(AZ$2,#REF!,7,FALSE)="",0,100)</f>
        <v>#REF!</v>
      </c>
      <c r="BA29" s="19" t="e">
        <f>IF(VLOOKUP(BA$2,#REF!,7,FALSE)="",0,100)</f>
        <v>#REF!</v>
      </c>
      <c r="BB29" s="19" t="e">
        <f>IF(VLOOKUP(BB$2,#REF!,7,FALSE)="",0,100)</f>
        <v>#REF!</v>
      </c>
      <c r="BC29" s="19" t="e">
        <f>IF(VLOOKUP(BC$2,#REF!,7,FALSE)="",0,100)</f>
        <v>#REF!</v>
      </c>
      <c r="BD29" s="19" t="e">
        <f>IF(VLOOKUP(BD$2,#REF!,7,FALSE)="",0,100)</f>
        <v>#REF!</v>
      </c>
      <c r="BE29" s="19" t="e">
        <f>IF(VLOOKUP(BE$2,#REF!,7,FALSE)="",0,100)</f>
        <v>#REF!</v>
      </c>
      <c r="BF29" s="19" t="e">
        <f>IF(VLOOKUP(BF$2,#REF!,7,FALSE)="",0,100)</f>
        <v>#REF!</v>
      </c>
      <c r="BG29" s="19" t="e">
        <f>IF(VLOOKUP(BG$2,#REF!,7,FALSE)="",0,100)</f>
        <v>#REF!</v>
      </c>
      <c r="BH29" s="19" t="e">
        <f>IF(VLOOKUP(BH$2,#REF!,7,FALSE)="",0,100)</f>
        <v>#REF!</v>
      </c>
      <c r="BI29" s="19" t="e">
        <f>IF(VLOOKUP(BI$2,#REF!,7,FALSE)="",0,100)</f>
        <v>#REF!</v>
      </c>
      <c r="BJ29" s="19" t="e">
        <f>IF(VLOOKUP(BJ$2,#REF!,7,FALSE)="",0,100)</f>
        <v>#REF!</v>
      </c>
      <c r="BK29" s="19" t="e">
        <f>IF(VLOOKUP(BK$2,#REF!,7,FALSE)="",0,100)</f>
        <v>#REF!</v>
      </c>
      <c r="BL29" s="19" t="e">
        <f>IF(VLOOKUP(BL$2,#REF!,7,FALSE)="",0,100)</f>
        <v>#REF!</v>
      </c>
      <c r="BM29" s="19" t="e">
        <f>IF(VLOOKUP(BM$2,#REF!,7,FALSE)="",0,100)</f>
        <v>#REF!</v>
      </c>
      <c r="BN29" s="19" t="e">
        <f>IF(VLOOKUP(BN$2,#REF!,7,FALSE)="",0,100)</f>
        <v>#REF!</v>
      </c>
      <c r="BO29" s="19" t="e">
        <f>IF(VLOOKUP(BO$2,#REF!,7,FALSE)="",0,100)</f>
        <v>#REF!</v>
      </c>
      <c r="BP29" s="19" t="e">
        <f>IF(VLOOKUP(BP$2,#REF!,7,FALSE)="",0,100)</f>
        <v>#REF!</v>
      </c>
      <c r="BQ29" s="19" t="e">
        <f>IF(VLOOKUP(BQ$2,#REF!,7,FALSE)="",0,100)</f>
        <v>#REF!</v>
      </c>
      <c r="BR29" s="19" t="e">
        <f>IF(VLOOKUP(BR$2,#REF!,7,FALSE)="",0,100)</f>
        <v>#REF!</v>
      </c>
      <c r="BS29" s="19" t="e">
        <f>IF(VLOOKUP(BS$2,#REF!,7,FALSE)="",0,100)</f>
        <v>#REF!</v>
      </c>
      <c r="BT29" s="19" t="e">
        <f>IF(VLOOKUP(BT$2,#REF!,7,FALSE)="",0,100)</f>
        <v>#REF!</v>
      </c>
      <c r="BU29" s="19" t="e">
        <f>IF(VLOOKUP(BU$2,#REF!,7,FALSE)="",0,100)</f>
        <v>#REF!</v>
      </c>
      <c r="BV29" s="19" t="e">
        <f>IF(VLOOKUP(BV$2,#REF!,7,FALSE)="",0,100)</f>
        <v>#REF!</v>
      </c>
      <c r="BW29" s="19" t="e">
        <f>IF(VLOOKUP(BW$2,#REF!,7,FALSE)="",0,100)</f>
        <v>#REF!</v>
      </c>
      <c r="BX29" s="19" t="e">
        <f>IF(VLOOKUP(BX$2,#REF!,7,FALSE)="",0,100)</f>
        <v>#REF!</v>
      </c>
      <c r="BY29" s="19" t="e">
        <f>IF(VLOOKUP(BY$2,#REF!,7,FALSE)="",0,100)</f>
        <v>#REF!</v>
      </c>
      <c r="BZ29" s="19" t="e">
        <f>IF(VLOOKUP(BZ$2,#REF!,7,FALSE)="",0,100)</f>
        <v>#REF!</v>
      </c>
      <c r="CA29" s="19" t="e">
        <f>IF(VLOOKUP(CA$2,#REF!,7,FALSE)="",0,100)</f>
        <v>#REF!</v>
      </c>
      <c r="CB29" s="19" t="e">
        <f>IF(VLOOKUP(CB$2,#REF!,7,FALSE)="",0,100)</f>
        <v>#REF!</v>
      </c>
      <c r="CC29" s="19" t="e">
        <f>IF(VLOOKUP(CC$2,#REF!,7,FALSE)="",0,100)</f>
        <v>#REF!</v>
      </c>
      <c r="CD29" s="19" t="e">
        <f>IF(VLOOKUP(CD$2,#REF!,7,FALSE)="",0,100)</f>
        <v>#REF!</v>
      </c>
      <c r="CE29" s="19" t="e">
        <f>IF(VLOOKUP(CE$2,#REF!,7,FALSE)="",0,100)</f>
        <v>#REF!</v>
      </c>
      <c r="CF29" s="19" t="e">
        <f>IF(VLOOKUP(CF$2,#REF!,7,FALSE)="",0,100)</f>
        <v>#REF!</v>
      </c>
      <c r="CG29" s="19" t="e">
        <f>IF(VLOOKUP(CG$2,#REF!,7,FALSE)="",0,100)</f>
        <v>#REF!</v>
      </c>
      <c r="CH29" s="19" t="e">
        <f>IF(VLOOKUP(CH$2,#REF!,7,FALSE)="",0,100)</f>
        <v>#REF!</v>
      </c>
      <c r="CI29" s="19" t="e">
        <f>IF(VLOOKUP(CI$2,#REF!,7,FALSE)="",0,100)</f>
        <v>#REF!</v>
      </c>
      <c r="CJ29" s="19" t="e">
        <f>IF(VLOOKUP(CJ$2,#REF!,7,FALSE)="",0,100)</f>
        <v>#REF!</v>
      </c>
      <c r="CK29" s="19" t="e">
        <f>IF(VLOOKUP(CK$2,#REF!,7,FALSE)="",0,100)</f>
        <v>#REF!</v>
      </c>
      <c r="CL29" s="19" t="e">
        <f>IF(VLOOKUP(CL$2,#REF!,7,FALSE)="",0,100)</f>
        <v>#REF!</v>
      </c>
      <c r="CM29" s="19" t="e">
        <f>IF(VLOOKUP(CM$2,#REF!,7,FALSE)="",0,100)</f>
        <v>#REF!</v>
      </c>
      <c r="CN29" s="19" t="e">
        <f>IF(VLOOKUP(CN$2,#REF!,7,FALSE)="",0,100)</f>
        <v>#REF!</v>
      </c>
      <c r="CO29" s="19" t="e">
        <f>IF(VLOOKUP(CO$2,#REF!,7,FALSE)="",0,100)</f>
        <v>#REF!</v>
      </c>
      <c r="CP29" s="19" t="e">
        <f>IF(VLOOKUP(CP$2,#REF!,7,FALSE)="",0,100)</f>
        <v>#REF!</v>
      </c>
      <c r="CQ29" s="19" t="e">
        <f>IF(VLOOKUP(CQ$2,#REF!,7,FALSE)="",0,100)</f>
        <v>#REF!</v>
      </c>
      <c r="CR29" s="19" t="e">
        <f>IF(VLOOKUP(CR$2,#REF!,7,FALSE)="",0,100)</f>
        <v>#REF!</v>
      </c>
      <c r="CS29" s="19" t="e">
        <f>IF(VLOOKUP(CS$2,#REF!,7,FALSE)="",0,100)</f>
        <v>#REF!</v>
      </c>
      <c r="CT29" s="19" t="e">
        <f>IF(VLOOKUP(CT$2,#REF!,7,FALSE)="",0,100)</f>
        <v>#REF!</v>
      </c>
      <c r="CU29" s="19" t="e">
        <f>IF(VLOOKUP(CU$2,#REF!,7,FALSE)="",0,100)</f>
        <v>#REF!</v>
      </c>
      <c r="CV29" s="19" t="e">
        <f>IF(VLOOKUP(CV$2,#REF!,7,FALSE)="",0,100)</f>
        <v>#REF!</v>
      </c>
      <c r="CW29" s="19" t="e">
        <f>IF(VLOOKUP(CW$2,#REF!,7,FALSE)="",0,100)</f>
        <v>#REF!</v>
      </c>
      <c r="CX29" s="19" t="e">
        <f>IF(VLOOKUP(CX$2,#REF!,7,FALSE)="",0,100)</f>
        <v>#REF!</v>
      </c>
      <c r="CY29" s="19" t="e">
        <f>IF(VLOOKUP(CY$2,#REF!,7,FALSE)="",0,100)</f>
        <v>#REF!</v>
      </c>
      <c r="CZ29" s="19" t="e">
        <f>IF(VLOOKUP(CZ$2,#REF!,7,FALSE)="",0,100)</f>
        <v>#REF!</v>
      </c>
      <c r="DA29" s="19" t="e">
        <f>IF(VLOOKUP(DA$2,#REF!,7,FALSE)="",0,100)</f>
        <v>#REF!</v>
      </c>
      <c r="DB29" s="19" t="e">
        <f>IF(VLOOKUP(DB$2,#REF!,7,FALSE)="",0,100)</f>
        <v>#REF!</v>
      </c>
      <c r="DC29" s="19" t="e">
        <f>IF(VLOOKUP(DC$2,#REF!,7,FALSE)="",0,100)</f>
        <v>#REF!</v>
      </c>
      <c r="DD29" s="19" t="e">
        <f>IF(VLOOKUP(DD$2,#REF!,7,FALSE)="",0,100)</f>
        <v>#REF!</v>
      </c>
      <c r="DE29" s="19" t="e">
        <f>IF(VLOOKUP(DE$2,#REF!,7,FALSE)="",0,100)</f>
        <v>#REF!</v>
      </c>
      <c r="DF29" s="19" t="e">
        <f>IF(VLOOKUP(DF$2,#REF!,7,FALSE)="",0,100)</f>
        <v>#REF!</v>
      </c>
      <c r="DG29" s="19" t="e">
        <f>IF(VLOOKUP(DG$2,#REF!,7,FALSE)="",0,100)</f>
        <v>#REF!</v>
      </c>
      <c r="DH29" s="19" t="e">
        <f>IF(VLOOKUP(DH$2,#REF!,7,FALSE)="",0,100)</f>
        <v>#REF!</v>
      </c>
      <c r="DI29" s="19" t="e">
        <f>IF(VLOOKUP(DI$2,#REF!,7,FALSE)="",0,100)</f>
        <v>#REF!</v>
      </c>
      <c r="DJ29" s="19" t="e">
        <f>IF(VLOOKUP(DJ$2,#REF!,7,FALSE)="",0,100)</f>
        <v>#REF!</v>
      </c>
      <c r="DK29" s="19" t="e">
        <f>IF(VLOOKUP(DK$2,#REF!,7,FALSE)="",0,100)</f>
        <v>#REF!</v>
      </c>
      <c r="DL29" s="19" t="e">
        <f>IF(VLOOKUP(DL$2,#REF!,7,FALSE)="",0,100)</f>
        <v>#REF!</v>
      </c>
      <c r="DM29" s="19" t="e">
        <f>IF(VLOOKUP(DM$2,#REF!,7,FALSE)="",0,100)</f>
        <v>#REF!</v>
      </c>
      <c r="DN29" s="19" t="e">
        <f>IF(VLOOKUP(DN$2,#REF!,7,FALSE)="",0,100)</f>
        <v>#REF!</v>
      </c>
      <c r="DO29" s="19" t="e">
        <f>IF(VLOOKUP(DO$2,#REF!,7,FALSE)="",0,100)</f>
        <v>#REF!</v>
      </c>
      <c r="DP29" s="19" t="e">
        <f>IF(VLOOKUP(DP$2,#REF!,7,FALSE)="",0,100)</f>
        <v>#REF!</v>
      </c>
      <c r="DQ29" s="19" t="e">
        <f>IF(VLOOKUP(DQ$2,#REF!,7,FALSE)="",0,100)</f>
        <v>#REF!</v>
      </c>
      <c r="DR29" s="19" t="e">
        <f>IF(VLOOKUP(DR$2,#REF!,7,FALSE)="",0,100)</f>
        <v>#REF!</v>
      </c>
      <c r="DS29" s="19" t="e">
        <f>IF(VLOOKUP(DS$2,#REF!,7,FALSE)="",0,100)</f>
        <v>#REF!</v>
      </c>
      <c r="DT29" s="19" t="e">
        <f>IF(VLOOKUP(DT$2,#REF!,7,FALSE)="",0,100)</f>
        <v>#REF!</v>
      </c>
      <c r="DU29" s="19" t="e">
        <f>IF(VLOOKUP(DU$2,#REF!,7,FALSE)="",0,100)</f>
        <v>#REF!</v>
      </c>
      <c r="DV29" s="19" t="e">
        <f>IF(VLOOKUP(DV$2,#REF!,7,FALSE)="",0,100)</f>
        <v>#REF!</v>
      </c>
      <c r="DW29" s="19" t="e">
        <f>IF(VLOOKUP(DW$2,#REF!,7,FALSE)="",0,100)</f>
        <v>#REF!</v>
      </c>
      <c r="DX29" s="19" t="e">
        <f>IF(VLOOKUP(DX$2,#REF!,7,FALSE)="",0,100)</f>
        <v>#REF!</v>
      </c>
      <c r="DY29" s="19" t="e">
        <f>IF(VLOOKUP(DY$2,#REF!,7,FALSE)="",0,100)</f>
        <v>#REF!</v>
      </c>
      <c r="DZ29" s="19" t="e">
        <f>IF(VLOOKUP(DZ$2,#REF!,7,FALSE)="",0,100)</f>
        <v>#REF!</v>
      </c>
      <c r="EA29" s="19" t="e">
        <f>IF(VLOOKUP(EA$2,#REF!,7,FALSE)="",0,100)</f>
        <v>#REF!</v>
      </c>
      <c r="EB29" s="19" t="e">
        <f>IF(VLOOKUP(EB$2,#REF!,7,FALSE)="",0,100)</f>
        <v>#REF!</v>
      </c>
      <c r="EC29" s="19" t="e">
        <f>IF(VLOOKUP(EC$2,#REF!,7,FALSE)="",0,100)</f>
        <v>#REF!</v>
      </c>
      <c r="ED29" s="19" t="e">
        <f>IF(VLOOKUP(ED$2,#REF!,7,FALSE)="",0,100)</f>
        <v>#REF!</v>
      </c>
      <c r="EE29" s="19" t="e">
        <f>IF(VLOOKUP(EE$2,#REF!,7,FALSE)="",0,100)</f>
        <v>#REF!</v>
      </c>
      <c r="EF29" s="19" t="e">
        <f>IF(VLOOKUP(EF$2,#REF!,7,FALSE)="",0,100)</f>
        <v>#REF!</v>
      </c>
      <c r="EG29" s="19" t="e">
        <f>IF(VLOOKUP(EG$2,#REF!,7,FALSE)="",0,100)</f>
        <v>#REF!</v>
      </c>
      <c r="EH29" s="19" t="e">
        <f>IF(VLOOKUP(EH$2,#REF!,7,FALSE)="",0,100)</f>
        <v>#REF!</v>
      </c>
      <c r="EI29" s="19" t="e">
        <f>IF(VLOOKUP(EI$2,#REF!,7,FALSE)="",0,100)</f>
        <v>#REF!</v>
      </c>
      <c r="EJ29" s="19" t="e">
        <f>IF(VLOOKUP(EJ$2,#REF!,7,FALSE)="",0,100)</f>
        <v>#REF!</v>
      </c>
      <c r="EK29" s="19" t="e">
        <f>IF(VLOOKUP(EK$2,#REF!,7,FALSE)="",0,100)</f>
        <v>#REF!</v>
      </c>
      <c r="EL29" s="19" t="e">
        <f>IF(VLOOKUP(EL$2,#REF!,7,FALSE)="",0,100)</f>
        <v>#REF!</v>
      </c>
      <c r="EM29" s="19" t="e">
        <f>IF(VLOOKUP(EM$2,#REF!,7,FALSE)="",0,100)</f>
        <v>#REF!</v>
      </c>
      <c r="EN29" s="19" t="e">
        <f>IF(VLOOKUP(EN$2,#REF!,7,FALSE)="",0,100)</f>
        <v>#REF!</v>
      </c>
      <c r="EO29" s="19" t="e">
        <f>IF(VLOOKUP(EO$2,#REF!,7,FALSE)="",0,100)</f>
        <v>#REF!</v>
      </c>
      <c r="EP29" s="19" t="e">
        <f>IF(VLOOKUP(EP$2,#REF!,7,FALSE)="",0,100)</f>
        <v>#REF!</v>
      </c>
      <c r="EQ29" s="19" t="e">
        <f>IF(VLOOKUP(EQ$2,#REF!,7,FALSE)="",0,100)</f>
        <v>#REF!</v>
      </c>
      <c r="ER29" s="19" t="e">
        <f>IF(VLOOKUP(ER$2,#REF!,7,FALSE)="",0,100)</f>
        <v>#REF!</v>
      </c>
      <c r="ES29" s="19" t="e">
        <f>IF(VLOOKUP(ES$2,#REF!,7,FALSE)="",0,100)</f>
        <v>#REF!</v>
      </c>
      <c r="ET29" s="19" t="e">
        <f>IF(VLOOKUP(ET$2,#REF!,7,FALSE)="",0,100)</f>
        <v>#REF!</v>
      </c>
      <c r="EU29" s="19" t="e">
        <f>IF(VLOOKUP(EU$2,#REF!,7,FALSE)="",0,100)</f>
        <v>#REF!</v>
      </c>
      <c r="EV29" s="19" t="e">
        <f>IF(VLOOKUP(EV$2,#REF!,7,FALSE)="",0,100)</f>
        <v>#REF!</v>
      </c>
      <c r="EW29" s="19" t="e">
        <f>IF(VLOOKUP(EW$2,#REF!,7,FALSE)="",0,100)</f>
        <v>#REF!</v>
      </c>
      <c r="EX29" s="19" t="e">
        <f>IF(VLOOKUP(EX$2,#REF!,7,FALSE)="",0,100)</f>
        <v>#REF!</v>
      </c>
      <c r="EY29" s="19" t="e">
        <f>IF(VLOOKUP(EY$2,#REF!,7,FALSE)="",0,100)</f>
        <v>#REF!</v>
      </c>
      <c r="EZ29" s="19" t="e">
        <f>IF(VLOOKUP(EZ$2,#REF!,7,FALSE)="",0,100)</f>
        <v>#REF!</v>
      </c>
      <c r="FA29" s="19" t="e">
        <f>IF(VLOOKUP(FA$2,#REF!,7,FALSE)="",0,100)</f>
        <v>#REF!</v>
      </c>
      <c r="FB29" s="19" t="e">
        <f>IF(VLOOKUP(FB$2,#REF!,7,FALSE)="",0,100)</f>
        <v>#REF!</v>
      </c>
      <c r="FC29" s="19" t="e">
        <f>IF(VLOOKUP(FC$2,#REF!,7,FALSE)="",0,100)</f>
        <v>#REF!</v>
      </c>
      <c r="FD29" s="19" t="e">
        <f>IF(VLOOKUP(FD$2,#REF!,7,FALSE)="",0,100)</f>
        <v>#REF!</v>
      </c>
      <c r="FE29" s="19" t="e">
        <f>IF(VLOOKUP(FE$2,#REF!,7,FALSE)="",0,100)</f>
        <v>#REF!</v>
      </c>
      <c r="FF29" s="19" t="e">
        <f>IF(VLOOKUP(FF$2,#REF!,7,FALSE)="",0,100)</f>
        <v>#REF!</v>
      </c>
      <c r="FG29" s="19" t="e">
        <f>IF(VLOOKUP(FG$2,#REF!,7,FALSE)="",0,100)</f>
        <v>#REF!</v>
      </c>
      <c r="FH29" s="19" t="e">
        <f>IF(VLOOKUP(FH$2,#REF!,7,FALSE)="",0,100)</f>
        <v>#REF!</v>
      </c>
      <c r="FI29" s="19" t="e">
        <f>IF(VLOOKUP(FI$2,#REF!,7,FALSE)="",0,100)</f>
        <v>#REF!</v>
      </c>
      <c r="FJ29" s="19" t="e">
        <f>IF(VLOOKUP(FJ$2,#REF!,7,FALSE)="",0,100)</f>
        <v>#REF!</v>
      </c>
      <c r="FK29" s="19" t="e">
        <f>IF(VLOOKUP(FK$2,#REF!,7,FALSE)="",0,100)</f>
        <v>#REF!</v>
      </c>
      <c r="FL29" s="19" t="e">
        <f>IF(VLOOKUP(FL$2,#REF!,7,FALSE)="",0,100)</f>
        <v>#REF!</v>
      </c>
      <c r="FM29" s="19" t="e">
        <f>IF(VLOOKUP(FM$2,#REF!,7,FALSE)="",0,100)</f>
        <v>#REF!</v>
      </c>
      <c r="FN29" s="19" t="e">
        <f>IF(VLOOKUP(FN$2,#REF!,7,FALSE)="",0,100)</f>
        <v>#REF!</v>
      </c>
      <c r="FO29" s="19" t="e">
        <f>IF(VLOOKUP(FO$2,#REF!,7,FALSE)="",0,100)</f>
        <v>#REF!</v>
      </c>
      <c r="FP29" s="19" t="e">
        <f>IF(VLOOKUP(FP$2,#REF!,7,FALSE)="",0,100)</f>
        <v>#REF!</v>
      </c>
      <c r="FQ29" s="19" t="e">
        <f>IF(VLOOKUP(FQ$2,#REF!,7,FALSE)="",0,100)</f>
        <v>#REF!</v>
      </c>
      <c r="FR29" s="19" t="e">
        <f>IF(VLOOKUP(FR$2,#REF!,7,FALSE)="",0,100)</f>
        <v>#REF!</v>
      </c>
      <c r="FS29" s="19" t="e">
        <f>IF(VLOOKUP(FS$2,#REF!,7,FALSE)="",0,100)</f>
        <v>#REF!</v>
      </c>
      <c r="FT29" s="19" t="e">
        <f>IF(VLOOKUP(FT$2,#REF!,7,FALSE)="",0,100)</f>
        <v>#REF!</v>
      </c>
      <c r="FU29" s="19" t="e">
        <f>IF(VLOOKUP(FU$2,#REF!,7,FALSE)="",0,100)</f>
        <v>#REF!</v>
      </c>
      <c r="FV29" s="19" t="e">
        <f>IF(VLOOKUP(FV$2,#REF!,7,FALSE)="",0,100)</f>
        <v>#REF!</v>
      </c>
    </row>
    <row r="30" spans="1:178">
      <c r="A30" s="61" t="s">
        <v>167</v>
      </c>
      <c r="B30" s="19" t="e">
        <f>IF(VLOOKUP(B$2,#REF!,8,FALSE)="",0,100)</f>
        <v>#REF!</v>
      </c>
      <c r="C30" s="19" t="e">
        <f>IF(VLOOKUP(C$2,#REF!,8,FALSE)="",0,100)</f>
        <v>#REF!</v>
      </c>
      <c r="D30" s="19" t="e">
        <f>IF(VLOOKUP(D$2,#REF!,8,FALSE)="",0,100)</f>
        <v>#REF!</v>
      </c>
      <c r="E30" s="19" t="e">
        <f>IF(VLOOKUP(E$2,#REF!,8,FALSE)="",0,100)</f>
        <v>#REF!</v>
      </c>
      <c r="F30" s="19" t="e">
        <f>IF(VLOOKUP(F$2,#REF!,8,FALSE)="",0,100)</f>
        <v>#REF!</v>
      </c>
      <c r="G30" s="19" t="e">
        <f>IF(VLOOKUP(G$2,#REF!,8,FALSE)="",0,100)</f>
        <v>#REF!</v>
      </c>
      <c r="H30" s="19" t="e">
        <f>IF(VLOOKUP(H$2,#REF!,8,FALSE)="",0,100)</f>
        <v>#REF!</v>
      </c>
      <c r="I30" s="19" t="e">
        <f>IF(VLOOKUP(I$2,#REF!,8,FALSE)="",0,100)</f>
        <v>#REF!</v>
      </c>
      <c r="J30" s="19" t="e">
        <f>IF(VLOOKUP(J$2,#REF!,8,FALSE)="",0,100)</f>
        <v>#REF!</v>
      </c>
      <c r="K30" s="19" t="e">
        <f>IF(VLOOKUP(K$2,#REF!,8,FALSE)="",0,100)</f>
        <v>#REF!</v>
      </c>
      <c r="L30" s="19" t="e">
        <f>IF(VLOOKUP(L$2,#REF!,8,FALSE)="",0,100)</f>
        <v>#REF!</v>
      </c>
      <c r="M30" s="19" t="e">
        <f>IF(VLOOKUP(M$2,#REF!,8,FALSE)="",0,100)</f>
        <v>#REF!</v>
      </c>
      <c r="N30" s="19" t="e">
        <f>IF(VLOOKUP(N$2,#REF!,8,FALSE)="",0,100)</f>
        <v>#REF!</v>
      </c>
      <c r="O30" s="19" t="e">
        <f>IF(VLOOKUP(O$2,#REF!,8,FALSE)="",0,100)</f>
        <v>#REF!</v>
      </c>
      <c r="P30" s="19" t="e">
        <f>IF(VLOOKUP(P$2,#REF!,8,FALSE)="",0,100)</f>
        <v>#REF!</v>
      </c>
      <c r="Q30" s="19" t="e">
        <f>IF(VLOOKUP(Q$2,#REF!,8,FALSE)="",0,100)</f>
        <v>#REF!</v>
      </c>
      <c r="R30" s="19" t="e">
        <f>IF(VLOOKUP(R$2,#REF!,8,FALSE)="",0,100)</f>
        <v>#REF!</v>
      </c>
      <c r="S30" s="19" t="e">
        <f>IF(VLOOKUP(S$2,#REF!,8,FALSE)="",0,100)</f>
        <v>#REF!</v>
      </c>
      <c r="T30" s="19" t="e">
        <f>IF(VLOOKUP(T$2,#REF!,8,FALSE)="",0,100)</f>
        <v>#REF!</v>
      </c>
      <c r="U30" s="19" t="e">
        <f>IF(VLOOKUP(U$2,#REF!,8,FALSE)="",0,100)</f>
        <v>#REF!</v>
      </c>
      <c r="V30" s="19" t="e">
        <f>IF(VLOOKUP(V$2,#REF!,8,FALSE)="",0,100)</f>
        <v>#REF!</v>
      </c>
      <c r="W30" s="19" t="e">
        <f>IF(VLOOKUP(W$2,#REF!,8,FALSE)="",0,100)</f>
        <v>#REF!</v>
      </c>
      <c r="X30" s="19" t="e">
        <f>IF(VLOOKUP(X$2,#REF!,8,FALSE)="",0,100)</f>
        <v>#REF!</v>
      </c>
      <c r="Y30" s="19" t="e">
        <f>IF(VLOOKUP(Y$2,#REF!,8,FALSE)="",0,100)</f>
        <v>#REF!</v>
      </c>
      <c r="Z30" s="19" t="e">
        <f>IF(VLOOKUP(Z$2,#REF!,8,FALSE)="",0,100)</f>
        <v>#REF!</v>
      </c>
      <c r="AA30" s="19" t="e">
        <f>IF(VLOOKUP(AA$2,#REF!,8,FALSE)="",0,100)</f>
        <v>#REF!</v>
      </c>
      <c r="AB30" s="19" t="e">
        <f>IF(VLOOKUP(AB$2,#REF!,8,FALSE)="",0,100)</f>
        <v>#REF!</v>
      </c>
      <c r="AC30" s="19" t="e">
        <f>IF(VLOOKUP(AC$2,#REF!,8,FALSE)="",0,100)</f>
        <v>#REF!</v>
      </c>
      <c r="AD30" s="19" t="e">
        <f>IF(VLOOKUP(AD$2,#REF!,8,FALSE)="",0,100)</f>
        <v>#REF!</v>
      </c>
      <c r="AE30" s="19" t="e">
        <f>IF(VLOOKUP(AE$2,#REF!,8,FALSE)="",0,100)</f>
        <v>#REF!</v>
      </c>
      <c r="AF30" s="19" t="e">
        <f>IF(VLOOKUP(AF$2,#REF!,8,FALSE)="",0,100)</f>
        <v>#REF!</v>
      </c>
      <c r="AG30" s="19" t="e">
        <f>IF(VLOOKUP(AG$2,#REF!,8,FALSE)="",0,100)</f>
        <v>#REF!</v>
      </c>
      <c r="AH30" s="19" t="e">
        <f>IF(VLOOKUP(AH$2,#REF!,8,FALSE)="",0,100)</f>
        <v>#REF!</v>
      </c>
      <c r="AI30" s="19" t="e">
        <f>IF(VLOOKUP(AI$2,#REF!,8,FALSE)="",0,100)</f>
        <v>#REF!</v>
      </c>
      <c r="AJ30" s="19" t="e">
        <f>IF(VLOOKUP(AJ$2,#REF!,8,FALSE)="",0,100)</f>
        <v>#REF!</v>
      </c>
      <c r="AK30" s="19" t="e">
        <f>IF(VLOOKUP(AK$2,#REF!,8,FALSE)="",0,100)</f>
        <v>#REF!</v>
      </c>
      <c r="AL30" s="19" t="e">
        <f>IF(VLOOKUP(AL$2,#REF!,8,FALSE)="",0,100)</f>
        <v>#REF!</v>
      </c>
      <c r="AM30" s="19" t="e">
        <f>IF(VLOOKUP(AM$2,#REF!,8,FALSE)="",0,100)</f>
        <v>#REF!</v>
      </c>
      <c r="AN30" s="19" t="e">
        <f>IF(VLOOKUP(AN$2,#REF!,8,FALSE)="",0,100)</f>
        <v>#REF!</v>
      </c>
      <c r="AO30" s="19" t="e">
        <f>IF(VLOOKUP(AO$2,#REF!,8,FALSE)="",0,100)</f>
        <v>#REF!</v>
      </c>
      <c r="AP30" s="19" t="e">
        <f>IF(VLOOKUP(AP$2,#REF!,8,FALSE)="",0,100)</f>
        <v>#REF!</v>
      </c>
      <c r="AQ30" s="19" t="e">
        <f>IF(VLOOKUP(AQ$2,#REF!,8,FALSE)="",0,100)</f>
        <v>#REF!</v>
      </c>
      <c r="AR30" s="19" t="e">
        <f>IF(VLOOKUP(AR$2,#REF!,8,FALSE)="",0,100)</f>
        <v>#REF!</v>
      </c>
      <c r="AS30" s="19" t="e">
        <f>IF(VLOOKUP(AS$2,#REF!,8,FALSE)="",0,100)</f>
        <v>#REF!</v>
      </c>
      <c r="AT30" s="19" t="e">
        <f>IF(VLOOKUP(AT$2,#REF!,8,FALSE)="",0,100)</f>
        <v>#REF!</v>
      </c>
      <c r="AU30" s="19" t="e">
        <f>IF(VLOOKUP(AU$2,#REF!,8,FALSE)="",0,100)</f>
        <v>#REF!</v>
      </c>
      <c r="AV30" s="19" t="e">
        <f>IF(VLOOKUP(AV$2,#REF!,8,FALSE)="",0,100)</f>
        <v>#REF!</v>
      </c>
      <c r="AW30" s="19" t="e">
        <f>IF(VLOOKUP(AW$2,#REF!,8,FALSE)="",0,100)</f>
        <v>#REF!</v>
      </c>
      <c r="AX30" s="19" t="e">
        <f>IF(VLOOKUP(AX$2,#REF!,8,FALSE)="",0,100)</f>
        <v>#REF!</v>
      </c>
      <c r="AY30" s="19" t="e">
        <f>IF(VLOOKUP(AY$2,#REF!,8,FALSE)="",0,100)</f>
        <v>#REF!</v>
      </c>
      <c r="AZ30" s="19" t="e">
        <f>IF(VLOOKUP(AZ$2,#REF!,8,FALSE)="",0,100)</f>
        <v>#REF!</v>
      </c>
      <c r="BA30" s="19" t="e">
        <f>IF(VLOOKUP(BA$2,#REF!,8,FALSE)="",0,100)</f>
        <v>#REF!</v>
      </c>
      <c r="BB30" s="19" t="e">
        <f>IF(VLOOKUP(BB$2,#REF!,8,FALSE)="",0,100)</f>
        <v>#REF!</v>
      </c>
      <c r="BC30" s="19" t="e">
        <f>IF(VLOOKUP(BC$2,#REF!,8,FALSE)="",0,100)</f>
        <v>#REF!</v>
      </c>
      <c r="BD30" s="19" t="e">
        <f>IF(VLOOKUP(BD$2,#REF!,8,FALSE)="",0,100)</f>
        <v>#REF!</v>
      </c>
      <c r="BE30" s="19" t="e">
        <f>IF(VLOOKUP(BE$2,#REF!,8,FALSE)="",0,100)</f>
        <v>#REF!</v>
      </c>
      <c r="BF30" s="19" t="e">
        <f>IF(VLOOKUP(BF$2,#REF!,8,FALSE)="",0,100)</f>
        <v>#REF!</v>
      </c>
      <c r="BG30" s="19" t="e">
        <f>IF(VLOOKUP(BG$2,#REF!,8,FALSE)="",0,100)</f>
        <v>#REF!</v>
      </c>
      <c r="BH30" s="19" t="e">
        <f>IF(VLOOKUP(BH$2,#REF!,8,FALSE)="",0,100)</f>
        <v>#REF!</v>
      </c>
      <c r="BI30" s="19" t="e">
        <f>IF(VLOOKUP(BI$2,#REF!,8,FALSE)="",0,100)</f>
        <v>#REF!</v>
      </c>
      <c r="BJ30" s="19" t="e">
        <f>IF(VLOOKUP(BJ$2,#REF!,8,FALSE)="",0,100)</f>
        <v>#REF!</v>
      </c>
      <c r="BK30" s="19" t="e">
        <f>IF(VLOOKUP(BK$2,#REF!,8,FALSE)="",0,100)</f>
        <v>#REF!</v>
      </c>
      <c r="BL30" s="19" t="e">
        <f>IF(VLOOKUP(BL$2,#REF!,8,FALSE)="",0,100)</f>
        <v>#REF!</v>
      </c>
      <c r="BM30" s="19" t="e">
        <f>IF(VLOOKUP(BM$2,#REF!,8,FALSE)="",0,100)</f>
        <v>#REF!</v>
      </c>
      <c r="BN30" s="19" t="e">
        <f>IF(VLOOKUP(BN$2,#REF!,8,FALSE)="",0,100)</f>
        <v>#REF!</v>
      </c>
      <c r="BO30" s="19" t="e">
        <f>IF(VLOOKUP(BO$2,#REF!,8,FALSE)="",0,100)</f>
        <v>#REF!</v>
      </c>
      <c r="BP30" s="19" t="e">
        <f>IF(VLOOKUP(BP$2,#REF!,8,FALSE)="",0,100)</f>
        <v>#REF!</v>
      </c>
      <c r="BQ30" s="19" t="e">
        <f>IF(VLOOKUP(BQ$2,#REF!,8,FALSE)="",0,100)</f>
        <v>#REF!</v>
      </c>
      <c r="BR30" s="19" t="e">
        <f>IF(VLOOKUP(BR$2,#REF!,8,FALSE)="",0,100)</f>
        <v>#REF!</v>
      </c>
      <c r="BS30" s="19" t="e">
        <f>IF(VLOOKUP(BS$2,#REF!,8,FALSE)="",0,100)</f>
        <v>#REF!</v>
      </c>
      <c r="BT30" s="19" t="e">
        <f>IF(VLOOKUP(BT$2,#REF!,8,FALSE)="",0,100)</f>
        <v>#REF!</v>
      </c>
      <c r="BU30" s="19" t="e">
        <f>IF(VLOOKUP(BU$2,#REF!,8,FALSE)="",0,100)</f>
        <v>#REF!</v>
      </c>
      <c r="BV30" s="19" t="e">
        <f>IF(VLOOKUP(BV$2,#REF!,8,FALSE)="",0,100)</f>
        <v>#REF!</v>
      </c>
      <c r="BW30" s="19" t="e">
        <f>IF(VLOOKUP(BW$2,#REF!,8,FALSE)="",0,100)</f>
        <v>#REF!</v>
      </c>
      <c r="BX30" s="19" t="e">
        <f>IF(VLOOKUP(BX$2,#REF!,8,FALSE)="",0,100)</f>
        <v>#REF!</v>
      </c>
      <c r="BY30" s="19" t="e">
        <f>IF(VLOOKUP(BY$2,#REF!,8,FALSE)="",0,100)</f>
        <v>#REF!</v>
      </c>
      <c r="BZ30" s="19" t="e">
        <f>IF(VLOOKUP(BZ$2,#REF!,8,FALSE)="",0,100)</f>
        <v>#REF!</v>
      </c>
      <c r="CA30" s="19" t="e">
        <f>IF(VLOOKUP(CA$2,#REF!,8,FALSE)="",0,100)</f>
        <v>#REF!</v>
      </c>
      <c r="CB30" s="19" t="e">
        <f>IF(VLOOKUP(CB$2,#REF!,8,FALSE)="",0,100)</f>
        <v>#REF!</v>
      </c>
      <c r="CC30" s="19" t="e">
        <f>IF(VLOOKUP(CC$2,#REF!,8,FALSE)="",0,100)</f>
        <v>#REF!</v>
      </c>
      <c r="CD30" s="19" t="e">
        <f>IF(VLOOKUP(CD$2,#REF!,8,FALSE)="",0,100)</f>
        <v>#REF!</v>
      </c>
      <c r="CE30" s="19" t="e">
        <f>IF(VLOOKUP(CE$2,#REF!,8,FALSE)="",0,100)</f>
        <v>#REF!</v>
      </c>
      <c r="CF30" s="19" t="e">
        <f>IF(VLOOKUP(CF$2,#REF!,8,FALSE)="",0,100)</f>
        <v>#REF!</v>
      </c>
      <c r="CG30" s="19" t="e">
        <f>IF(VLOOKUP(CG$2,#REF!,8,FALSE)="",0,100)</f>
        <v>#REF!</v>
      </c>
      <c r="CH30" s="19" t="e">
        <f>IF(VLOOKUP(CH$2,#REF!,8,FALSE)="",0,100)</f>
        <v>#REF!</v>
      </c>
      <c r="CI30" s="19" t="e">
        <f>IF(VLOOKUP(CI$2,#REF!,8,FALSE)="",0,100)</f>
        <v>#REF!</v>
      </c>
      <c r="CJ30" s="19" t="e">
        <f>IF(VLOOKUP(CJ$2,#REF!,8,FALSE)="",0,100)</f>
        <v>#REF!</v>
      </c>
      <c r="CK30" s="19" t="e">
        <f>IF(VLOOKUP(CK$2,#REF!,8,FALSE)="",0,100)</f>
        <v>#REF!</v>
      </c>
      <c r="CL30" s="19" t="e">
        <f>IF(VLOOKUP(CL$2,#REF!,8,FALSE)="",0,100)</f>
        <v>#REF!</v>
      </c>
      <c r="CM30" s="19" t="e">
        <f>IF(VLOOKUP(CM$2,#REF!,8,FALSE)="",0,100)</f>
        <v>#REF!</v>
      </c>
      <c r="CN30" s="19" t="e">
        <f>IF(VLOOKUP(CN$2,#REF!,8,FALSE)="",0,100)</f>
        <v>#REF!</v>
      </c>
      <c r="CO30" s="19" t="e">
        <f>IF(VLOOKUP(CO$2,#REF!,8,FALSE)="",0,100)</f>
        <v>#REF!</v>
      </c>
      <c r="CP30" s="19" t="e">
        <f>IF(VLOOKUP(CP$2,#REF!,8,FALSE)="",0,100)</f>
        <v>#REF!</v>
      </c>
      <c r="CQ30" s="19" t="e">
        <f>IF(VLOOKUP(CQ$2,#REF!,8,FALSE)="",0,100)</f>
        <v>#REF!</v>
      </c>
      <c r="CR30" s="19" t="e">
        <f>IF(VLOOKUP(CR$2,#REF!,8,FALSE)="",0,100)</f>
        <v>#REF!</v>
      </c>
      <c r="CS30" s="19" t="e">
        <f>IF(VLOOKUP(CS$2,#REF!,8,FALSE)="",0,100)</f>
        <v>#REF!</v>
      </c>
      <c r="CT30" s="19" t="e">
        <f>IF(VLOOKUP(CT$2,#REF!,8,FALSE)="",0,100)</f>
        <v>#REF!</v>
      </c>
      <c r="CU30" s="19" t="e">
        <f>IF(VLOOKUP(CU$2,#REF!,8,FALSE)="",0,100)</f>
        <v>#REF!</v>
      </c>
      <c r="CV30" s="19" t="e">
        <f>IF(VLOOKUP(CV$2,#REF!,8,FALSE)="",0,100)</f>
        <v>#REF!</v>
      </c>
      <c r="CW30" s="19" t="e">
        <f>IF(VLOOKUP(CW$2,#REF!,8,FALSE)="",0,100)</f>
        <v>#REF!</v>
      </c>
      <c r="CX30" s="19" t="e">
        <f>IF(VLOOKUP(CX$2,#REF!,8,FALSE)="",0,100)</f>
        <v>#REF!</v>
      </c>
      <c r="CY30" s="19" t="e">
        <f>IF(VLOOKUP(CY$2,#REF!,8,FALSE)="",0,100)</f>
        <v>#REF!</v>
      </c>
      <c r="CZ30" s="19" t="e">
        <f>IF(VLOOKUP(CZ$2,#REF!,8,FALSE)="",0,100)</f>
        <v>#REF!</v>
      </c>
      <c r="DA30" s="19" t="e">
        <f>IF(VLOOKUP(DA$2,#REF!,8,FALSE)="",0,100)</f>
        <v>#REF!</v>
      </c>
      <c r="DB30" s="19" t="e">
        <f>IF(VLOOKUP(DB$2,#REF!,8,FALSE)="",0,100)</f>
        <v>#REF!</v>
      </c>
      <c r="DC30" s="19" t="e">
        <f>IF(VLOOKUP(DC$2,#REF!,8,FALSE)="",0,100)</f>
        <v>#REF!</v>
      </c>
      <c r="DD30" s="19" t="e">
        <f>IF(VLOOKUP(DD$2,#REF!,8,FALSE)="",0,100)</f>
        <v>#REF!</v>
      </c>
      <c r="DE30" s="19" t="e">
        <f>IF(VLOOKUP(DE$2,#REF!,8,FALSE)="",0,100)</f>
        <v>#REF!</v>
      </c>
      <c r="DF30" s="19" t="e">
        <f>IF(VLOOKUP(DF$2,#REF!,8,FALSE)="",0,100)</f>
        <v>#REF!</v>
      </c>
      <c r="DG30" s="19" t="e">
        <f>IF(VLOOKUP(DG$2,#REF!,8,FALSE)="",0,100)</f>
        <v>#REF!</v>
      </c>
      <c r="DH30" s="19" t="e">
        <f>IF(VLOOKUP(DH$2,#REF!,8,FALSE)="",0,100)</f>
        <v>#REF!</v>
      </c>
      <c r="DI30" s="19" t="e">
        <f>IF(VLOOKUP(DI$2,#REF!,8,FALSE)="",0,100)</f>
        <v>#REF!</v>
      </c>
      <c r="DJ30" s="19" t="e">
        <f>IF(VLOOKUP(DJ$2,#REF!,8,FALSE)="",0,100)</f>
        <v>#REF!</v>
      </c>
      <c r="DK30" s="19" t="e">
        <f>IF(VLOOKUP(DK$2,#REF!,8,FALSE)="",0,100)</f>
        <v>#REF!</v>
      </c>
      <c r="DL30" s="19" t="e">
        <f>IF(VLOOKUP(DL$2,#REF!,8,FALSE)="",0,100)</f>
        <v>#REF!</v>
      </c>
      <c r="DM30" s="19" t="e">
        <f>IF(VLOOKUP(DM$2,#REF!,8,FALSE)="",0,100)</f>
        <v>#REF!</v>
      </c>
      <c r="DN30" s="19" t="e">
        <f>IF(VLOOKUP(DN$2,#REF!,8,FALSE)="",0,100)</f>
        <v>#REF!</v>
      </c>
      <c r="DO30" s="19" t="e">
        <f>IF(VLOOKUP(DO$2,#REF!,8,FALSE)="",0,100)</f>
        <v>#REF!</v>
      </c>
      <c r="DP30" s="19" t="e">
        <f>IF(VLOOKUP(DP$2,#REF!,8,FALSE)="",0,100)</f>
        <v>#REF!</v>
      </c>
      <c r="DQ30" s="19" t="e">
        <f>IF(VLOOKUP(DQ$2,#REF!,8,FALSE)="",0,100)</f>
        <v>#REF!</v>
      </c>
      <c r="DR30" s="19" t="e">
        <f>IF(VLOOKUP(DR$2,#REF!,8,FALSE)="",0,100)</f>
        <v>#REF!</v>
      </c>
      <c r="DS30" s="19" t="e">
        <f>IF(VLOOKUP(DS$2,#REF!,8,FALSE)="",0,100)</f>
        <v>#REF!</v>
      </c>
      <c r="DT30" s="19" t="e">
        <f>IF(VLOOKUP(DT$2,#REF!,8,FALSE)="",0,100)</f>
        <v>#REF!</v>
      </c>
      <c r="DU30" s="19" t="e">
        <f>IF(VLOOKUP(DU$2,#REF!,8,FALSE)="",0,100)</f>
        <v>#REF!</v>
      </c>
      <c r="DV30" s="19" t="e">
        <f>IF(VLOOKUP(DV$2,#REF!,8,FALSE)="",0,100)</f>
        <v>#REF!</v>
      </c>
      <c r="DW30" s="19" t="e">
        <f>IF(VLOOKUP(DW$2,#REF!,8,FALSE)="",0,100)</f>
        <v>#REF!</v>
      </c>
      <c r="DX30" s="19" t="e">
        <f>IF(VLOOKUP(DX$2,#REF!,8,FALSE)="",0,100)</f>
        <v>#REF!</v>
      </c>
      <c r="DY30" s="19" t="e">
        <f>IF(VLOOKUP(DY$2,#REF!,8,FALSE)="",0,100)</f>
        <v>#REF!</v>
      </c>
      <c r="DZ30" s="19" t="e">
        <f>IF(VLOOKUP(DZ$2,#REF!,8,FALSE)="",0,100)</f>
        <v>#REF!</v>
      </c>
      <c r="EA30" s="19" t="e">
        <f>IF(VLOOKUP(EA$2,#REF!,8,FALSE)="",0,100)</f>
        <v>#REF!</v>
      </c>
      <c r="EB30" s="19" t="e">
        <f>IF(VLOOKUP(EB$2,#REF!,8,FALSE)="",0,100)</f>
        <v>#REF!</v>
      </c>
      <c r="EC30" s="19" t="e">
        <f>IF(VLOOKUP(EC$2,#REF!,8,FALSE)="",0,100)</f>
        <v>#REF!</v>
      </c>
      <c r="ED30" s="19" t="e">
        <f>IF(VLOOKUP(ED$2,#REF!,8,FALSE)="",0,100)</f>
        <v>#REF!</v>
      </c>
      <c r="EE30" s="19" t="e">
        <f>IF(VLOOKUP(EE$2,#REF!,8,FALSE)="",0,100)</f>
        <v>#REF!</v>
      </c>
      <c r="EF30" s="19" t="e">
        <f>IF(VLOOKUP(EF$2,#REF!,8,FALSE)="",0,100)</f>
        <v>#REF!</v>
      </c>
      <c r="EG30" s="19" t="e">
        <f>IF(VLOOKUP(EG$2,#REF!,8,FALSE)="",0,100)</f>
        <v>#REF!</v>
      </c>
      <c r="EH30" s="19" t="e">
        <f>IF(VLOOKUP(EH$2,#REF!,8,FALSE)="",0,100)</f>
        <v>#REF!</v>
      </c>
      <c r="EI30" s="19" t="e">
        <f>IF(VLOOKUP(EI$2,#REF!,8,FALSE)="",0,100)</f>
        <v>#REF!</v>
      </c>
      <c r="EJ30" s="19" t="e">
        <f>IF(VLOOKUP(EJ$2,#REF!,8,FALSE)="",0,100)</f>
        <v>#REF!</v>
      </c>
      <c r="EK30" s="19" t="e">
        <f>IF(VLOOKUP(EK$2,#REF!,8,FALSE)="",0,100)</f>
        <v>#REF!</v>
      </c>
      <c r="EL30" s="19" t="e">
        <f>IF(VLOOKUP(EL$2,#REF!,8,FALSE)="",0,100)</f>
        <v>#REF!</v>
      </c>
      <c r="EM30" s="19" t="e">
        <f>IF(VLOOKUP(EM$2,#REF!,8,FALSE)="",0,100)</f>
        <v>#REF!</v>
      </c>
      <c r="EN30" s="19" t="e">
        <f>IF(VLOOKUP(EN$2,#REF!,8,FALSE)="",0,100)</f>
        <v>#REF!</v>
      </c>
      <c r="EO30" s="19" t="e">
        <f>IF(VLOOKUP(EO$2,#REF!,8,FALSE)="",0,100)</f>
        <v>#REF!</v>
      </c>
      <c r="EP30" s="19" t="e">
        <f>IF(VLOOKUP(EP$2,#REF!,8,FALSE)="",0,100)</f>
        <v>#REF!</v>
      </c>
      <c r="EQ30" s="19" t="e">
        <f>IF(VLOOKUP(EQ$2,#REF!,8,FALSE)="",0,100)</f>
        <v>#REF!</v>
      </c>
      <c r="ER30" s="19" t="e">
        <f>IF(VLOOKUP(ER$2,#REF!,8,FALSE)="",0,100)</f>
        <v>#REF!</v>
      </c>
      <c r="ES30" s="19" t="e">
        <f>IF(VLOOKUP(ES$2,#REF!,8,FALSE)="",0,100)</f>
        <v>#REF!</v>
      </c>
      <c r="ET30" s="19" t="e">
        <f>IF(VLOOKUP(ET$2,#REF!,8,FALSE)="",0,100)</f>
        <v>#REF!</v>
      </c>
      <c r="EU30" s="19" t="e">
        <f>IF(VLOOKUP(EU$2,#REF!,8,FALSE)="",0,100)</f>
        <v>#REF!</v>
      </c>
      <c r="EV30" s="19" t="e">
        <f>IF(VLOOKUP(EV$2,#REF!,8,FALSE)="",0,100)</f>
        <v>#REF!</v>
      </c>
      <c r="EW30" s="19" t="e">
        <f>IF(VLOOKUP(EW$2,#REF!,8,FALSE)="",0,100)</f>
        <v>#REF!</v>
      </c>
      <c r="EX30" s="19" t="e">
        <f>IF(VLOOKUP(EX$2,#REF!,8,FALSE)="",0,100)</f>
        <v>#REF!</v>
      </c>
      <c r="EY30" s="19" t="e">
        <f>IF(VLOOKUP(EY$2,#REF!,8,FALSE)="",0,100)</f>
        <v>#REF!</v>
      </c>
      <c r="EZ30" s="19" t="e">
        <f>IF(VLOOKUP(EZ$2,#REF!,8,FALSE)="",0,100)</f>
        <v>#REF!</v>
      </c>
      <c r="FA30" s="19" t="e">
        <f>IF(VLOOKUP(FA$2,#REF!,8,FALSE)="",0,100)</f>
        <v>#REF!</v>
      </c>
      <c r="FB30" s="19" t="e">
        <f>IF(VLOOKUP(FB$2,#REF!,8,FALSE)="",0,100)</f>
        <v>#REF!</v>
      </c>
      <c r="FC30" s="19" t="e">
        <f>IF(VLOOKUP(FC$2,#REF!,8,FALSE)="",0,100)</f>
        <v>#REF!</v>
      </c>
      <c r="FD30" s="19" t="e">
        <f>IF(VLOOKUP(FD$2,#REF!,8,FALSE)="",0,100)</f>
        <v>#REF!</v>
      </c>
      <c r="FE30" s="19" t="e">
        <f>IF(VLOOKUP(FE$2,#REF!,8,FALSE)="",0,100)</f>
        <v>#REF!</v>
      </c>
      <c r="FF30" s="19" t="e">
        <f>IF(VLOOKUP(FF$2,#REF!,8,FALSE)="",0,100)</f>
        <v>#REF!</v>
      </c>
      <c r="FG30" s="19" t="e">
        <f>IF(VLOOKUP(FG$2,#REF!,8,FALSE)="",0,100)</f>
        <v>#REF!</v>
      </c>
      <c r="FH30" s="19" t="e">
        <f>IF(VLOOKUP(FH$2,#REF!,8,FALSE)="",0,100)</f>
        <v>#REF!</v>
      </c>
      <c r="FI30" s="19" t="e">
        <f>IF(VLOOKUP(FI$2,#REF!,8,FALSE)="",0,100)</f>
        <v>#REF!</v>
      </c>
      <c r="FJ30" s="19" t="e">
        <f>IF(VLOOKUP(FJ$2,#REF!,8,FALSE)="",0,100)</f>
        <v>#REF!</v>
      </c>
      <c r="FK30" s="19" t="e">
        <f>IF(VLOOKUP(FK$2,#REF!,8,FALSE)="",0,100)</f>
        <v>#REF!</v>
      </c>
      <c r="FL30" s="19" t="e">
        <f>IF(VLOOKUP(FL$2,#REF!,8,FALSE)="",0,100)</f>
        <v>#REF!</v>
      </c>
      <c r="FM30" s="19" t="e">
        <f>IF(VLOOKUP(FM$2,#REF!,8,FALSE)="",0,100)</f>
        <v>#REF!</v>
      </c>
      <c r="FN30" s="19" t="e">
        <f>IF(VLOOKUP(FN$2,#REF!,8,FALSE)="",0,100)</f>
        <v>#REF!</v>
      </c>
      <c r="FO30" s="19" t="e">
        <f>IF(VLOOKUP(FO$2,#REF!,8,FALSE)="",0,100)</f>
        <v>#REF!</v>
      </c>
      <c r="FP30" s="19" t="e">
        <f>IF(VLOOKUP(FP$2,#REF!,8,FALSE)="",0,100)</f>
        <v>#REF!</v>
      </c>
      <c r="FQ30" s="19" t="e">
        <f>IF(VLOOKUP(FQ$2,#REF!,8,FALSE)="",0,100)</f>
        <v>#REF!</v>
      </c>
      <c r="FR30" s="19" t="e">
        <f>IF(VLOOKUP(FR$2,#REF!,8,FALSE)="",0,100)</f>
        <v>#REF!</v>
      </c>
      <c r="FS30" s="19" t="e">
        <f>IF(VLOOKUP(FS$2,#REF!,8,FALSE)="",0,100)</f>
        <v>#REF!</v>
      </c>
      <c r="FT30" s="19" t="e">
        <f>IF(VLOOKUP(FT$2,#REF!,8,FALSE)="",0,100)</f>
        <v>#REF!</v>
      </c>
      <c r="FU30" s="19" t="e">
        <f>IF(VLOOKUP(FU$2,#REF!,8,FALSE)="",0,100)</f>
        <v>#REF!</v>
      </c>
      <c r="FV30" s="19" t="e">
        <f>IF(VLOOKUP(FV$2,#REF!,8,FALSE)="",0,100)</f>
        <v>#REF!</v>
      </c>
    </row>
    <row r="31" spans="1:178">
      <c r="A31" s="62" t="s">
        <v>188</v>
      </c>
      <c r="B31" s="19" t="e">
        <f>IF(VLOOKUP(B$2,#REF!,9,FALSE)="",0,100)</f>
        <v>#REF!</v>
      </c>
      <c r="C31" s="19" t="e">
        <f>IF(VLOOKUP(C$2,#REF!,9,FALSE)="",0,100)</f>
        <v>#REF!</v>
      </c>
      <c r="D31" s="19" t="e">
        <f>IF(VLOOKUP(D$2,#REF!,9,FALSE)="",0,100)</f>
        <v>#REF!</v>
      </c>
      <c r="E31" s="19" t="e">
        <f>IF(VLOOKUP(E$2,#REF!,9,FALSE)="",0,100)</f>
        <v>#REF!</v>
      </c>
      <c r="F31" s="19" t="e">
        <f>IF(VLOOKUP(F$2,#REF!,9,FALSE)="",0,100)</f>
        <v>#REF!</v>
      </c>
      <c r="G31" s="19" t="e">
        <f>IF(VLOOKUP(G$2,#REF!,9,FALSE)="",0,100)</f>
        <v>#REF!</v>
      </c>
      <c r="H31" s="19" t="e">
        <f>IF(VLOOKUP(H$2,#REF!,9,FALSE)="",0,100)</f>
        <v>#REF!</v>
      </c>
      <c r="I31" s="19" t="e">
        <f>IF(VLOOKUP(I$2,#REF!,9,FALSE)="",0,100)</f>
        <v>#REF!</v>
      </c>
      <c r="J31" s="19" t="e">
        <f>IF(VLOOKUP(J$2,#REF!,9,FALSE)="",0,100)</f>
        <v>#REF!</v>
      </c>
      <c r="K31" s="19" t="e">
        <f>IF(VLOOKUP(K$2,#REF!,9,FALSE)="",0,100)</f>
        <v>#REF!</v>
      </c>
      <c r="L31" s="19" t="e">
        <f>IF(VLOOKUP(L$2,#REF!,9,FALSE)="",0,100)</f>
        <v>#REF!</v>
      </c>
      <c r="M31" s="19" t="e">
        <f>IF(VLOOKUP(M$2,#REF!,9,FALSE)="",0,100)</f>
        <v>#REF!</v>
      </c>
      <c r="N31" s="19" t="e">
        <f>IF(VLOOKUP(N$2,#REF!,9,FALSE)="",0,100)</f>
        <v>#REF!</v>
      </c>
      <c r="O31" s="19" t="e">
        <f>IF(VLOOKUP(O$2,#REF!,9,FALSE)="",0,100)</f>
        <v>#REF!</v>
      </c>
      <c r="P31" s="19" t="e">
        <f>IF(VLOOKUP(P$2,#REF!,9,FALSE)="",0,100)</f>
        <v>#REF!</v>
      </c>
      <c r="Q31" s="19" t="e">
        <f>IF(VLOOKUP(Q$2,#REF!,9,FALSE)="",0,100)</f>
        <v>#REF!</v>
      </c>
      <c r="R31" s="19" t="e">
        <f>IF(VLOOKUP(R$2,#REF!,9,FALSE)="",0,100)</f>
        <v>#REF!</v>
      </c>
      <c r="S31" s="19" t="e">
        <f>IF(VLOOKUP(S$2,#REF!,9,FALSE)="",0,100)</f>
        <v>#REF!</v>
      </c>
      <c r="T31" s="19" t="e">
        <f>IF(VLOOKUP(T$2,#REF!,9,FALSE)="",0,100)</f>
        <v>#REF!</v>
      </c>
      <c r="U31" s="19" t="e">
        <f>IF(VLOOKUP(U$2,#REF!,9,FALSE)="",0,100)</f>
        <v>#REF!</v>
      </c>
      <c r="V31" s="19" t="e">
        <f>IF(VLOOKUP(V$2,#REF!,9,FALSE)="",0,100)</f>
        <v>#REF!</v>
      </c>
      <c r="W31" s="19" t="e">
        <f>IF(VLOOKUP(W$2,#REF!,9,FALSE)="",0,100)</f>
        <v>#REF!</v>
      </c>
      <c r="X31" s="19" t="e">
        <f>IF(VLOOKUP(X$2,#REF!,9,FALSE)="",0,100)</f>
        <v>#REF!</v>
      </c>
      <c r="Y31" s="19" t="e">
        <f>IF(VLOOKUP(Y$2,#REF!,9,FALSE)="",0,100)</f>
        <v>#REF!</v>
      </c>
      <c r="Z31" s="19" t="e">
        <f>IF(VLOOKUP(Z$2,#REF!,9,FALSE)="",0,100)</f>
        <v>#REF!</v>
      </c>
      <c r="AA31" s="19" t="e">
        <f>IF(VLOOKUP(AA$2,#REF!,9,FALSE)="",0,100)</f>
        <v>#REF!</v>
      </c>
      <c r="AB31" s="19" t="e">
        <f>IF(VLOOKUP(AB$2,#REF!,9,FALSE)="",0,100)</f>
        <v>#REF!</v>
      </c>
      <c r="AC31" s="19" t="e">
        <f>IF(VLOOKUP(AC$2,#REF!,9,FALSE)="",0,100)</f>
        <v>#REF!</v>
      </c>
      <c r="AD31" s="19" t="e">
        <f>IF(VLOOKUP(AD$2,#REF!,9,FALSE)="",0,100)</f>
        <v>#REF!</v>
      </c>
      <c r="AE31" s="19" t="e">
        <f>IF(VLOOKUP(AE$2,#REF!,9,FALSE)="",0,100)</f>
        <v>#REF!</v>
      </c>
      <c r="AF31" s="19" t="e">
        <f>IF(VLOOKUP(AF$2,#REF!,9,FALSE)="",0,100)</f>
        <v>#REF!</v>
      </c>
      <c r="AG31" s="19" t="e">
        <f>IF(VLOOKUP(AG$2,#REF!,9,FALSE)="",0,100)</f>
        <v>#REF!</v>
      </c>
      <c r="AH31" s="19" t="e">
        <f>IF(VLOOKUP(AH$2,#REF!,9,FALSE)="",0,100)</f>
        <v>#REF!</v>
      </c>
      <c r="AI31" s="19" t="e">
        <f>IF(VLOOKUP(AI$2,#REF!,9,FALSE)="",0,100)</f>
        <v>#REF!</v>
      </c>
      <c r="AJ31" s="19" t="e">
        <f>IF(VLOOKUP(AJ$2,#REF!,9,FALSE)="",0,100)</f>
        <v>#REF!</v>
      </c>
      <c r="AK31" s="19" t="e">
        <f>IF(VLOOKUP(AK$2,#REF!,9,FALSE)="",0,100)</f>
        <v>#REF!</v>
      </c>
      <c r="AL31" s="19" t="e">
        <f>IF(VLOOKUP(AL$2,#REF!,9,FALSE)="",0,100)</f>
        <v>#REF!</v>
      </c>
      <c r="AM31" s="19" t="e">
        <f>IF(VLOOKUP(AM$2,#REF!,9,FALSE)="",0,100)</f>
        <v>#REF!</v>
      </c>
      <c r="AN31" s="19" t="e">
        <f>IF(VLOOKUP(AN$2,#REF!,9,FALSE)="",0,100)</f>
        <v>#REF!</v>
      </c>
      <c r="AO31" s="19" t="e">
        <f>IF(VLOOKUP(AO$2,#REF!,9,FALSE)="",0,100)</f>
        <v>#REF!</v>
      </c>
      <c r="AP31" s="19" t="e">
        <f>IF(VLOOKUP(AP$2,#REF!,9,FALSE)="",0,100)</f>
        <v>#REF!</v>
      </c>
      <c r="AQ31" s="19" t="e">
        <f>IF(VLOOKUP(AQ$2,#REF!,9,FALSE)="",0,100)</f>
        <v>#REF!</v>
      </c>
      <c r="AR31" s="19" t="e">
        <f>IF(VLOOKUP(AR$2,#REF!,9,FALSE)="",0,100)</f>
        <v>#REF!</v>
      </c>
      <c r="AS31" s="19" t="e">
        <f>IF(VLOOKUP(AS$2,#REF!,9,FALSE)="",0,100)</f>
        <v>#REF!</v>
      </c>
      <c r="AT31" s="19" t="e">
        <f>IF(VLOOKUP(AT$2,#REF!,9,FALSE)="",0,100)</f>
        <v>#REF!</v>
      </c>
      <c r="AU31" s="19" t="e">
        <f>IF(VLOOKUP(AU$2,#REF!,9,FALSE)="",0,100)</f>
        <v>#REF!</v>
      </c>
      <c r="AV31" s="19" t="e">
        <f>IF(VLOOKUP(AV$2,#REF!,9,FALSE)="",0,100)</f>
        <v>#REF!</v>
      </c>
      <c r="AW31" s="19" t="e">
        <f>IF(VLOOKUP(AW$2,#REF!,9,FALSE)="",0,100)</f>
        <v>#REF!</v>
      </c>
      <c r="AX31" s="19" t="e">
        <f>IF(VLOOKUP(AX$2,#REF!,9,FALSE)="",0,100)</f>
        <v>#REF!</v>
      </c>
      <c r="AY31" s="19" t="e">
        <f>IF(VLOOKUP(AY$2,#REF!,9,FALSE)="",0,100)</f>
        <v>#REF!</v>
      </c>
      <c r="AZ31" s="19" t="e">
        <f>IF(VLOOKUP(AZ$2,#REF!,9,FALSE)="",0,100)</f>
        <v>#REF!</v>
      </c>
      <c r="BA31" s="19" t="e">
        <f>IF(VLOOKUP(BA$2,#REF!,9,FALSE)="",0,100)</f>
        <v>#REF!</v>
      </c>
      <c r="BB31" s="19" t="e">
        <f>IF(VLOOKUP(BB$2,#REF!,9,FALSE)="",0,100)</f>
        <v>#REF!</v>
      </c>
      <c r="BC31" s="19" t="e">
        <f>IF(VLOOKUP(BC$2,#REF!,9,FALSE)="",0,100)</f>
        <v>#REF!</v>
      </c>
      <c r="BD31" s="19" t="e">
        <f>IF(VLOOKUP(BD$2,#REF!,9,FALSE)="",0,100)</f>
        <v>#REF!</v>
      </c>
      <c r="BE31" s="19" t="e">
        <f>IF(VLOOKUP(BE$2,#REF!,9,FALSE)="",0,100)</f>
        <v>#REF!</v>
      </c>
      <c r="BF31" s="19" t="e">
        <f>IF(VLOOKUP(BF$2,#REF!,9,FALSE)="",0,100)</f>
        <v>#REF!</v>
      </c>
      <c r="BG31" s="19" t="e">
        <f>IF(VLOOKUP(BG$2,#REF!,9,FALSE)="",0,100)</f>
        <v>#REF!</v>
      </c>
      <c r="BH31" s="19" t="e">
        <f>IF(VLOOKUP(BH$2,#REF!,9,FALSE)="",0,100)</f>
        <v>#REF!</v>
      </c>
      <c r="BI31" s="19" t="e">
        <f>IF(VLOOKUP(BI$2,#REF!,9,FALSE)="",0,100)</f>
        <v>#REF!</v>
      </c>
      <c r="BJ31" s="19" t="e">
        <f>IF(VLOOKUP(BJ$2,#REF!,9,FALSE)="",0,100)</f>
        <v>#REF!</v>
      </c>
      <c r="BK31" s="19" t="e">
        <f>IF(VLOOKUP(BK$2,#REF!,9,FALSE)="",0,100)</f>
        <v>#REF!</v>
      </c>
      <c r="BL31" s="19" t="e">
        <f>IF(VLOOKUP(BL$2,#REF!,9,FALSE)="",0,100)</f>
        <v>#REF!</v>
      </c>
      <c r="BM31" s="19" t="e">
        <f>IF(VLOOKUP(BM$2,#REF!,9,FALSE)="",0,100)</f>
        <v>#REF!</v>
      </c>
      <c r="BN31" s="19" t="e">
        <f>IF(VLOOKUP(BN$2,#REF!,9,FALSE)="",0,100)</f>
        <v>#REF!</v>
      </c>
      <c r="BO31" s="19" t="e">
        <f>IF(VLOOKUP(BO$2,#REF!,9,FALSE)="",0,100)</f>
        <v>#REF!</v>
      </c>
      <c r="BP31" s="19" t="e">
        <f>IF(VLOOKUP(BP$2,#REF!,9,FALSE)="",0,100)</f>
        <v>#REF!</v>
      </c>
      <c r="BQ31" s="19" t="e">
        <f>IF(VLOOKUP(BQ$2,#REF!,9,FALSE)="",0,100)</f>
        <v>#REF!</v>
      </c>
      <c r="BR31" s="19" t="e">
        <f>IF(VLOOKUP(BR$2,#REF!,9,FALSE)="",0,100)</f>
        <v>#REF!</v>
      </c>
      <c r="BS31" s="19" t="e">
        <f>IF(VLOOKUP(BS$2,#REF!,9,FALSE)="",0,100)</f>
        <v>#REF!</v>
      </c>
      <c r="BT31" s="19" t="e">
        <f>IF(VLOOKUP(BT$2,#REF!,9,FALSE)="",0,100)</f>
        <v>#REF!</v>
      </c>
      <c r="BU31" s="19" t="e">
        <f>IF(VLOOKUP(BU$2,#REF!,9,FALSE)="",0,100)</f>
        <v>#REF!</v>
      </c>
      <c r="BV31" s="19" t="e">
        <f>IF(VLOOKUP(BV$2,#REF!,9,FALSE)="",0,100)</f>
        <v>#REF!</v>
      </c>
      <c r="BW31" s="19" t="e">
        <f>IF(VLOOKUP(BW$2,#REF!,9,FALSE)="",0,100)</f>
        <v>#REF!</v>
      </c>
      <c r="BX31" s="19" t="e">
        <f>IF(VLOOKUP(BX$2,#REF!,9,FALSE)="",0,100)</f>
        <v>#REF!</v>
      </c>
      <c r="BY31" s="19" t="e">
        <f>IF(VLOOKUP(BY$2,#REF!,9,FALSE)="",0,100)</f>
        <v>#REF!</v>
      </c>
      <c r="BZ31" s="19" t="e">
        <f>IF(VLOOKUP(BZ$2,#REF!,9,FALSE)="",0,100)</f>
        <v>#REF!</v>
      </c>
      <c r="CA31" s="19" t="e">
        <f>IF(VLOOKUP(CA$2,#REF!,9,FALSE)="",0,100)</f>
        <v>#REF!</v>
      </c>
      <c r="CB31" s="19" t="e">
        <f>IF(VLOOKUP(CB$2,#REF!,9,FALSE)="",0,100)</f>
        <v>#REF!</v>
      </c>
      <c r="CC31" s="19" t="e">
        <f>IF(VLOOKUP(CC$2,#REF!,9,FALSE)="",0,100)</f>
        <v>#REF!</v>
      </c>
      <c r="CD31" s="19" t="e">
        <f>IF(VLOOKUP(CD$2,#REF!,9,FALSE)="",0,100)</f>
        <v>#REF!</v>
      </c>
      <c r="CE31" s="19" t="e">
        <f>IF(VLOOKUP(CE$2,#REF!,9,FALSE)="",0,100)</f>
        <v>#REF!</v>
      </c>
      <c r="CF31" s="19" t="e">
        <f>IF(VLOOKUP(CF$2,#REF!,9,FALSE)="",0,100)</f>
        <v>#REF!</v>
      </c>
      <c r="CG31" s="19" t="e">
        <f>IF(VLOOKUP(CG$2,#REF!,9,FALSE)="",0,100)</f>
        <v>#REF!</v>
      </c>
      <c r="CH31" s="19" t="e">
        <f>IF(VLOOKUP(CH$2,#REF!,9,FALSE)="",0,100)</f>
        <v>#REF!</v>
      </c>
      <c r="CI31" s="19" t="e">
        <f>IF(VLOOKUP(CI$2,#REF!,9,FALSE)="",0,100)</f>
        <v>#REF!</v>
      </c>
      <c r="CJ31" s="19" t="e">
        <f>IF(VLOOKUP(CJ$2,#REF!,9,FALSE)="",0,100)</f>
        <v>#REF!</v>
      </c>
      <c r="CK31" s="19" t="e">
        <f>IF(VLOOKUP(CK$2,#REF!,9,FALSE)="",0,100)</f>
        <v>#REF!</v>
      </c>
      <c r="CL31" s="19" t="e">
        <f>IF(VLOOKUP(CL$2,#REF!,9,FALSE)="",0,100)</f>
        <v>#REF!</v>
      </c>
      <c r="CM31" s="19" t="e">
        <f>IF(VLOOKUP(CM$2,#REF!,9,FALSE)="",0,100)</f>
        <v>#REF!</v>
      </c>
      <c r="CN31" s="19" t="e">
        <f>IF(VLOOKUP(CN$2,#REF!,9,FALSE)="",0,100)</f>
        <v>#REF!</v>
      </c>
      <c r="CO31" s="19" t="e">
        <f>IF(VLOOKUP(CO$2,#REF!,9,FALSE)="",0,100)</f>
        <v>#REF!</v>
      </c>
      <c r="CP31" s="19" t="e">
        <f>IF(VLOOKUP(CP$2,#REF!,9,FALSE)="",0,100)</f>
        <v>#REF!</v>
      </c>
      <c r="CQ31" s="19" t="e">
        <f>IF(VLOOKUP(CQ$2,#REF!,9,FALSE)="",0,100)</f>
        <v>#REF!</v>
      </c>
      <c r="CR31" s="19" t="e">
        <f>IF(VLOOKUP(CR$2,#REF!,9,FALSE)="",0,100)</f>
        <v>#REF!</v>
      </c>
      <c r="CS31" s="19" t="e">
        <f>IF(VLOOKUP(CS$2,#REF!,9,FALSE)="",0,100)</f>
        <v>#REF!</v>
      </c>
      <c r="CT31" s="19" t="e">
        <f>IF(VLOOKUP(CT$2,#REF!,9,FALSE)="",0,100)</f>
        <v>#REF!</v>
      </c>
      <c r="CU31" s="19" t="e">
        <f>IF(VLOOKUP(CU$2,#REF!,9,FALSE)="",0,100)</f>
        <v>#REF!</v>
      </c>
      <c r="CV31" s="19" t="e">
        <f>IF(VLOOKUP(CV$2,#REF!,9,FALSE)="",0,100)</f>
        <v>#REF!</v>
      </c>
      <c r="CW31" s="19" t="e">
        <f>IF(VLOOKUP(CW$2,#REF!,9,FALSE)="",0,100)</f>
        <v>#REF!</v>
      </c>
      <c r="CX31" s="19" t="e">
        <f>IF(VLOOKUP(CX$2,#REF!,9,FALSE)="",0,100)</f>
        <v>#REF!</v>
      </c>
      <c r="CY31" s="19" t="e">
        <f>IF(VLOOKUP(CY$2,#REF!,9,FALSE)="",0,100)</f>
        <v>#REF!</v>
      </c>
      <c r="CZ31" s="19" t="e">
        <f>IF(VLOOKUP(CZ$2,#REF!,9,FALSE)="",0,100)</f>
        <v>#REF!</v>
      </c>
      <c r="DA31" s="19" t="e">
        <f>IF(VLOOKUP(DA$2,#REF!,9,FALSE)="",0,100)</f>
        <v>#REF!</v>
      </c>
      <c r="DB31" s="19" t="e">
        <f>IF(VLOOKUP(DB$2,#REF!,9,FALSE)="",0,100)</f>
        <v>#REF!</v>
      </c>
      <c r="DC31" s="19" t="e">
        <f>IF(VLOOKUP(DC$2,#REF!,9,FALSE)="",0,100)</f>
        <v>#REF!</v>
      </c>
      <c r="DD31" s="19" t="e">
        <f>IF(VLOOKUP(DD$2,#REF!,9,FALSE)="",0,100)</f>
        <v>#REF!</v>
      </c>
      <c r="DE31" s="19" t="e">
        <f>IF(VLOOKUP(DE$2,#REF!,9,FALSE)="",0,100)</f>
        <v>#REF!</v>
      </c>
      <c r="DF31" s="19" t="e">
        <f>IF(VLOOKUP(DF$2,#REF!,9,FALSE)="",0,100)</f>
        <v>#REF!</v>
      </c>
      <c r="DG31" s="19" t="e">
        <f>IF(VLOOKUP(DG$2,#REF!,9,FALSE)="",0,100)</f>
        <v>#REF!</v>
      </c>
      <c r="DH31" s="19" t="e">
        <f>IF(VLOOKUP(DH$2,#REF!,9,FALSE)="",0,100)</f>
        <v>#REF!</v>
      </c>
      <c r="DI31" s="19" t="e">
        <f>IF(VLOOKUP(DI$2,#REF!,9,FALSE)="",0,100)</f>
        <v>#REF!</v>
      </c>
      <c r="DJ31" s="19" t="e">
        <f>IF(VLOOKUP(DJ$2,#REF!,9,FALSE)="",0,100)</f>
        <v>#REF!</v>
      </c>
      <c r="DK31" s="19" t="e">
        <f>IF(VLOOKUP(DK$2,#REF!,9,FALSE)="",0,100)</f>
        <v>#REF!</v>
      </c>
      <c r="DL31" s="19" t="e">
        <f>IF(VLOOKUP(DL$2,#REF!,9,FALSE)="",0,100)</f>
        <v>#REF!</v>
      </c>
      <c r="DM31" s="19" t="e">
        <f>IF(VLOOKUP(DM$2,#REF!,9,FALSE)="",0,100)</f>
        <v>#REF!</v>
      </c>
      <c r="DN31" s="19" t="e">
        <f>IF(VLOOKUP(DN$2,#REF!,9,FALSE)="",0,100)</f>
        <v>#REF!</v>
      </c>
      <c r="DO31" s="19" t="e">
        <f>IF(VLOOKUP(DO$2,#REF!,9,FALSE)="",0,100)</f>
        <v>#REF!</v>
      </c>
      <c r="DP31" s="19" t="e">
        <f>IF(VLOOKUP(DP$2,#REF!,9,FALSE)="",0,100)</f>
        <v>#REF!</v>
      </c>
      <c r="DQ31" s="19" t="e">
        <f>IF(VLOOKUP(DQ$2,#REF!,9,FALSE)="",0,100)</f>
        <v>#REF!</v>
      </c>
      <c r="DR31" s="19" t="e">
        <f>IF(VLOOKUP(DR$2,#REF!,9,FALSE)="",0,100)</f>
        <v>#REF!</v>
      </c>
      <c r="DS31" s="19" t="e">
        <f>IF(VLOOKUP(DS$2,#REF!,9,FALSE)="",0,100)</f>
        <v>#REF!</v>
      </c>
      <c r="DT31" s="19" t="e">
        <f>IF(VLOOKUP(DT$2,#REF!,9,FALSE)="",0,100)</f>
        <v>#REF!</v>
      </c>
      <c r="DU31" s="19" t="e">
        <f>IF(VLOOKUP(DU$2,#REF!,9,FALSE)="",0,100)</f>
        <v>#REF!</v>
      </c>
      <c r="DV31" s="19" t="e">
        <f>IF(VLOOKUP(DV$2,#REF!,9,FALSE)="",0,100)</f>
        <v>#REF!</v>
      </c>
      <c r="DW31" s="19" t="e">
        <f>IF(VLOOKUP(DW$2,#REF!,9,FALSE)="",0,100)</f>
        <v>#REF!</v>
      </c>
      <c r="DX31" s="19" t="e">
        <f>IF(VLOOKUP(DX$2,#REF!,9,FALSE)="",0,100)</f>
        <v>#REF!</v>
      </c>
      <c r="DY31" s="19" t="e">
        <f>IF(VLOOKUP(DY$2,#REF!,9,FALSE)="",0,100)</f>
        <v>#REF!</v>
      </c>
      <c r="DZ31" s="19" t="e">
        <f>IF(VLOOKUP(DZ$2,#REF!,9,FALSE)="",0,100)</f>
        <v>#REF!</v>
      </c>
      <c r="EA31" s="19" t="e">
        <f>IF(VLOOKUP(EA$2,#REF!,9,FALSE)="",0,100)</f>
        <v>#REF!</v>
      </c>
      <c r="EB31" s="19" t="e">
        <f>IF(VLOOKUP(EB$2,#REF!,9,FALSE)="",0,100)</f>
        <v>#REF!</v>
      </c>
      <c r="EC31" s="19" t="e">
        <f>IF(VLOOKUP(EC$2,#REF!,9,FALSE)="",0,100)</f>
        <v>#REF!</v>
      </c>
      <c r="ED31" s="19" t="e">
        <f>IF(VLOOKUP(ED$2,#REF!,9,FALSE)="",0,100)</f>
        <v>#REF!</v>
      </c>
      <c r="EE31" s="19" t="e">
        <f>IF(VLOOKUP(EE$2,#REF!,9,FALSE)="",0,100)</f>
        <v>#REF!</v>
      </c>
      <c r="EF31" s="19" t="e">
        <f>IF(VLOOKUP(EF$2,#REF!,9,FALSE)="",0,100)</f>
        <v>#REF!</v>
      </c>
      <c r="EG31" s="19" t="e">
        <f>IF(VLOOKUP(EG$2,#REF!,9,FALSE)="",0,100)</f>
        <v>#REF!</v>
      </c>
      <c r="EH31" s="19" t="e">
        <f>IF(VLOOKUP(EH$2,#REF!,9,FALSE)="",0,100)</f>
        <v>#REF!</v>
      </c>
      <c r="EI31" s="19" t="e">
        <f>IF(VLOOKUP(EI$2,#REF!,9,FALSE)="",0,100)</f>
        <v>#REF!</v>
      </c>
      <c r="EJ31" s="19" t="e">
        <f>IF(VLOOKUP(EJ$2,#REF!,9,FALSE)="",0,100)</f>
        <v>#REF!</v>
      </c>
      <c r="EK31" s="19" t="e">
        <f>IF(VLOOKUP(EK$2,#REF!,9,FALSE)="",0,100)</f>
        <v>#REF!</v>
      </c>
      <c r="EL31" s="19" t="e">
        <f>IF(VLOOKUP(EL$2,#REF!,9,FALSE)="",0,100)</f>
        <v>#REF!</v>
      </c>
      <c r="EM31" s="19" t="e">
        <f>IF(VLOOKUP(EM$2,#REF!,9,FALSE)="",0,100)</f>
        <v>#REF!</v>
      </c>
      <c r="EN31" s="19" t="e">
        <f>IF(VLOOKUP(EN$2,#REF!,9,FALSE)="",0,100)</f>
        <v>#REF!</v>
      </c>
      <c r="EO31" s="19" t="e">
        <f>IF(VLOOKUP(EO$2,#REF!,9,FALSE)="",0,100)</f>
        <v>#REF!</v>
      </c>
      <c r="EP31" s="19" t="e">
        <f>IF(VLOOKUP(EP$2,#REF!,9,FALSE)="",0,100)</f>
        <v>#REF!</v>
      </c>
      <c r="EQ31" s="19" t="e">
        <f>IF(VLOOKUP(EQ$2,#REF!,9,FALSE)="",0,100)</f>
        <v>#REF!</v>
      </c>
      <c r="ER31" s="19" t="e">
        <f>IF(VLOOKUP(ER$2,#REF!,9,FALSE)="",0,100)</f>
        <v>#REF!</v>
      </c>
      <c r="ES31" s="19" t="e">
        <f>IF(VLOOKUP(ES$2,#REF!,9,FALSE)="",0,100)</f>
        <v>#REF!</v>
      </c>
      <c r="ET31" s="19" t="e">
        <f>IF(VLOOKUP(ET$2,#REF!,9,FALSE)="",0,100)</f>
        <v>#REF!</v>
      </c>
      <c r="EU31" s="19" t="e">
        <f>IF(VLOOKUP(EU$2,#REF!,9,FALSE)="",0,100)</f>
        <v>#REF!</v>
      </c>
      <c r="EV31" s="19" t="e">
        <f>IF(VLOOKUP(EV$2,#REF!,9,FALSE)="",0,100)</f>
        <v>#REF!</v>
      </c>
      <c r="EW31" s="19" t="e">
        <f>IF(VLOOKUP(EW$2,#REF!,9,FALSE)="",0,100)</f>
        <v>#REF!</v>
      </c>
      <c r="EX31" s="19" t="e">
        <f>IF(VLOOKUP(EX$2,#REF!,9,FALSE)="",0,100)</f>
        <v>#REF!</v>
      </c>
      <c r="EY31" s="19" t="e">
        <f>IF(VLOOKUP(EY$2,#REF!,9,FALSE)="",0,100)</f>
        <v>#REF!</v>
      </c>
      <c r="EZ31" s="19" t="e">
        <f>IF(VLOOKUP(EZ$2,#REF!,9,FALSE)="",0,100)</f>
        <v>#REF!</v>
      </c>
      <c r="FA31" s="19" t="e">
        <f>IF(VLOOKUP(FA$2,#REF!,9,FALSE)="",0,100)</f>
        <v>#REF!</v>
      </c>
      <c r="FB31" s="19" t="e">
        <f>IF(VLOOKUP(FB$2,#REF!,9,FALSE)="",0,100)</f>
        <v>#REF!</v>
      </c>
      <c r="FC31" s="19" t="e">
        <f>IF(VLOOKUP(FC$2,#REF!,9,FALSE)="",0,100)</f>
        <v>#REF!</v>
      </c>
      <c r="FD31" s="19" t="e">
        <f>IF(VLOOKUP(FD$2,#REF!,9,FALSE)="",0,100)</f>
        <v>#REF!</v>
      </c>
      <c r="FE31" s="19" t="e">
        <f>IF(VLOOKUP(FE$2,#REF!,9,FALSE)="",0,100)</f>
        <v>#REF!</v>
      </c>
      <c r="FF31" s="19" t="e">
        <f>IF(VLOOKUP(FF$2,#REF!,9,FALSE)="",0,100)</f>
        <v>#REF!</v>
      </c>
      <c r="FG31" s="19" t="e">
        <f>IF(VLOOKUP(FG$2,#REF!,9,FALSE)="",0,100)</f>
        <v>#REF!</v>
      </c>
      <c r="FH31" s="19" t="e">
        <f>IF(VLOOKUP(FH$2,#REF!,9,FALSE)="",0,100)</f>
        <v>#REF!</v>
      </c>
      <c r="FI31" s="19" t="e">
        <f>IF(VLOOKUP(FI$2,#REF!,9,FALSE)="",0,100)</f>
        <v>#REF!</v>
      </c>
      <c r="FJ31" s="19" t="e">
        <f>IF(VLOOKUP(FJ$2,#REF!,9,FALSE)="",0,100)</f>
        <v>#REF!</v>
      </c>
      <c r="FK31" s="19" t="e">
        <f>IF(VLOOKUP(FK$2,#REF!,9,FALSE)="",0,100)</f>
        <v>#REF!</v>
      </c>
      <c r="FL31" s="19" t="e">
        <f>IF(VLOOKUP(FL$2,#REF!,9,FALSE)="",0,100)</f>
        <v>#REF!</v>
      </c>
      <c r="FM31" s="19" t="e">
        <f>IF(VLOOKUP(FM$2,#REF!,9,FALSE)="",0,100)</f>
        <v>#REF!</v>
      </c>
      <c r="FN31" s="19" t="e">
        <f>IF(VLOOKUP(FN$2,#REF!,9,FALSE)="",0,100)</f>
        <v>#REF!</v>
      </c>
      <c r="FO31" s="19" t="e">
        <f>IF(VLOOKUP(FO$2,#REF!,9,FALSE)="",0,100)</f>
        <v>#REF!</v>
      </c>
      <c r="FP31" s="19" t="e">
        <f>IF(VLOOKUP(FP$2,#REF!,9,FALSE)="",0,100)</f>
        <v>#REF!</v>
      </c>
      <c r="FQ31" s="19" t="e">
        <f>IF(VLOOKUP(FQ$2,#REF!,9,FALSE)="",0,100)</f>
        <v>#REF!</v>
      </c>
      <c r="FR31" s="19" t="e">
        <f>IF(VLOOKUP(FR$2,#REF!,9,FALSE)="",0,100)</f>
        <v>#REF!</v>
      </c>
      <c r="FS31" s="19" t="e">
        <f>IF(VLOOKUP(FS$2,#REF!,9,FALSE)="",0,100)</f>
        <v>#REF!</v>
      </c>
      <c r="FT31" s="19" t="e">
        <f>IF(VLOOKUP(FT$2,#REF!,9,FALSE)="",0,100)</f>
        <v>#REF!</v>
      </c>
      <c r="FU31" s="19" t="e">
        <f>IF(VLOOKUP(FU$2,#REF!,9,FALSE)="",0,100)</f>
        <v>#REF!</v>
      </c>
      <c r="FV31" s="19" t="e">
        <f>IF(VLOOKUP(FV$2,#REF!,9,FALSE)="",0,100)</f>
        <v>#REF!</v>
      </c>
    </row>
    <row r="32" spans="1:178">
      <c r="A32" s="61" t="s">
        <v>205</v>
      </c>
      <c r="B32" s="19" t="e">
        <f>IF(VLOOKUP(B$2,#REF!,10,FALSE)="",0,100)</f>
        <v>#REF!</v>
      </c>
      <c r="C32" s="19" t="e">
        <f>IF(VLOOKUP(C$2,#REF!,10,FALSE)="",0,100)</f>
        <v>#REF!</v>
      </c>
      <c r="D32" s="19" t="e">
        <f>IF(VLOOKUP(D$2,#REF!,10,FALSE)="",0,100)</f>
        <v>#REF!</v>
      </c>
      <c r="E32" s="19" t="e">
        <f>IF(VLOOKUP(E$2,#REF!,10,FALSE)="",0,100)</f>
        <v>#REF!</v>
      </c>
      <c r="F32" s="19" t="e">
        <f>IF(VLOOKUP(F$2,#REF!,10,FALSE)="",0,100)</f>
        <v>#REF!</v>
      </c>
      <c r="G32" s="19" t="e">
        <f>IF(VLOOKUP(G$2,#REF!,10,FALSE)="",0,100)</f>
        <v>#REF!</v>
      </c>
      <c r="H32" s="19" t="e">
        <f>IF(VLOOKUP(H$2,#REF!,10,FALSE)="",0,100)</f>
        <v>#REF!</v>
      </c>
      <c r="I32" s="19" t="e">
        <f>IF(VLOOKUP(I$2,#REF!,10,FALSE)="",0,100)</f>
        <v>#REF!</v>
      </c>
      <c r="J32" s="19" t="e">
        <f>IF(VLOOKUP(J$2,#REF!,10,FALSE)="",0,100)</f>
        <v>#REF!</v>
      </c>
      <c r="K32" s="19" t="e">
        <f>IF(VLOOKUP(K$2,#REF!,10,FALSE)="",0,100)</f>
        <v>#REF!</v>
      </c>
      <c r="L32" s="19" t="e">
        <f>IF(VLOOKUP(L$2,#REF!,10,FALSE)="",0,100)</f>
        <v>#REF!</v>
      </c>
      <c r="M32" s="19" t="e">
        <f>IF(VLOOKUP(M$2,#REF!,10,FALSE)="",0,100)</f>
        <v>#REF!</v>
      </c>
      <c r="N32" s="19" t="e">
        <f>IF(VLOOKUP(N$2,#REF!,10,FALSE)="",0,100)</f>
        <v>#REF!</v>
      </c>
      <c r="O32" s="19" t="e">
        <f>IF(VLOOKUP(O$2,#REF!,10,FALSE)="",0,100)</f>
        <v>#REF!</v>
      </c>
      <c r="P32" s="19" t="e">
        <f>IF(VLOOKUP(P$2,#REF!,10,FALSE)="",0,100)</f>
        <v>#REF!</v>
      </c>
      <c r="Q32" s="19" t="e">
        <f>IF(VLOOKUP(Q$2,#REF!,10,FALSE)="",0,100)</f>
        <v>#REF!</v>
      </c>
      <c r="R32" s="19" t="e">
        <f>IF(VLOOKUP(R$2,#REF!,10,FALSE)="",0,100)</f>
        <v>#REF!</v>
      </c>
      <c r="S32" s="19" t="e">
        <f>IF(VLOOKUP(S$2,#REF!,10,FALSE)="",0,100)</f>
        <v>#REF!</v>
      </c>
      <c r="T32" s="19" t="e">
        <f>IF(VLOOKUP(T$2,#REF!,10,FALSE)="",0,100)</f>
        <v>#REF!</v>
      </c>
      <c r="U32" s="19" t="e">
        <f>IF(VLOOKUP(U$2,#REF!,10,FALSE)="",0,100)</f>
        <v>#REF!</v>
      </c>
      <c r="V32" s="19" t="e">
        <f>IF(VLOOKUP(V$2,#REF!,10,FALSE)="",0,100)</f>
        <v>#REF!</v>
      </c>
      <c r="W32" s="19" t="e">
        <f>IF(VLOOKUP(W$2,#REF!,10,FALSE)="",0,100)</f>
        <v>#REF!</v>
      </c>
      <c r="X32" s="19" t="e">
        <f>IF(VLOOKUP(X$2,#REF!,10,FALSE)="",0,100)</f>
        <v>#REF!</v>
      </c>
      <c r="Y32" s="19" t="e">
        <f>IF(VLOOKUP(Y$2,#REF!,10,FALSE)="",0,100)</f>
        <v>#REF!</v>
      </c>
      <c r="Z32" s="19" t="e">
        <f>IF(VLOOKUP(Z$2,#REF!,10,FALSE)="",0,100)</f>
        <v>#REF!</v>
      </c>
      <c r="AA32" s="19" t="e">
        <f>IF(VLOOKUP(AA$2,#REF!,10,FALSE)="",0,100)</f>
        <v>#REF!</v>
      </c>
      <c r="AB32" s="19" t="e">
        <f>IF(VLOOKUP(AB$2,#REF!,10,FALSE)="",0,100)</f>
        <v>#REF!</v>
      </c>
      <c r="AC32" s="19" t="e">
        <f>IF(VLOOKUP(AC$2,#REF!,10,FALSE)="",0,100)</f>
        <v>#REF!</v>
      </c>
      <c r="AD32" s="19" t="e">
        <f>IF(VLOOKUP(AD$2,#REF!,10,FALSE)="",0,100)</f>
        <v>#REF!</v>
      </c>
      <c r="AE32" s="19" t="e">
        <f>IF(VLOOKUP(AE$2,#REF!,10,FALSE)="",0,100)</f>
        <v>#REF!</v>
      </c>
      <c r="AF32" s="19" t="e">
        <f>IF(VLOOKUP(AF$2,#REF!,10,FALSE)="",0,100)</f>
        <v>#REF!</v>
      </c>
      <c r="AG32" s="19" t="e">
        <f>IF(VLOOKUP(AG$2,#REF!,10,FALSE)="",0,100)</f>
        <v>#REF!</v>
      </c>
      <c r="AH32" s="19" t="e">
        <f>IF(VLOOKUP(AH$2,#REF!,10,FALSE)="",0,100)</f>
        <v>#REF!</v>
      </c>
      <c r="AI32" s="19" t="e">
        <f>IF(VLOOKUP(AI$2,#REF!,10,FALSE)="",0,100)</f>
        <v>#REF!</v>
      </c>
      <c r="AJ32" s="19" t="e">
        <f>IF(VLOOKUP(AJ$2,#REF!,10,FALSE)="",0,100)</f>
        <v>#REF!</v>
      </c>
      <c r="AK32" s="19" t="e">
        <f>IF(VLOOKUP(AK$2,#REF!,10,FALSE)="",0,100)</f>
        <v>#REF!</v>
      </c>
      <c r="AL32" s="19" t="e">
        <f>IF(VLOOKUP(AL$2,#REF!,10,FALSE)="",0,100)</f>
        <v>#REF!</v>
      </c>
      <c r="AM32" s="19" t="e">
        <f>IF(VLOOKUP(AM$2,#REF!,10,FALSE)="",0,100)</f>
        <v>#REF!</v>
      </c>
      <c r="AN32" s="19" t="e">
        <f>IF(VLOOKUP(AN$2,#REF!,10,FALSE)="",0,100)</f>
        <v>#REF!</v>
      </c>
      <c r="AO32" s="19" t="e">
        <f>IF(VLOOKUP(AO$2,#REF!,10,FALSE)="",0,100)</f>
        <v>#REF!</v>
      </c>
      <c r="AP32" s="19" t="e">
        <f>IF(VLOOKUP(AP$2,#REF!,10,FALSE)="",0,100)</f>
        <v>#REF!</v>
      </c>
      <c r="AQ32" s="19" t="e">
        <f>IF(VLOOKUP(AQ$2,#REF!,10,FALSE)="",0,100)</f>
        <v>#REF!</v>
      </c>
      <c r="AR32" s="19" t="e">
        <f>IF(VLOOKUP(AR$2,#REF!,10,FALSE)="",0,100)</f>
        <v>#REF!</v>
      </c>
      <c r="AS32" s="19" t="e">
        <f>IF(VLOOKUP(AS$2,#REF!,10,FALSE)="",0,100)</f>
        <v>#REF!</v>
      </c>
      <c r="AT32" s="19" t="e">
        <f>IF(VLOOKUP(AT$2,#REF!,10,FALSE)="",0,100)</f>
        <v>#REF!</v>
      </c>
      <c r="AU32" s="19" t="e">
        <f>IF(VLOOKUP(AU$2,#REF!,10,FALSE)="",0,100)</f>
        <v>#REF!</v>
      </c>
      <c r="AV32" s="19" t="e">
        <f>IF(VLOOKUP(AV$2,#REF!,10,FALSE)="",0,100)</f>
        <v>#REF!</v>
      </c>
      <c r="AW32" s="19" t="e">
        <f>IF(VLOOKUP(AW$2,#REF!,10,FALSE)="",0,100)</f>
        <v>#REF!</v>
      </c>
      <c r="AX32" s="19" t="e">
        <f>IF(VLOOKUP(AX$2,#REF!,10,FALSE)="",0,100)</f>
        <v>#REF!</v>
      </c>
      <c r="AY32" s="19" t="e">
        <f>IF(VLOOKUP(AY$2,#REF!,10,FALSE)="",0,100)</f>
        <v>#REF!</v>
      </c>
      <c r="AZ32" s="19" t="e">
        <f>IF(VLOOKUP(AZ$2,#REF!,10,FALSE)="",0,100)</f>
        <v>#REF!</v>
      </c>
      <c r="BA32" s="19" t="e">
        <f>IF(VLOOKUP(BA$2,#REF!,10,FALSE)="",0,100)</f>
        <v>#REF!</v>
      </c>
      <c r="BB32" s="19" t="e">
        <f>IF(VLOOKUP(BB$2,#REF!,10,FALSE)="",0,100)</f>
        <v>#REF!</v>
      </c>
      <c r="BC32" s="19" t="e">
        <f>IF(VLOOKUP(BC$2,#REF!,10,FALSE)="",0,100)</f>
        <v>#REF!</v>
      </c>
      <c r="BD32" s="19" t="e">
        <f>IF(VLOOKUP(BD$2,#REF!,10,FALSE)="",0,100)</f>
        <v>#REF!</v>
      </c>
      <c r="BE32" s="19" t="e">
        <f>IF(VLOOKUP(BE$2,#REF!,10,FALSE)="",0,100)</f>
        <v>#REF!</v>
      </c>
      <c r="BF32" s="19" t="e">
        <f>IF(VLOOKUP(BF$2,#REF!,10,FALSE)="",0,100)</f>
        <v>#REF!</v>
      </c>
      <c r="BG32" s="19" t="e">
        <f>IF(VLOOKUP(BG$2,#REF!,10,FALSE)="",0,100)</f>
        <v>#REF!</v>
      </c>
      <c r="BH32" s="19" t="e">
        <f>IF(VLOOKUP(BH$2,#REF!,10,FALSE)="",0,100)</f>
        <v>#REF!</v>
      </c>
      <c r="BI32" s="19" t="e">
        <f>IF(VLOOKUP(BI$2,#REF!,10,FALSE)="",0,100)</f>
        <v>#REF!</v>
      </c>
      <c r="BJ32" s="19" t="e">
        <f>IF(VLOOKUP(BJ$2,#REF!,10,FALSE)="",0,100)</f>
        <v>#REF!</v>
      </c>
      <c r="BK32" s="19" t="e">
        <f>IF(VLOOKUP(BK$2,#REF!,10,FALSE)="",0,100)</f>
        <v>#REF!</v>
      </c>
      <c r="BL32" s="19" t="e">
        <f>IF(VLOOKUP(BL$2,#REF!,10,FALSE)="",0,100)</f>
        <v>#REF!</v>
      </c>
      <c r="BM32" s="19" t="e">
        <f>IF(VLOOKUP(BM$2,#REF!,10,FALSE)="",0,100)</f>
        <v>#REF!</v>
      </c>
      <c r="BN32" s="19" t="e">
        <f>IF(VLOOKUP(BN$2,#REF!,10,FALSE)="",0,100)</f>
        <v>#REF!</v>
      </c>
      <c r="BO32" s="19" t="e">
        <f>IF(VLOOKUP(BO$2,#REF!,10,FALSE)="",0,100)</f>
        <v>#REF!</v>
      </c>
      <c r="BP32" s="19" t="e">
        <f>IF(VLOOKUP(BP$2,#REF!,10,FALSE)="",0,100)</f>
        <v>#REF!</v>
      </c>
      <c r="BQ32" s="19" t="e">
        <f>IF(VLOOKUP(BQ$2,#REF!,10,FALSE)="",0,100)</f>
        <v>#REF!</v>
      </c>
      <c r="BR32" s="19" t="e">
        <f>IF(VLOOKUP(BR$2,#REF!,10,FALSE)="",0,100)</f>
        <v>#REF!</v>
      </c>
      <c r="BS32" s="19" t="e">
        <f>IF(VLOOKUP(BS$2,#REF!,10,FALSE)="",0,100)</f>
        <v>#REF!</v>
      </c>
      <c r="BT32" s="19" t="e">
        <f>IF(VLOOKUP(BT$2,#REF!,10,FALSE)="",0,100)</f>
        <v>#REF!</v>
      </c>
      <c r="BU32" s="19" t="e">
        <f>IF(VLOOKUP(BU$2,#REF!,10,FALSE)="",0,100)</f>
        <v>#REF!</v>
      </c>
      <c r="BV32" s="19" t="e">
        <f>IF(VLOOKUP(BV$2,#REF!,10,FALSE)="",0,100)</f>
        <v>#REF!</v>
      </c>
      <c r="BW32" s="19" t="e">
        <f>IF(VLOOKUP(BW$2,#REF!,10,FALSE)="",0,100)</f>
        <v>#REF!</v>
      </c>
      <c r="BX32" s="19" t="e">
        <f>IF(VLOOKUP(BX$2,#REF!,10,FALSE)="",0,100)</f>
        <v>#REF!</v>
      </c>
      <c r="BY32" s="19" t="e">
        <f>IF(VLOOKUP(BY$2,#REF!,10,FALSE)="",0,100)</f>
        <v>#REF!</v>
      </c>
      <c r="BZ32" s="19" t="e">
        <f>IF(VLOOKUP(BZ$2,#REF!,10,FALSE)="",0,100)</f>
        <v>#REF!</v>
      </c>
      <c r="CA32" s="19" t="e">
        <f>IF(VLOOKUP(CA$2,#REF!,10,FALSE)="",0,100)</f>
        <v>#REF!</v>
      </c>
      <c r="CB32" s="19" t="e">
        <f>IF(VLOOKUP(CB$2,#REF!,10,FALSE)="",0,100)</f>
        <v>#REF!</v>
      </c>
      <c r="CC32" s="19" t="e">
        <f>IF(VLOOKUP(CC$2,#REF!,10,FALSE)="",0,100)</f>
        <v>#REF!</v>
      </c>
      <c r="CD32" s="19" t="e">
        <f>IF(VLOOKUP(CD$2,#REF!,10,FALSE)="",0,100)</f>
        <v>#REF!</v>
      </c>
      <c r="CE32" s="19" t="e">
        <f>IF(VLOOKUP(CE$2,#REF!,10,FALSE)="",0,100)</f>
        <v>#REF!</v>
      </c>
      <c r="CF32" s="19" t="e">
        <f>IF(VLOOKUP(CF$2,#REF!,10,FALSE)="",0,100)</f>
        <v>#REF!</v>
      </c>
      <c r="CG32" s="19" t="e">
        <f>IF(VLOOKUP(CG$2,#REF!,10,FALSE)="",0,100)</f>
        <v>#REF!</v>
      </c>
      <c r="CH32" s="19" t="e">
        <f>IF(VLOOKUP(CH$2,#REF!,10,FALSE)="",0,100)</f>
        <v>#REF!</v>
      </c>
      <c r="CI32" s="19" t="e">
        <f>IF(VLOOKUP(CI$2,#REF!,10,FALSE)="",0,100)</f>
        <v>#REF!</v>
      </c>
      <c r="CJ32" s="19" t="e">
        <f>IF(VLOOKUP(CJ$2,#REF!,10,FALSE)="",0,100)</f>
        <v>#REF!</v>
      </c>
      <c r="CK32" s="19" t="e">
        <f>IF(VLOOKUP(CK$2,#REF!,10,FALSE)="",0,100)</f>
        <v>#REF!</v>
      </c>
      <c r="CL32" s="19" t="e">
        <f>IF(VLOOKUP(CL$2,#REF!,10,FALSE)="",0,100)</f>
        <v>#REF!</v>
      </c>
      <c r="CM32" s="19" t="e">
        <f>IF(VLOOKUP(CM$2,#REF!,10,FALSE)="",0,100)</f>
        <v>#REF!</v>
      </c>
      <c r="CN32" s="19" t="e">
        <f>IF(VLOOKUP(CN$2,#REF!,10,FALSE)="",0,100)</f>
        <v>#REF!</v>
      </c>
      <c r="CO32" s="19" t="e">
        <f>IF(VLOOKUP(CO$2,#REF!,10,FALSE)="",0,100)</f>
        <v>#REF!</v>
      </c>
      <c r="CP32" s="19" t="e">
        <f>IF(VLOOKUP(CP$2,#REF!,10,FALSE)="",0,100)</f>
        <v>#REF!</v>
      </c>
      <c r="CQ32" s="19" t="e">
        <f>IF(VLOOKUP(CQ$2,#REF!,10,FALSE)="",0,100)</f>
        <v>#REF!</v>
      </c>
      <c r="CR32" s="19" t="e">
        <f>IF(VLOOKUP(CR$2,#REF!,10,FALSE)="",0,100)</f>
        <v>#REF!</v>
      </c>
      <c r="CS32" s="19" t="e">
        <f>IF(VLOOKUP(CS$2,#REF!,10,FALSE)="",0,100)</f>
        <v>#REF!</v>
      </c>
      <c r="CT32" s="19" t="e">
        <f>IF(VLOOKUP(CT$2,#REF!,10,FALSE)="",0,100)</f>
        <v>#REF!</v>
      </c>
      <c r="CU32" s="19" t="e">
        <f>IF(VLOOKUP(CU$2,#REF!,10,FALSE)="",0,100)</f>
        <v>#REF!</v>
      </c>
      <c r="CV32" s="19" t="e">
        <f>IF(VLOOKUP(CV$2,#REF!,10,FALSE)="",0,100)</f>
        <v>#REF!</v>
      </c>
      <c r="CW32" s="19" t="e">
        <f>IF(VLOOKUP(CW$2,#REF!,10,FALSE)="",0,100)</f>
        <v>#REF!</v>
      </c>
      <c r="CX32" s="19" t="e">
        <f>IF(VLOOKUP(CX$2,#REF!,10,FALSE)="",0,100)</f>
        <v>#REF!</v>
      </c>
      <c r="CY32" s="19" t="e">
        <f>IF(VLOOKUP(CY$2,#REF!,10,FALSE)="",0,100)</f>
        <v>#REF!</v>
      </c>
      <c r="CZ32" s="19" t="e">
        <f>IF(VLOOKUP(CZ$2,#REF!,10,FALSE)="",0,100)</f>
        <v>#REF!</v>
      </c>
      <c r="DA32" s="19" t="e">
        <f>IF(VLOOKUP(DA$2,#REF!,10,FALSE)="",0,100)</f>
        <v>#REF!</v>
      </c>
      <c r="DB32" s="19" t="e">
        <f>IF(VLOOKUP(DB$2,#REF!,10,FALSE)="",0,100)</f>
        <v>#REF!</v>
      </c>
      <c r="DC32" s="19" t="e">
        <f>IF(VLOOKUP(DC$2,#REF!,10,FALSE)="",0,100)</f>
        <v>#REF!</v>
      </c>
      <c r="DD32" s="19" t="e">
        <f>IF(VLOOKUP(DD$2,#REF!,10,FALSE)="",0,100)</f>
        <v>#REF!</v>
      </c>
      <c r="DE32" s="19" t="e">
        <f>IF(VLOOKUP(DE$2,#REF!,10,FALSE)="",0,100)</f>
        <v>#REF!</v>
      </c>
      <c r="DF32" s="19" t="e">
        <f>IF(VLOOKUP(DF$2,#REF!,10,FALSE)="",0,100)</f>
        <v>#REF!</v>
      </c>
      <c r="DG32" s="19" t="e">
        <f>IF(VLOOKUP(DG$2,#REF!,10,FALSE)="",0,100)</f>
        <v>#REF!</v>
      </c>
      <c r="DH32" s="19" t="e">
        <f>IF(VLOOKUP(DH$2,#REF!,10,FALSE)="",0,100)</f>
        <v>#REF!</v>
      </c>
      <c r="DI32" s="19" t="e">
        <f>IF(VLOOKUP(DI$2,#REF!,10,FALSE)="",0,100)</f>
        <v>#REF!</v>
      </c>
      <c r="DJ32" s="19" t="e">
        <f>IF(VLOOKUP(DJ$2,#REF!,10,FALSE)="",0,100)</f>
        <v>#REF!</v>
      </c>
      <c r="DK32" s="19" t="e">
        <f>IF(VLOOKUP(DK$2,#REF!,10,FALSE)="",0,100)</f>
        <v>#REF!</v>
      </c>
      <c r="DL32" s="19" t="e">
        <f>IF(VLOOKUP(DL$2,#REF!,10,FALSE)="",0,100)</f>
        <v>#REF!</v>
      </c>
      <c r="DM32" s="19" t="e">
        <f>IF(VLOOKUP(DM$2,#REF!,10,FALSE)="",0,100)</f>
        <v>#REF!</v>
      </c>
      <c r="DN32" s="19" t="e">
        <f>IF(VLOOKUP(DN$2,#REF!,10,FALSE)="",0,100)</f>
        <v>#REF!</v>
      </c>
      <c r="DO32" s="19" t="e">
        <f>IF(VLOOKUP(DO$2,#REF!,10,FALSE)="",0,100)</f>
        <v>#REF!</v>
      </c>
      <c r="DP32" s="19" t="e">
        <f>IF(VLOOKUP(DP$2,#REF!,10,FALSE)="",0,100)</f>
        <v>#REF!</v>
      </c>
      <c r="DQ32" s="19" t="e">
        <f>IF(VLOOKUP(DQ$2,#REF!,10,FALSE)="",0,100)</f>
        <v>#REF!</v>
      </c>
      <c r="DR32" s="19" t="e">
        <f>IF(VLOOKUP(DR$2,#REF!,10,FALSE)="",0,100)</f>
        <v>#REF!</v>
      </c>
      <c r="DS32" s="19" t="e">
        <f>IF(VLOOKUP(DS$2,#REF!,10,FALSE)="",0,100)</f>
        <v>#REF!</v>
      </c>
      <c r="DT32" s="19" t="e">
        <f>IF(VLOOKUP(DT$2,#REF!,10,FALSE)="",0,100)</f>
        <v>#REF!</v>
      </c>
      <c r="DU32" s="19" t="e">
        <f>IF(VLOOKUP(DU$2,#REF!,10,FALSE)="",0,100)</f>
        <v>#REF!</v>
      </c>
      <c r="DV32" s="19" t="e">
        <f>IF(VLOOKUP(DV$2,#REF!,10,FALSE)="",0,100)</f>
        <v>#REF!</v>
      </c>
      <c r="DW32" s="19" t="e">
        <f>IF(VLOOKUP(DW$2,#REF!,10,FALSE)="",0,100)</f>
        <v>#REF!</v>
      </c>
      <c r="DX32" s="19" t="e">
        <f>IF(VLOOKUP(DX$2,#REF!,10,FALSE)="",0,100)</f>
        <v>#REF!</v>
      </c>
      <c r="DY32" s="19" t="e">
        <f>IF(VLOOKUP(DY$2,#REF!,10,FALSE)="",0,100)</f>
        <v>#REF!</v>
      </c>
      <c r="DZ32" s="19" t="e">
        <f>IF(VLOOKUP(DZ$2,#REF!,10,FALSE)="",0,100)</f>
        <v>#REF!</v>
      </c>
      <c r="EA32" s="19" t="e">
        <f>IF(VLOOKUP(EA$2,#REF!,10,FALSE)="",0,100)</f>
        <v>#REF!</v>
      </c>
      <c r="EB32" s="19" t="e">
        <f>IF(VLOOKUP(EB$2,#REF!,10,FALSE)="",0,100)</f>
        <v>#REF!</v>
      </c>
      <c r="EC32" s="19" t="e">
        <f>IF(VLOOKUP(EC$2,#REF!,10,FALSE)="",0,100)</f>
        <v>#REF!</v>
      </c>
      <c r="ED32" s="19" t="e">
        <f>IF(VLOOKUP(ED$2,#REF!,10,FALSE)="",0,100)</f>
        <v>#REF!</v>
      </c>
      <c r="EE32" s="19" t="e">
        <f>IF(VLOOKUP(EE$2,#REF!,10,FALSE)="",0,100)</f>
        <v>#REF!</v>
      </c>
      <c r="EF32" s="19" t="e">
        <f>IF(VLOOKUP(EF$2,#REF!,10,FALSE)="",0,100)</f>
        <v>#REF!</v>
      </c>
      <c r="EG32" s="19" t="e">
        <f>IF(VLOOKUP(EG$2,#REF!,10,FALSE)="",0,100)</f>
        <v>#REF!</v>
      </c>
      <c r="EH32" s="19" t="e">
        <f>IF(VLOOKUP(EH$2,#REF!,10,FALSE)="",0,100)</f>
        <v>#REF!</v>
      </c>
      <c r="EI32" s="19" t="e">
        <f>IF(VLOOKUP(EI$2,#REF!,10,FALSE)="",0,100)</f>
        <v>#REF!</v>
      </c>
      <c r="EJ32" s="19" t="e">
        <f>IF(VLOOKUP(EJ$2,#REF!,10,FALSE)="",0,100)</f>
        <v>#REF!</v>
      </c>
      <c r="EK32" s="19" t="e">
        <f>IF(VLOOKUP(EK$2,#REF!,10,FALSE)="",0,100)</f>
        <v>#REF!</v>
      </c>
      <c r="EL32" s="19" t="e">
        <f>IF(VLOOKUP(EL$2,#REF!,10,FALSE)="",0,100)</f>
        <v>#REF!</v>
      </c>
      <c r="EM32" s="19" t="e">
        <f>IF(VLOOKUP(EM$2,#REF!,10,FALSE)="",0,100)</f>
        <v>#REF!</v>
      </c>
      <c r="EN32" s="19" t="e">
        <f>IF(VLOOKUP(EN$2,#REF!,10,FALSE)="",0,100)</f>
        <v>#REF!</v>
      </c>
      <c r="EO32" s="19" t="e">
        <f>IF(VLOOKUP(EO$2,#REF!,10,FALSE)="",0,100)</f>
        <v>#REF!</v>
      </c>
      <c r="EP32" s="19" t="e">
        <f>IF(VLOOKUP(EP$2,#REF!,10,FALSE)="",0,100)</f>
        <v>#REF!</v>
      </c>
      <c r="EQ32" s="19" t="e">
        <f>IF(VLOOKUP(EQ$2,#REF!,10,FALSE)="",0,100)</f>
        <v>#REF!</v>
      </c>
      <c r="ER32" s="19" t="e">
        <f>IF(VLOOKUP(ER$2,#REF!,10,FALSE)="",0,100)</f>
        <v>#REF!</v>
      </c>
      <c r="ES32" s="19" t="e">
        <f>IF(VLOOKUP(ES$2,#REF!,10,FALSE)="",0,100)</f>
        <v>#REF!</v>
      </c>
      <c r="ET32" s="19" t="e">
        <f>IF(VLOOKUP(ET$2,#REF!,10,FALSE)="",0,100)</f>
        <v>#REF!</v>
      </c>
      <c r="EU32" s="19" t="e">
        <f>IF(VLOOKUP(EU$2,#REF!,10,FALSE)="",0,100)</f>
        <v>#REF!</v>
      </c>
      <c r="EV32" s="19" t="e">
        <f>IF(VLOOKUP(EV$2,#REF!,10,FALSE)="",0,100)</f>
        <v>#REF!</v>
      </c>
      <c r="EW32" s="19" t="e">
        <f>IF(VLOOKUP(EW$2,#REF!,10,FALSE)="",0,100)</f>
        <v>#REF!</v>
      </c>
      <c r="EX32" s="19" t="e">
        <f>IF(VLOOKUP(EX$2,#REF!,10,FALSE)="",0,100)</f>
        <v>#REF!</v>
      </c>
      <c r="EY32" s="19" t="e">
        <f>IF(VLOOKUP(EY$2,#REF!,10,FALSE)="",0,100)</f>
        <v>#REF!</v>
      </c>
      <c r="EZ32" s="19" t="e">
        <f>IF(VLOOKUP(EZ$2,#REF!,10,FALSE)="",0,100)</f>
        <v>#REF!</v>
      </c>
      <c r="FA32" s="19" t="e">
        <f>IF(VLOOKUP(FA$2,#REF!,10,FALSE)="",0,100)</f>
        <v>#REF!</v>
      </c>
      <c r="FB32" s="19" t="e">
        <f>IF(VLOOKUP(FB$2,#REF!,10,FALSE)="",0,100)</f>
        <v>#REF!</v>
      </c>
      <c r="FC32" s="19" t="e">
        <f>IF(VLOOKUP(FC$2,#REF!,10,FALSE)="",0,100)</f>
        <v>#REF!</v>
      </c>
      <c r="FD32" s="19" t="e">
        <f>IF(VLOOKUP(FD$2,#REF!,10,FALSE)="",0,100)</f>
        <v>#REF!</v>
      </c>
      <c r="FE32" s="19" t="e">
        <f>IF(VLOOKUP(FE$2,#REF!,10,FALSE)="",0,100)</f>
        <v>#REF!</v>
      </c>
      <c r="FF32" s="19" t="e">
        <f>IF(VLOOKUP(FF$2,#REF!,10,FALSE)="",0,100)</f>
        <v>#REF!</v>
      </c>
      <c r="FG32" s="19" t="e">
        <f>IF(VLOOKUP(FG$2,#REF!,10,FALSE)="",0,100)</f>
        <v>#REF!</v>
      </c>
      <c r="FH32" s="19" t="e">
        <f>IF(VLOOKUP(FH$2,#REF!,10,FALSE)="",0,100)</f>
        <v>#REF!</v>
      </c>
      <c r="FI32" s="19" t="e">
        <f>IF(VLOOKUP(FI$2,#REF!,10,FALSE)="",0,100)</f>
        <v>#REF!</v>
      </c>
      <c r="FJ32" s="19" t="e">
        <f>IF(VLOOKUP(FJ$2,#REF!,10,FALSE)="",0,100)</f>
        <v>#REF!</v>
      </c>
      <c r="FK32" s="19" t="e">
        <f>IF(VLOOKUP(FK$2,#REF!,10,FALSE)="",0,100)</f>
        <v>#REF!</v>
      </c>
      <c r="FL32" s="19" t="e">
        <f>IF(VLOOKUP(FL$2,#REF!,10,FALSE)="",0,100)</f>
        <v>#REF!</v>
      </c>
      <c r="FM32" s="19" t="e">
        <f>IF(VLOOKUP(FM$2,#REF!,10,FALSE)="",0,100)</f>
        <v>#REF!</v>
      </c>
      <c r="FN32" s="19" t="e">
        <f>IF(VLOOKUP(FN$2,#REF!,10,FALSE)="",0,100)</f>
        <v>#REF!</v>
      </c>
      <c r="FO32" s="19" t="e">
        <f>IF(VLOOKUP(FO$2,#REF!,10,FALSE)="",0,100)</f>
        <v>#REF!</v>
      </c>
      <c r="FP32" s="19" t="e">
        <f>IF(VLOOKUP(FP$2,#REF!,10,FALSE)="",0,100)</f>
        <v>#REF!</v>
      </c>
      <c r="FQ32" s="19" t="e">
        <f>IF(VLOOKUP(FQ$2,#REF!,10,FALSE)="",0,100)</f>
        <v>#REF!</v>
      </c>
      <c r="FR32" s="19" t="e">
        <f>IF(VLOOKUP(FR$2,#REF!,10,FALSE)="",0,100)</f>
        <v>#REF!</v>
      </c>
      <c r="FS32" s="19" t="e">
        <f>IF(VLOOKUP(FS$2,#REF!,10,FALSE)="",0,100)</f>
        <v>#REF!</v>
      </c>
      <c r="FT32" s="19" t="e">
        <f>IF(VLOOKUP(FT$2,#REF!,10,FALSE)="",0,100)</f>
        <v>#REF!</v>
      </c>
      <c r="FU32" s="19" t="e">
        <f>IF(VLOOKUP(FU$2,#REF!,10,FALSE)="",0,100)</f>
        <v>#REF!</v>
      </c>
      <c r="FV32" s="19" t="e">
        <f>IF(VLOOKUP(FV$2,#REF!,10,FALSE)="",0,100)</f>
        <v>#REF!</v>
      </c>
    </row>
    <row r="33" spans="1:178" s="14" customFormat="1">
      <c r="A33" s="61" t="s">
        <v>215</v>
      </c>
      <c r="B33" s="19" t="e">
        <f>IF(VLOOKUP(B$2,#REF!,11,FALSE)="",0,100)</f>
        <v>#REF!</v>
      </c>
      <c r="C33" s="19" t="e">
        <f>IF(VLOOKUP(C$2,#REF!,11,FALSE)="",0,100)</f>
        <v>#REF!</v>
      </c>
      <c r="D33" s="19" t="e">
        <f>IF(VLOOKUP(D$2,#REF!,11,FALSE)="",0,100)</f>
        <v>#REF!</v>
      </c>
      <c r="E33" s="19" t="e">
        <f>IF(VLOOKUP(E$2,#REF!,11,FALSE)="",0,100)</f>
        <v>#REF!</v>
      </c>
      <c r="F33" s="19" t="e">
        <f>IF(VLOOKUP(F$2,#REF!,11,FALSE)="",0,100)</f>
        <v>#REF!</v>
      </c>
      <c r="G33" s="19" t="e">
        <f>IF(VLOOKUP(G$2,#REF!,11,FALSE)="",0,100)</f>
        <v>#REF!</v>
      </c>
      <c r="H33" s="19" t="e">
        <f>IF(VLOOKUP(H$2,#REF!,11,FALSE)="",0,100)</f>
        <v>#REF!</v>
      </c>
      <c r="I33" s="19" t="e">
        <f>IF(VLOOKUP(I$2,#REF!,11,FALSE)="",0,100)</f>
        <v>#REF!</v>
      </c>
      <c r="J33" s="19" t="e">
        <f>IF(VLOOKUP(J$2,#REF!,11,FALSE)="",0,100)</f>
        <v>#REF!</v>
      </c>
      <c r="K33" s="19" t="e">
        <f>IF(VLOOKUP(K$2,#REF!,11,FALSE)="",0,100)</f>
        <v>#REF!</v>
      </c>
      <c r="L33" s="19" t="e">
        <f>IF(VLOOKUP(L$2,#REF!,11,FALSE)="",0,100)</f>
        <v>#REF!</v>
      </c>
      <c r="M33" s="19" t="e">
        <f>IF(VLOOKUP(M$2,#REF!,11,FALSE)="",0,100)</f>
        <v>#REF!</v>
      </c>
      <c r="N33" s="19" t="e">
        <f>IF(VLOOKUP(N$2,#REF!,11,FALSE)="",0,100)</f>
        <v>#REF!</v>
      </c>
      <c r="O33" s="19" t="e">
        <f>IF(VLOOKUP(O$2,#REF!,11,FALSE)="",0,100)</f>
        <v>#REF!</v>
      </c>
      <c r="P33" s="19" t="e">
        <f>IF(VLOOKUP(P$2,#REF!,11,FALSE)="",0,100)</f>
        <v>#REF!</v>
      </c>
      <c r="Q33" s="19" t="e">
        <f>IF(VLOOKUP(Q$2,#REF!,11,FALSE)="",0,100)</f>
        <v>#REF!</v>
      </c>
      <c r="R33" s="19" t="e">
        <f>IF(VLOOKUP(R$2,#REF!,11,FALSE)="",0,100)</f>
        <v>#REF!</v>
      </c>
      <c r="S33" s="19" t="e">
        <f>IF(VLOOKUP(S$2,#REF!,11,FALSE)="",0,100)</f>
        <v>#REF!</v>
      </c>
      <c r="T33" s="19" t="e">
        <f>IF(VLOOKUP(T$2,#REF!,11,FALSE)="",0,100)</f>
        <v>#REF!</v>
      </c>
      <c r="U33" s="19" t="e">
        <f>IF(VLOOKUP(U$2,#REF!,11,FALSE)="",0,100)</f>
        <v>#REF!</v>
      </c>
      <c r="V33" s="19" t="e">
        <f>IF(VLOOKUP(V$2,#REF!,11,FALSE)="",0,100)</f>
        <v>#REF!</v>
      </c>
      <c r="W33" s="19" t="e">
        <f>IF(VLOOKUP(W$2,#REF!,11,FALSE)="",0,100)</f>
        <v>#REF!</v>
      </c>
      <c r="X33" s="19" t="e">
        <f>IF(VLOOKUP(X$2,#REF!,11,FALSE)="",0,100)</f>
        <v>#REF!</v>
      </c>
      <c r="Y33" s="19" t="e">
        <f>IF(VLOOKUP(Y$2,#REF!,11,FALSE)="",0,100)</f>
        <v>#REF!</v>
      </c>
      <c r="Z33" s="19" t="e">
        <f>IF(VLOOKUP(Z$2,#REF!,11,FALSE)="",0,100)</f>
        <v>#REF!</v>
      </c>
      <c r="AA33" s="19" t="e">
        <f>IF(VLOOKUP(AA$2,#REF!,11,FALSE)="",0,100)</f>
        <v>#REF!</v>
      </c>
      <c r="AB33" s="19" t="e">
        <f>IF(VLOOKUP(AB$2,#REF!,11,FALSE)="",0,100)</f>
        <v>#REF!</v>
      </c>
      <c r="AC33" s="19" t="e">
        <f>IF(VLOOKUP(AC$2,#REF!,11,FALSE)="",0,100)</f>
        <v>#REF!</v>
      </c>
      <c r="AD33" s="19" t="e">
        <f>IF(VLOOKUP(AD$2,#REF!,11,FALSE)="",0,100)</f>
        <v>#REF!</v>
      </c>
      <c r="AE33" s="19" t="e">
        <f>IF(VLOOKUP(AE$2,#REF!,11,FALSE)="",0,100)</f>
        <v>#REF!</v>
      </c>
      <c r="AF33" s="19" t="e">
        <f>IF(VLOOKUP(AF$2,#REF!,11,FALSE)="",0,100)</f>
        <v>#REF!</v>
      </c>
      <c r="AG33" s="19" t="e">
        <f>IF(VLOOKUP(AG$2,#REF!,11,FALSE)="",0,100)</f>
        <v>#REF!</v>
      </c>
      <c r="AH33" s="19" t="e">
        <f>IF(VLOOKUP(AH$2,#REF!,11,FALSE)="",0,100)</f>
        <v>#REF!</v>
      </c>
      <c r="AI33" s="19" t="e">
        <f>IF(VLOOKUP(AI$2,#REF!,11,FALSE)="",0,100)</f>
        <v>#REF!</v>
      </c>
      <c r="AJ33" s="19" t="e">
        <f>IF(VLOOKUP(AJ$2,#REF!,11,FALSE)="",0,100)</f>
        <v>#REF!</v>
      </c>
      <c r="AK33" s="19" t="e">
        <f>IF(VLOOKUP(AK$2,#REF!,11,FALSE)="",0,100)</f>
        <v>#REF!</v>
      </c>
      <c r="AL33" s="19" t="e">
        <f>IF(VLOOKUP(AL$2,#REF!,11,FALSE)="",0,100)</f>
        <v>#REF!</v>
      </c>
      <c r="AM33" s="19" t="e">
        <f>IF(VLOOKUP(AM$2,#REF!,11,FALSE)="",0,100)</f>
        <v>#REF!</v>
      </c>
      <c r="AN33" s="19" t="e">
        <f>IF(VLOOKUP(AN$2,#REF!,11,FALSE)="",0,100)</f>
        <v>#REF!</v>
      </c>
      <c r="AO33" s="19" t="e">
        <f>IF(VLOOKUP(AO$2,#REF!,11,FALSE)="",0,100)</f>
        <v>#REF!</v>
      </c>
      <c r="AP33" s="19" t="e">
        <f>IF(VLOOKUP(AP$2,#REF!,11,FALSE)="",0,100)</f>
        <v>#REF!</v>
      </c>
      <c r="AQ33" s="19" t="e">
        <f>IF(VLOOKUP(AQ$2,#REF!,11,FALSE)="",0,100)</f>
        <v>#REF!</v>
      </c>
      <c r="AR33" s="19" t="e">
        <f>IF(VLOOKUP(AR$2,#REF!,11,FALSE)="",0,100)</f>
        <v>#REF!</v>
      </c>
      <c r="AS33" s="19" t="e">
        <f>IF(VLOOKUP(AS$2,#REF!,11,FALSE)="",0,100)</f>
        <v>#REF!</v>
      </c>
      <c r="AT33" s="19" t="e">
        <f>IF(VLOOKUP(AT$2,#REF!,11,FALSE)="",0,100)</f>
        <v>#REF!</v>
      </c>
      <c r="AU33" s="19" t="e">
        <f>IF(VLOOKUP(AU$2,#REF!,11,FALSE)="",0,100)</f>
        <v>#REF!</v>
      </c>
      <c r="AV33" s="19" t="e">
        <f>IF(VLOOKUP(AV$2,#REF!,11,FALSE)="",0,100)</f>
        <v>#REF!</v>
      </c>
      <c r="AW33" s="19" t="e">
        <f>IF(VLOOKUP(AW$2,#REF!,11,FALSE)="",0,100)</f>
        <v>#REF!</v>
      </c>
      <c r="AX33" s="19" t="e">
        <f>IF(VLOOKUP(AX$2,#REF!,11,FALSE)="",0,100)</f>
        <v>#REF!</v>
      </c>
      <c r="AY33" s="19" t="e">
        <f>IF(VLOOKUP(AY$2,#REF!,11,FALSE)="",0,100)</f>
        <v>#REF!</v>
      </c>
      <c r="AZ33" s="19" t="e">
        <f>IF(VLOOKUP(AZ$2,#REF!,11,FALSE)="",0,100)</f>
        <v>#REF!</v>
      </c>
      <c r="BA33" s="19" t="e">
        <f>IF(VLOOKUP(BA$2,#REF!,11,FALSE)="",0,100)</f>
        <v>#REF!</v>
      </c>
      <c r="BB33" s="19" t="e">
        <f>IF(VLOOKUP(BB$2,#REF!,11,FALSE)="",0,100)</f>
        <v>#REF!</v>
      </c>
      <c r="BC33" s="19" t="e">
        <f>IF(VLOOKUP(BC$2,#REF!,11,FALSE)="",0,100)</f>
        <v>#REF!</v>
      </c>
      <c r="BD33" s="19" t="e">
        <f>IF(VLOOKUP(BD$2,#REF!,11,FALSE)="",0,100)</f>
        <v>#REF!</v>
      </c>
      <c r="BE33" s="19" t="e">
        <f>IF(VLOOKUP(BE$2,#REF!,11,FALSE)="",0,100)</f>
        <v>#REF!</v>
      </c>
      <c r="BF33" s="19" t="e">
        <f>IF(VLOOKUP(BF$2,#REF!,11,FALSE)="",0,100)</f>
        <v>#REF!</v>
      </c>
      <c r="BG33" s="19" t="e">
        <f>IF(VLOOKUP(BG$2,#REF!,11,FALSE)="",0,100)</f>
        <v>#REF!</v>
      </c>
      <c r="BH33" s="19" t="e">
        <f>IF(VLOOKUP(BH$2,#REF!,11,FALSE)="",0,100)</f>
        <v>#REF!</v>
      </c>
      <c r="BI33" s="19" t="e">
        <f>IF(VLOOKUP(BI$2,#REF!,11,FALSE)="",0,100)</f>
        <v>#REF!</v>
      </c>
      <c r="BJ33" s="19" t="e">
        <f>IF(VLOOKUP(BJ$2,#REF!,11,FALSE)="",0,100)</f>
        <v>#REF!</v>
      </c>
      <c r="BK33" s="19" t="e">
        <f>IF(VLOOKUP(BK$2,#REF!,11,FALSE)="",0,100)</f>
        <v>#REF!</v>
      </c>
      <c r="BL33" s="19" t="e">
        <f>IF(VLOOKUP(BL$2,#REF!,11,FALSE)="",0,100)</f>
        <v>#REF!</v>
      </c>
      <c r="BM33" s="19" t="e">
        <f>IF(VLOOKUP(BM$2,#REF!,11,FALSE)="",0,100)</f>
        <v>#REF!</v>
      </c>
      <c r="BN33" s="19" t="e">
        <f>IF(VLOOKUP(BN$2,#REF!,11,FALSE)="",0,100)</f>
        <v>#REF!</v>
      </c>
      <c r="BO33" s="19" t="e">
        <f>IF(VLOOKUP(BO$2,#REF!,11,FALSE)="",0,100)</f>
        <v>#REF!</v>
      </c>
      <c r="BP33" s="19" t="e">
        <f>IF(VLOOKUP(BP$2,#REF!,11,FALSE)="",0,100)</f>
        <v>#REF!</v>
      </c>
      <c r="BQ33" s="19" t="e">
        <f>IF(VLOOKUP(BQ$2,#REF!,11,FALSE)="",0,100)</f>
        <v>#REF!</v>
      </c>
      <c r="BR33" s="19" t="e">
        <f>IF(VLOOKUP(BR$2,#REF!,11,FALSE)="",0,100)</f>
        <v>#REF!</v>
      </c>
      <c r="BS33" s="19" t="e">
        <f>IF(VLOOKUP(BS$2,#REF!,11,FALSE)="",0,100)</f>
        <v>#REF!</v>
      </c>
      <c r="BT33" s="19" t="e">
        <f>IF(VLOOKUP(BT$2,#REF!,11,FALSE)="",0,100)</f>
        <v>#REF!</v>
      </c>
      <c r="BU33" s="19" t="e">
        <f>IF(VLOOKUP(BU$2,#REF!,11,FALSE)="",0,100)</f>
        <v>#REF!</v>
      </c>
      <c r="BV33" s="19" t="e">
        <f>IF(VLOOKUP(BV$2,#REF!,11,FALSE)="",0,100)</f>
        <v>#REF!</v>
      </c>
      <c r="BW33" s="19" t="e">
        <f>IF(VLOOKUP(BW$2,#REF!,11,FALSE)="",0,100)</f>
        <v>#REF!</v>
      </c>
      <c r="BX33" s="19" t="e">
        <f>IF(VLOOKUP(BX$2,#REF!,11,FALSE)="",0,100)</f>
        <v>#REF!</v>
      </c>
      <c r="BY33" s="19" t="e">
        <f>IF(VLOOKUP(BY$2,#REF!,11,FALSE)="",0,100)</f>
        <v>#REF!</v>
      </c>
      <c r="BZ33" s="19" t="e">
        <f>IF(VLOOKUP(BZ$2,#REF!,11,FALSE)="",0,100)</f>
        <v>#REF!</v>
      </c>
      <c r="CA33" s="19" t="e">
        <f>IF(VLOOKUP(CA$2,#REF!,11,FALSE)="",0,100)</f>
        <v>#REF!</v>
      </c>
      <c r="CB33" s="19" t="e">
        <f>IF(VLOOKUP(CB$2,#REF!,11,FALSE)="",0,100)</f>
        <v>#REF!</v>
      </c>
      <c r="CC33" s="19" t="e">
        <f>IF(VLOOKUP(CC$2,#REF!,11,FALSE)="",0,100)</f>
        <v>#REF!</v>
      </c>
      <c r="CD33" s="19" t="e">
        <f>IF(VLOOKUP(CD$2,#REF!,11,FALSE)="",0,100)</f>
        <v>#REF!</v>
      </c>
      <c r="CE33" s="19" t="e">
        <f>IF(VLOOKUP(CE$2,#REF!,11,FALSE)="",0,100)</f>
        <v>#REF!</v>
      </c>
      <c r="CF33" s="19" t="e">
        <f>IF(VLOOKUP(CF$2,#REF!,11,FALSE)="",0,100)</f>
        <v>#REF!</v>
      </c>
      <c r="CG33" s="19" t="e">
        <f>IF(VLOOKUP(CG$2,#REF!,11,FALSE)="",0,100)</f>
        <v>#REF!</v>
      </c>
      <c r="CH33" s="19" t="e">
        <f>IF(VLOOKUP(CH$2,#REF!,11,FALSE)="",0,100)</f>
        <v>#REF!</v>
      </c>
      <c r="CI33" s="19" t="e">
        <f>IF(VLOOKUP(CI$2,#REF!,11,FALSE)="",0,100)</f>
        <v>#REF!</v>
      </c>
      <c r="CJ33" s="19" t="e">
        <f>IF(VLOOKUP(CJ$2,#REF!,11,FALSE)="",0,100)</f>
        <v>#REF!</v>
      </c>
      <c r="CK33" s="19" t="e">
        <f>IF(VLOOKUP(CK$2,#REF!,11,FALSE)="",0,100)</f>
        <v>#REF!</v>
      </c>
      <c r="CL33" s="19" t="e">
        <f>IF(VLOOKUP(CL$2,#REF!,11,FALSE)="",0,100)</f>
        <v>#REF!</v>
      </c>
      <c r="CM33" s="19" t="e">
        <f>IF(VLOOKUP(CM$2,#REF!,11,FALSE)="",0,100)</f>
        <v>#REF!</v>
      </c>
      <c r="CN33" s="19" t="e">
        <f>IF(VLOOKUP(CN$2,#REF!,11,FALSE)="",0,100)</f>
        <v>#REF!</v>
      </c>
      <c r="CO33" s="19" t="e">
        <f>IF(VLOOKUP(CO$2,#REF!,11,FALSE)="",0,100)</f>
        <v>#REF!</v>
      </c>
      <c r="CP33" s="19" t="e">
        <f>IF(VLOOKUP(CP$2,#REF!,11,FALSE)="",0,100)</f>
        <v>#REF!</v>
      </c>
      <c r="CQ33" s="19" t="e">
        <f>IF(VLOOKUP(CQ$2,#REF!,11,FALSE)="",0,100)</f>
        <v>#REF!</v>
      </c>
      <c r="CR33" s="19" t="e">
        <f>IF(VLOOKUP(CR$2,#REF!,11,FALSE)="",0,100)</f>
        <v>#REF!</v>
      </c>
      <c r="CS33" s="19" t="e">
        <f>IF(VLOOKUP(CS$2,#REF!,11,FALSE)="",0,100)</f>
        <v>#REF!</v>
      </c>
      <c r="CT33" s="19" t="e">
        <f>IF(VLOOKUP(CT$2,#REF!,11,FALSE)="",0,100)</f>
        <v>#REF!</v>
      </c>
      <c r="CU33" s="19" t="e">
        <f>IF(VLOOKUP(CU$2,#REF!,11,FALSE)="",0,100)</f>
        <v>#REF!</v>
      </c>
      <c r="CV33" s="19" t="e">
        <f>IF(VLOOKUP(CV$2,#REF!,11,FALSE)="",0,100)</f>
        <v>#REF!</v>
      </c>
      <c r="CW33" s="19" t="e">
        <f>IF(VLOOKUP(CW$2,#REF!,11,FALSE)="",0,100)</f>
        <v>#REF!</v>
      </c>
      <c r="CX33" s="19" t="e">
        <f>IF(VLOOKUP(CX$2,#REF!,11,FALSE)="",0,100)</f>
        <v>#REF!</v>
      </c>
      <c r="CY33" s="19" t="e">
        <f>IF(VLOOKUP(CY$2,#REF!,11,FALSE)="",0,100)</f>
        <v>#REF!</v>
      </c>
      <c r="CZ33" s="19" t="e">
        <f>IF(VLOOKUP(CZ$2,#REF!,11,FALSE)="",0,100)</f>
        <v>#REF!</v>
      </c>
      <c r="DA33" s="19" t="e">
        <f>IF(VLOOKUP(DA$2,#REF!,11,FALSE)="",0,100)</f>
        <v>#REF!</v>
      </c>
      <c r="DB33" s="19" t="e">
        <f>IF(VLOOKUP(DB$2,#REF!,11,FALSE)="",0,100)</f>
        <v>#REF!</v>
      </c>
      <c r="DC33" s="19" t="e">
        <f>IF(VLOOKUP(DC$2,#REF!,11,FALSE)="",0,100)</f>
        <v>#REF!</v>
      </c>
      <c r="DD33" s="19" t="e">
        <f>IF(VLOOKUP(DD$2,#REF!,11,FALSE)="",0,100)</f>
        <v>#REF!</v>
      </c>
      <c r="DE33" s="19" t="e">
        <f>IF(VLOOKUP(DE$2,#REF!,11,FALSE)="",0,100)</f>
        <v>#REF!</v>
      </c>
      <c r="DF33" s="19" t="e">
        <f>IF(VLOOKUP(DF$2,#REF!,11,FALSE)="",0,100)</f>
        <v>#REF!</v>
      </c>
      <c r="DG33" s="19" t="e">
        <f>IF(VLOOKUP(DG$2,#REF!,11,FALSE)="",0,100)</f>
        <v>#REF!</v>
      </c>
      <c r="DH33" s="19" t="e">
        <f>IF(VLOOKUP(DH$2,#REF!,11,FALSE)="",0,100)</f>
        <v>#REF!</v>
      </c>
      <c r="DI33" s="19" t="e">
        <f>IF(VLOOKUP(DI$2,#REF!,11,FALSE)="",0,100)</f>
        <v>#REF!</v>
      </c>
      <c r="DJ33" s="19" t="e">
        <f>IF(VLOOKUP(DJ$2,#REF!,11,FALSE)="",0,100)</f>
        <v>#REF!</v>
      </c>
      <c r="DK33" s="19" t="e">
        <f>IF(VLOOKUP(DK$2,#REF!,11,FALSE)="",0,100)</f>
        <v>#REF!</v>
      </c>
      <c r="DL33" s="19" t="e">
        <f>IF(VLOOKUP(DL$2,#REF!,11,FALSE)="",0,100)</f>
        <v>#REF!</v>
      </c>
      <c r="DM33" s="19" t="e">
        <f>IF(VLOOKUP(DM$2,#REF!,11,FALSE)="",0,100)</f>
        <v>#REF!</v>
      </c>
      <c r="DN33" s="19" t="e">
        <f>IF(VLOOKUP(DN$2,#REF!,11,FALSE)="",0,100)</f>
        <v>#REF!</v>
      </c>
      <c r="DO33" s="19" t="e">
        <f>IF(VLOOKUP(DO$2,#REF!,11,FALSE)="",0,100)</f>
        <v>#REF!</v>
      </c>
      <c r="DP33" s="19" t="e">
        <f>IF(VLOOKUP(DP$2,#REF!,11,FALSE)="",0,100)</f>
        <v>#REF!</v>
      </c>
      <c r="DQ33" s="19" t="e">
        <f>IF(VLOOKUP(DQ$2,#REF!,11,FALSE)="",0,100)</f>
        <v>#REF!</v>
      </c>
      <c r="DR33" s="19" t="e">
        <f>IF(VLOOKUP(DR$2,#REF!,11,FALSE)="",0,100)</f>
        <v>#REF!</v>
      </c>
      <c r="DS33" s="19" t="e">
        <f>IF(VLOOKUP(DS$2,#REF!,11,FALSE)="",0,100)</f>
        <v>#REF!</v>
      </c>
      <c r="DT33" s="19" t="e">
        <f>IF(VLOOKUP(DT$2,#REF!,11,FALSE)="",0,100)</f>
        <v>#REF!</v>
      </c>
      <c r="DU33" s="19" t="e">
        <f>IF(VLOOKUP(DU$2,#REF!,11,FALSE)="",0,100)</f>
        <v>#REF!</v>
      </c>
      <c r="DV33" s="19" t="e">
        <f>IF(VLOOKUP(DV$2,#REF!,11,FALSE)="",0,100)</f>
        <v>#REF!</v>
      </c>
      <c r="DW33" s="19" t="e">
        <f>IF(VLOOKUP(DW$2,#REF!,11,FALSE)="",0,100)</f>
        <v>#REF!</v>
      </c>
      <c r="DX33" s="19" t="e">
        <f>IF(VLOOKUP(DX$2,#REF!,11,FALSE)="",0,100)</f>
        <v>#REF!</v>
      </c>
      <c r="DY33" s="19" t="e">
        <f>IF(VLOOKUP(DY$2,#REF!,11,FALSE)="",0,100)</f>
        <v>#REF!</v>
      </c>
      <c r="DZ33" s="19" t="e">
        <f>IF(VLOOKUP(DZ$2,#REF!,11,FALSE)="",0,100)</f>
        <v>#REF!</v>
      </c>
      <c r="EA33" s="19" t="e">
        <f>IF(VLOOKUP(EA$2,#REF!,11,FALSE)="",0,100)</f>
        <v>#REF!</v>
      </c>
      <c r="EB33" s="19" t="e">
        <f>IF(VLOOKUP(EB$2,#REF!,11,FALSE)="",0,100)</f>
        <v>#REF!</v>
      </c>
      <c r="EC33" s="19" t="e">
        <f>IF(VLOOKUP(EC$2,#REF!,11,FALSE)="",0,100)</f>
        <v>#REF!</v>
      </c>
      <c r="ED33" s="19" t="e">
        <f>IF(VLOOKUP(ED$2,#REF!,11,FALSE)="",0,100)</f>
        <v>#REF!</v>
      </c>
      <c r="EE33" s="19" t="e">
        <f>IF(VLOOKUP(EE$2,#REF!,11,FALSE)="",0,100)</f>
        <v>#REF!</v>
      </c>
      <c r="EF33" s="19" t="e">
        <f>IF(VLOOKUP(EF$2,#REF!,11,FALSE)="",0,100)</f>
        <v>#REF!</v>
      </c>
      <c r="EG33" s="19" t="e">
        <f>IF(VLOOKUP(EG$2,#REF!,11,FALSE)="",0,100)</f>
        <v>#REF!</v>
      </c>
      <c r="EH33" s="19" t="e">
        <f>IF(VLOOKUP(EH$2,#REF!,11,FALSE)="",0,100)</f>
        <v>#REF!</v>
      </c>
      <c r="EI33" s="19" t="e">
        <f>IF(VLOOKUP(EI$2,#REF!,11,FALSE)="",0,100)</f>
        <v>#REF!</v>
      </c>
      <c r="EJ33" s="19" t="e">
        <f>IF(VLOOKUP(EJ$2,#REF!,11,FALSE)="",0,100)</f>
        <v>#REF!</v>
      </c>
      <c r="EK33" s="19" t="e">
        <f>IF(VLOOKUP(EK$2,#REF!,11,FALSE)="",0,100)</f>
        <v>#REF!</v>
      </c>
      <c r="EL33" s="19" t="e">
        <f>IF(VLOOKUP(EL$2,#REF!,11,FALSE)="",0,100)</f>
        <v>#REF!</v>
      </c>
      <c r="EM33" s="19" t="e">
        <f>IF(VLOOKUP(EM$2,#REF!,11,FALSE)="",0,100)</f>
        <v>#REF!</v>
      </c>
      <c r="EN33" s="19" t="e">
        <f>IF(VLOOKUP(EN$2,#REF!,11,FALSE)="",0,100)</f>
        <v>#REF!</v>
      </c>
      <c r="EO33" s="19" t="e">
        <f>IF(VLOOKUP(EO$2,#REF!,11,FALSE)="",0,100)</f>
        <v>#REF!</v>
      </c>
      <c r="EP33" s="19" t="e">
        <f>IF(VLOOKUP(EP$2,#REF!,11,FALSE)="",0,100)</f>
        <v>#REF!</v>
      </c>
      <c r="EQ33" s="19" t="e">
        <f>IF(VLOOKUP(EQ$2,#REF!,11,FALSE)="",0,100)</f>
        <v>#REF!</v>
      </c>
      <c r="ER33" s="19" t="e">
        <f>IF(VLOOKUP(ER$2,#REF!,11,FALSE)="",0,100)</f>
        <v>#REF!</v>
      </c>
      <c r="ES33" s="19" t="e">
        <f>IF(VLOOKUP(ES$2,#REF!,11,FALSE)="",0,100)</f>
        <v>#REF!</v>
      </c>
      <c r="ET33" s="19" t="e">
        <f>IF(VLOOKUP(ET$2,#REF!,11,FALSE)="",0,100)</f>
        <v>#REF!</v>
      </c>
      <c r="EU33" s="19" t="e">
        <f>IF(VLOOKUP(EU$2,#REF!,11,FALSE)="",0,100)</f>
        <v>#REF!</v>
      </c>
      <c r="EV33" s="19" t="e">
        <f>IF(VLOOKUP(EV$2,#REF!,11,FALSE)="",0,100)</f>
        <v>#REF!</v>
      </c>
      <c r="EW33" s="19" t="e">
        <f>IF(VLOOKUP(EW$2,#REF!,11,FALSE)="",0,100)</f>
        <v>#REF!</v>
      </c>
      <c r="EX33" s="19" t="e">
        <f>IF(VLOOKUP(EX$2,#REF!,11,FALSE)="",0,100)</f>
        <v>#REF!</v>
      </c>
      <c r="EY33" s="19" t="e">
        <f>IF(VLOOKUP(EY$2,#REF!,11,FALSE)="",0,100)</f>
        <v>#REF!</v>
      </c>
      <c r="EZ33" s="19" t="e">
        <f>IF(VLOOKUP(EZ$2,#REF!,11,FALSE)="",0,100)</f>
        <v>#REF!</v>
      </c>
      <c r="FA33" s="19" t="e">
        <f>IF(VLOOKUP(FA$2,#REF!,11,FALSE)="",0,100)</f>
        <v>#REF!</v>
      </c>
      <c r="FB33" s="19" t="e">
        <f>IF(VLOOKUP(FB$2,#REF!,11,FALSE)="",0,100)</f>
        <v>#REF!</v>
      </c>
      <c r="FC33" s="19" t="e">
        <f>IF(VLOOKUP(FC$2,#REF!,11,FALSE)="",0,100)</f>
        <v>#REF!</v>
      </c>
      <c r="FD33" s="19" t="e">
        <f>IF(VLOOKUP(FD$2,#REF!,11,FALSE)="",0,100)</f>
        <v>#REF!</v>
      </c>
      <c r="FE33" s="19" t="e">
        <f>IF(VLOOKUP(FE$2,#REF!,11,FALSE)="",0,100)</f>
        <v>#REF!</v>
      </c>
      <c r="FF33" s="19" t="e">
        <f>IF(VLOOKUP(FF$2,#REF!,11,FALSE)="",0,100)</f>
        <v>#REF!</v>
      </c>
      <c r="FG33" s="19" t="e">
        <f>IF(VLOOKUP(FG$2,#REF!,11,FALSE)="",0,100)</f>
        <v>#REF!</v>
      </c>
      <c r="FH33" s="19" t="e">
        <f>IF(VLOOKUP(FH$2,#REF!,11,FALSE)="",0,100)</f>
        <v>#REF!</v>
      </c>
      <c r="FI33" s="19" t="e">
        <f>IF(VLOOKUP(FI$2,#REF!,11,FALSE)="",0,100)</f>
        <v>#REF!</v>
      </c>
      <c r="FJ33" s="19" t="e">
        <f>IF(VLOOKUP(FJ$2,#REF!,11,FALSE)="",0,100)</f>
        <v>#REF!</v>
      </c>
      <c r="FK33" s="19" t="e">
        <f>IF(VLOOKUP(FK$2,#REF!,11,FALSE)="",0,100)</f>
        <v>#REF!</v>
      </c>
      <c r="FL33" s="19" t="e">
        <f>IF(VLOOKUP(FL$2,#REF!,11,FALSE)="",0,100)</f>
        <v>#REF!</v>
      </c>
      <c r="FM33" s="19" t="e">
        <f>IF(VLOOKUP(FM$2,#REF!,11,FALSE)="",0,100)</f>
        <v>#REF!</v>
      </c>
      <c r="FN33" s="19" t="e">
        <f>IF(VLOOKUP(FN$2,#REF!,11,FALSE)="",0,100)</f>
        <v>#REF!</v>
      </c>
      <c r="FO33" s="19" t="e">
        <f>IF(VLOOKUP(FO$2,#REF!,11,FALSE)="",0,100)</f>
        <v>#REF!</v>
      </c>
      <c r="FP33" s="19" t="e">
        <f>IF(VLOOKUP(FP$2,#REF!,11,FALSE)="",0,100)</f>
        <v>#REF!</v>
      </c>
      <c r="FQ33" s="19" t="e">
        <f>IF(VLOOKUP(FQ$2,#REF!,11,FALSE)="",0,100)</f>
        <v>#REF!</v>
      </c>
      <c r="FR33" s="19" t="e">
        <f>IF(VLOOKUP(FR$2,#REF!,11,FALSE)="",0,100)</f>
        <v>#REF!</v>
      </c>
      <c r="FS33" s="19" t="e">
        <f>IF(VLOOKUP(FS$2,#REF!,11,FALSE)="",0,100)</f>
        <v>#REF!</v>
      </c>
      <c r="FT33" s="19" t="e">
        <f>IF(VLOOKUP(FT$2,#REF!,11,FALSE)="",0,100)</f>
        <v>#REF!</v>
      </c>
      <c r="FU33" s="19" t="e">
        <f>IF(VLOOKUP(FU$2,#REF!,11,FALSE)="",0,100)</f>
        <v>#REF!</v>
      </c>
      <c r="FV33" s="19" t="e">
        <f>IF(VLOOKUP(FV$2,#REF!,11,FALSE)="",0,100)</f>
        <v>#REF!</v>
      </c>
    </row>
    <row r="34" spans="1:178">
      <c r="A34" s="61" t="s">
        <v>219</v>
      </c>
      <c r="B34" s="19" t="e">
        <f>IF(VLOOKUP(B$2,#REF!,12,FALSE)="",0,100)</f>
        <v>#REF!</v>
      </c>
      <c r="C34" s="19" t="e">
        <f>IF(VLOOKUP(C$2,#REF!,12,FALSE)="",0,100)</f>
        <v>#REF!</v>
      </c>
      <c r="D34" s="19" t="e">
        <f>IF(VLOOKUP(D$2,#REF!,12,FALSE)="",0,100)</f>
        <v>#REF!</v>
      </c>
      <c r="E34" s="19" t="e">
        <f>IF(VLOOKUP(E$2,#REF!,12,FALSE)="",0,100)</f>
        <v>#REF!</v>
      </c>
      <c r="F34" s="19" t="e">
        <f>IF(VLOOKUP(F$2,#REF!,12,FALSE)="",0,100)</f>
        <v>#REF!</v>
      </c>
      <c r="G34" s="19" t="e">
        <f>IF(VLOOKUP(G$2,#REF!,12,FALSE)="",0,100)</f>
        <v>#REF!</v>
      </c>
      <c r="H34" s="19" t="e">
        <f>IF(VLOOKUP(H$2,#REF!,12,FALSE)="",0,100)</f>
        <v>#REF!</v>
      </c>
      <c r="I34" s="19" t="e">
        <f>IF(VLOOKUP(I$2,#REF!,12,FALSE)="",0,100)</f>
        <v>#REF!</v>
      </c>
      <c r="J34" s="19" t="e">
        <f>IF(VLOOKUP(J$2,#REF!,12,FALSE)="",0,100)</f>
        <v>#REF!</v>
      </c>
      <c r="K34" s="19" t="e">
        <f>IF(VLOOKUP(K$2,#REF!,12,FALSE)="",0,100)</f>
        <v>#REF!</v>
      </c>
      <c r="L34" s="19" t="e">
        <f>IF(VLOOKUP(L$2,#REF!,12,FALSE)="",0,100)</f>
        <v>#REF!</v>
      </c>
      <c r="M34" s="19" t="e">
        <f>IF(VLOOKUP(M$2,#REF!,12,FALSE)="",0,100)</f>
        <v>#REF!</v>
      </c>
      <c r="N34" s="19" t="e">
        <f>IF(VLOOKUP(N$2,#REF!,12,FALSE)="",0,100)</f>
        <v>#REF!</v>
      </c>
      <c r="O34" s="19" t="e">
        <f>IF(VLOOKUP(O$2,#REF!,12,FALSE)="",0,100)</f>
        <v>#REF!</v>
      </c>
      <c r="P34" s="19" t="e">
        <f>IF(VLOOKUP(P$2,#REF!,12,FALSE)="",0,100)</f>
        <v>#REF!</v>
      </c>
      <c r="Q34" s="19" t="e">
        <f>IF(VLOOKUP(Q$2,#REF!,12,FALSE)="",0,100)</f>
        <v>#REF!</v>
      </c>
      <c r="R34" s="19" t="e">
        <f>IF(VLOOKUP(R$2,#REF!,12,FALSE)="",0,100)</f>
        <v>#REF!</v>
      </c>
      <c r="S34" s="19" t="e">
        <f>IF(VLOOKUP(S$2,#REF!,12,FALSE)="",0,100)</f>
        <v>#REF!</v>
      </c>
      <c r="T34" s="19" t="e">
        <f>IF(VLOOKUP(T$2,#REF!,12,FALSE)="",0,100)</f>
        <v>#REF!</v>
      </c>
      <c r="U34" s="19" t="e">
        <f>IF(VLOOKUP(U$2,#REF!,12,FALSE)="",0,100)</f>
        <v>#REF!</v>
      </c>
      <c r="V34" s="19" t="e">
        <f>IF(VLOOKUP(V$2,#REF!,12,FALSE)="",0,100)</f>
        <v>#REF!</v>
      </c>
      <c r="W34" s="19" t="e">
        <f>IF(VLOOKUP(W$2,#REF!,12,FALSE)="",0,100)</f>
        <v>#REF!</v>
      </c>
      <c r="X34" s="19" t="e">
        <f>IF(VLOOKUP(X$2,#REF!,12,FALSE)="",0,100)</f>
        <v>#REF!</v>
      </c>
      <c r="Y34" s="19" t="e">
        <f>IF(VLOOKUP(Y$2,#REF!,12,FALSE)="",0,100)</f>
        <v>#REF!</v>
      </c>
      <c r="Z34" s="19" t="e">
        <f>IF(VLOOKUP(Z$2,#REF!,12,FALSE)="",0,100)</f>
        <v>#REF!</v>
      </c>
      <c r="AA34" s="19" t="e">
        <f>IF(VLOOKUP(AA$2,#REF!,12,FALSE)="",0,100)</f>
        <v>#REF!</v>
      </c>
      <c r="AB34" s="19" t="e">
        <f>IF(VLOOKUP(AB$2,#REF!,12,FALSE)="",0,100)</f>
        <v>#REF!</v>
      </c>
      <c r="AC34" s="19" t="e">
        <f>IF(VLOOKUP(AC$2,#REF!,12,FALSE)="",0,100)</f>
        <v>#REF!</v>
      </c>
      <c r="AD34" s="19" t="e">
        <f>IF(VLOOKUP(AD$2,#REF!,12,FALSE)="",0,100)</f>
        <v>#REF!</v>
      </c>
      <c r="AE34" s="19" t="e">
        <f>IF(VLOOKUP(AE$2,#REF!,12,FALSE)="",0,100)</f>
        <v>#REF!</v>
      </c>
      <c r="AF34" s="19" t="e">
        <f>IF(VLOOKUP(AF$2,#REF!,12,FALSE)="",0,100)</f>
        <v>#REF!</v>
      </c>
      <c r="AG34" s="19" t="e">
        <f>IF(VLOOKUP(AG$2,#REF!,12,FALSE)="",0,100)</f>
        <v>#REF!</v>
      </c>
      <c r="AH34" s="19" t="e">
        <f>IF(VLOOKUP(AH$2,#REF!,12,FALSE)="",0,100)</f>
        <v>#REF!</v>
      </c>
      <c r="AI34" s="19" t="e">
        <f>IF(VLOOKUP(AI$2,#REF!,12,FALSE)="",0,100)</f>
        <v>#REF!</v>
      </c>
      <c r="AJ34" s="19" t="e">
        <f>IF(VLOOKUP(AJ$2,#REF!,12,FALSE)="",0,100)</f>
        <v>#REF!</v>
      </c>
      <c r="AK34" s="19" t="e">
        <f>IF(VLOOKUP(AK$2,#REF!,12,FALSE)="",0,100)</f>
        <v>#REF!</v>
      </c>
      <c r="AL34" s="19" t="e">
        <f>IF(VLOOKUP(AL$2,#REF!,12,FALSE)="",0,100)</f>
        <v>#REF!</v>
      </c>
      <c r="AM34" s="19" t="e">
        <f>IF(VLOOKUP(AM$2,#REF!,12,FALSE)="",0,100)</f>
        <v>#REF!</v>
      </c>
      <c r="AN34" s="19" t="e">
        <f>IF(VLOOKUP(AN$2,#REF!,12,FALSE)="",0,100)</f>
        <v>#REF!</v>
      </c>
      <c r="AO34" s="19" t="e">
        <f>IF(VLOOKUP(AO$2,#REF!,12,FALSE)="",0,100)</f>
        <v>#REF!</v>
      </c>
      <c r="AP34" s="19" t="e">
        <f>IF(VLOOKUP(AP$2,#REF!,12,FALSE)="",0,100)</f>
        <v>#REF!</v>
      </c>
      <c r="AQ34" s="19" t="e">
        <f>IF(VLOOKUP(AQ$2,#REF!,12,FALSE)="",0,100)</f>
        <v>#REF!</v>
      </c>
      <c r="AR34" s="19" t="e">
        <f>IF(VLOOKUP(AR$2,#REF!,12,FALSE)="",0,100)</f>
        <v>#REF!</v>
      </c>
      <c r="AS34" s="19" t="e">
        <f>IF(VLOOKUP(AS$2,#REF!,12,FALSE)="",0,100)</f>
        <v>#REF!</v>
      </c>
      <c r="AT34" s="19" t="e">
        <f>IF(VLOOKUP(AT$2,#REF!,12,FALSE)="",0,100)</f>
        <v>#REF!</v>
      </c>
      <c r="AU34" s="19" t="e">
        <f>IF(VLOOKUP(AU$2,#REF!,12,FALSE)="",0,100)</f>
        <v>#REF!</v>
      </c>
      <c r="AV34" s="19" t="e">
        <f>IF(VLOOKUP(AV$2,#REF!,12,FALSE)="",0,100)</f>
        <v>#REF!</v>
      </c>
      <c r="AW34" s="19" t="e">
        <f>IF(VLOOKUP(AW$2,#REF!,12,FALSE)="",0,100)</f>
        <v>#REF!</v>
      </c>
      <c r="AX34" s="19" t="e">
        <f>IF(VLOOKUP(AX$2,#REF!,12,FALSE)="",0,100)</f>
        <v>#REF!</v>
      </c>
      <c r="AY34" s="19" t="e">
        <f>IF(VLOOKUP(AY$2,#REF!,12,FALSE)="",0,100)</f>
        <v>#REF!</v>
      </c>
      <c r="AZ34" s="19" t="e">
        <f>IF(VLOOKUP(AZ$2,#REF!,12,FALSE)="",0,100)</f>
        <v>#REF!</v>
      </c>
      <c r="BA34" s="19" t="e">
        <f>IF(VLOOKUP(BA$2,#REF!,12,FALSE)="",0,100)</f>
        <v>#REF!</v>
      </c>
      <c r="BB34" s="19" t="e">
        <f>IF(VLOOKUP(BB$2,#REF!,12,FALSE)="",0,100)</f>
        <v>#REF!</v>
      </c>
      <c r="BC34" s="19" t="e">
        <f>IF(VLOOKUP(BC$2,#REF!,12,FALSE)="",0,100)</f>
        <v>#REF!</v>
      </c>
      <c r="BD34" s="19" t="e">
        <f>IF(VLOOKUP(BD$2,#REF!,12,FALSE)="",0,100)</f>
        <v>#REF!</v>
      </c>
      <c r="BE34" s="19" t="e">
        <f>IF(VLOOKUP(BE$2,#REF!,12,FALSE)="",0,100)</f>
        <v>#REF!</v>
      </c>
      <c r="BF34" s="19" t="e">
        <f>IF(VLOOKUP(BF$2,#REF!,12,FALSE)="",0,100)</f>
        <v>#REF!</v>
      </c>
      <c r="BG34" s="19" t="e">
        <f>IF(VLOOKUP(BG$2,#REF!,12,FALSE)="",0,100)</f>
        <v>#REF!</v>
      </c>
      <c r="BH34" s="19" t="e">
        <f>IF(VLOOKUP(BH$2,#REF!,12,FALSE)="",0,100)</f>
        <v>#REF!</v>
      </c>
      <c r="BI34" s="19" t="e">
        <f>IF(VLOOKUP(BI$2,#REF!,12,FALSE)="",0,100)</f>
        <v>#REF!</v>
      </c>
      <c r="BJ34" s="19" t="e">
        <f>IF(VLOOKUP(BJ$2,#REF!,12,FALSE)="",0,100)</f>
        <v>#REF!</v>
      </c>
      <c r="BK34" s="19" t="e">
        <f>IF(VLOOKUP(BK$2,#REF!,12,FALSE)="",0,100)</f>
        <v>#REF!</v>
      </c>
      <c r="BL34" s="19" t="e">
        <f>IF(VLOOKUP(BL$2,#REF!,12,FALSE)="",0,100)</f>
        <v>#REF!</v>
      </c>
      <c r="BM34" s="19" t="e">
        <f>IF(VLOOKUP(BM$2,#REF!,12,FALSE)="",0,100)</f>
        <v>#REF!</v>
      </c>
      <c r="BN34" s="19" t="e">
        <f>IF(VLOOKUP(BN$2,#REF!,12,FALSE)="",0,100)</f>
        <v>#REF!</v>
      </c>
      <c r="BO34" s="19" t="e">
        <f>IF(VLOOKUP(BO$2,#REF!,12,FALSE)="",0,100)</f>
        <v>#REF!</v>
      </c>
      <c r="BP34" s="19" t="e">
        <f>IF(VLOOKUP(BP$2,#REF!,12,FALSE)="",0,100)</f>
        <v>#REF!</v>
      </c>
      <c r="BQ34" s="19" t="e">
        <f>IF(VLOOKUP(BQ$2,#REF!,12,FALSE)="",0,100)</f>
        <v>#REF!</v>
      </c>
      <c r="BR34" s="19" t="e">
        <f>IF(VLOOKUP(BR$2,#REF!,12,FALSE)="",0,100)</f>
        <v>#REF!</v>
      </c>
      <c r="BS34" s="19" t="e">
        <f>IF(VLOOKUP(BS$2,#REF!,12,FALSE)="",0,100)</f>
        <v>#REF!</v>
      </c>
      <c r="BT34" s="19" t="e">
        <f>IF(VLOOKUP(BT$2,#REF!,12,FALSE)="",0,100)</f>
        <v>#REF!</v>
      </c>
      <c r="BU34" s="19" t="e">
        <f>IF(VLOOKUP(BU$2,#REF!,12,FALSE)="",0,100)</f>
        <v>#REF!</v>
      </c>
      <c r="BV34" s="19" t="e">
        <f>IF(VLOOKUP(BV$2,#REF!,12,FALSE)="",0,100)</f>
        <v>#REF!</v>
      </c>
      <c r="BW34" s="19" t="e">
        <f>IF(VLOOKUP(BW$2,#REF!,12,FALSE)="",0,100)</f>
        <v>#REF!</v>
      </c>
      <c r="BX34" s="19" t="e">
        <f>IF(VLOOKUP(BX$2,#REF!,12,FALSE)="",0,100)</f>
        <v>#REF!</v>
      </c>
      <c r="BY34" s="19" t="e">
        <f>IF(VLOOKUP(BY$2,#REF!,12,FALSE)="",0,100)</f>
        <v>#REF!</v>
      </c>
      <c r="BZ34" s="19" t="e">
        <f>IF(VLOOKUP(BZ$2,#REF!,12,FALSE)="",0,100)</f>
        <v>#REF!</v>
      </c>
      <c r="CA34" s="19" t="e">
        <f>IF(VLOOKUP(CA$2,#REF!,12,FALSE)="",0,100)</f>
        <v>#REF!</v>
      </c>
      <c r="CB34" s="19" t="e">
        <f>IF(VLOOKUP(CB$2,#REF!,12,FALSE)="",0,100)</f>
        <v>#REF!</v>
      </c>
      <c r="CC34" s="19" t="e">
        <f>IF(VLOOKUP(CC$2,#REF!,12,FALSE)="",0,100)</f>
        <v>#REF!</v>
      </c>
      <c r="CD34" s="19" t="e">
        <f>IF(VLOOKUP(CD$2,#REF!,12,FALSE)="",0,100)</f>
        <v>#REF!</v>
      </c>
      <c r="CE34" s="19" t="e">
        <f>IF(VLOOKUP(CE$2,#REF!,12,FALSE)="",0,100)</f>
        <v>#REF!</v>
      </c>
      <c r="CF34" s="19" t="e">
        <f>IF(VLOOKUP(CF$2,#REF!,12,FALSE)="",0,100)</f>
        <v>#REF!</v>
      </c>
      <c r="CG34" s="19" t="e">
        <f>IF(VLOOKUP(CG$2,#REF!,12,FALSE)="",0,100)</f>
        <v>#REF!</v>
      </c>
      <c r="CH34" s="19" t="e">
        <f>IF(VLOOKUP(CH$2,#REF!,12,FALSE)="",0,100)</f>
        <v>#REF!</v>
      </c>
      <c r="CI34" s="19" t="e">
        <f>IF(VLOOKUP(CI$2,#REF!,12,FALSE)="",0,100)</f>
        <v>#REF!</v>
      </c>
      <c r="CJ34" s="19" t="e">
        <f>IF(VLOOKUP(CJ$2,#REF!,12,FALSE)="",0,100)</f>
        <v>#REF!</v>
      </c>
      <c r="CK34" s="19" t="e">
        <f>IF(VLOOKUP(CK$2,#REF!,12,FALSE)="",0,100)</f>
        <v>#REF!</v>
      </c>
      <c r="CL34" s="19" t="e">
        <f>IF(VLOOKUP(CL$2,#REF!,12,FALSE)="",0,100)</f>
        <v>#REF!</v>
      </c>
      <c r="CM34" s="19" t="e">
        <f>IF(VLOOKUP(CM$2,#REF!,12,FALSE)="",0,100)</f>
        <v>#REF!</v>
      </c>
      <c r="CN34" s="19" t="e">
        <f>IF(VLOOKUP(CN$2,#REF!,12,FALSE)="",0,100)</f>
        <v>#REF!</v>
      </c>
      <c r="CO34" s="19" t="e">
        <f>IF(VLOOKUP(CO$2,#REF!,12,FALSE)="",0,100)</f>
        <v>#REF!</v>
      </c>
      <c r="CP34" s="19" t="e">
        <f>IF(VLOOKUP(CP$2,#REF!,12,FALSE)="",0,100)</f>
        <v>#REF!</v>
      </c>
      <c r="CQ34" s="19" t="e">
        <f>IF(VLOOKUP(CQ$2,#REF!,12,FALSE)="",0,100)</f>
        <v>#REF!</v>
      </c>
      <c r="CR34" s="19" t="e">
        <f>IF(VLOOKUP(CR$2,#REF!,12,FALSE)="",0,100)</f>
        <v>#REF!</v>
      </c>
      <c r="CS34" s="19" t="e">
        <f>IF(VLOOKUP(CS$2,#REF!,12,FALSE)="",0,100)</f>
        <v>#REF!</v>
      </c>
      <c r="CT34" s="19" t="e">
        <f>IF(VLOOKUP(CT$2,#REF!,12,FALSE)="",0,100)</f>
        <v>#REF!</v>
      </c>
      <c r="CU34" s="19" t="e">
        <f>IF(VLOOKUP(CU$2,#REF!,12,FALSE)="",0,100)</f>
        <v>#REF!</v>
      </c>
      <c r="CV34" s="19" t="e">
        <f>IF(VLOOKUP(CV$2,#REF!,12,FALSE)="",0,100)</f>
        <v>#REF!</v>
      </c>
      <c r="CW34" s="19" t="e">
        <f>IF(VLOOKUP(CW$2,#REF!,12,FALSE)="",0,100)</f>
        <v>#REF!</v>
      </c>
      <c r="CX34" s="19" t="e">
        <f>IF(VLOOKUP(CX$2,#REF!,12,FALSE)="",0,100)</f>
        <v>#REF!</v>
      </c>
      <c r="CY34" s="19" t="e">
        <f>IF(VLOOKUP(CY$2,#REF!,12,FALSE)="",0,100)</f>
        <v>#REF!</v>
      </c>
      <c r="CZ34" s="19" t="e">
        <f>IF(VLOOKUP(CZ$2,#REF!,12,FALSE)="",0,100)</f>
        <v>#REF!</v>
      </c>
      <c r="DA34" s="19" t="e">
        <f>IF(VLOOKUP(DA$2,#REF!,12,FALSE)="",0,100)</f>
        <v>#REF!</v>
      </c>
      <c r="DB34" s="19" t="e">
        <f>IF(VLOOKUP(DB$2,#REF!,12,FALSE)="",0,100)</f>
        <v>#REF!</v>
      </c>
      <c r="DC34" s="19" t="e">
        <f>IF(VLOOKUP(DC$2,#REF!,12,FALSE)="",0,100)</f>
        <v>#REF!</v>
      </c>
      <c r="DD34" s="19" t="e">
        <f>IF(VLOOKUP(DD$2,#REF!,12,FALSE)="",0,100)</f>
        <v>#REF!</v>
      </c>
      <c r="DE34" s="19" t="e">
        <f>IF(VLOOKUP(DE$2,#REF!,12,FALSE)="",0,100)</f>
        <v>#REF!</v>
      </c>
      <c r="DF34" s="19" t="e">
        <f>IF(VLOOKUP(DF$2,#REF!,12,FALSE)="",0,100)</f>
        <v>#REF!</v>
      </c>
      <c r="DG34" s="19" t="e">
        <f>IF(VLOOKUP(DG$2,#REF!,12,FALSE)="",0,100)</f>
        <v>#REF!</v>
      </c>
      <c r="DH34" s="19" t="e">
        <f>IF(VLOOKUP(DH$2,#REF!,12,FALSE)="",0,100)</f>
        <v>#REF!</v>
      </c>
      <c r="DI34" s="19" t="e">
        <f>IF(VLOOKUP(DI$2,#REF!,12,FALSE)="",0,100)</f>
        <v>#REF!</v>
      </c>
      <c r="DJ34" s="19" t="e">
        <f>IF(VLOOKUP(DJ$2,#REF!,12,FALSE)="",0,100)</f>
        <v>#REF!</v>
      </c>
      <c r="DK34" s="19" t="e">
        <f>IF(VLOOKUP(DK$2,#REF!,12,FALSE)="",0,100)</f>
        <v>#REF!</v>
      </c>
      <c r="DL34" s="19" t="e">
        <f>IF(VLOOKUP(DL$2,#REF!,12,FALSE)="",0,100)</f>
        <v>#REF!</v>
      </c>
      <c r="DM34" s="19" t="e">
        <f>IF(VLOOKUP(DM$2,#REF!,12,FALSE)="",0,100)</f>
        <v>#REF!</v>
      </c>
      <c r="DN34" s="19" t="e">
        <f>IF(VLOOKUP(DN$2,#REF!,12,FALSE)="",0,100)</f>
        <v>#REF!</v>
      </c>
      <c r="DO34" s="19" t="e">
        <f>IF(VLOOKUP(DO$2,#REF!,12,FALSE)="",0,100)</f>
        <v>#REF!</v>
      </c>
      <c r="DP34" s="19" t="e">
        <f>IF(VLOOKUP(DP$2,#REF!,12,FALSE)="",0,100)</f>
        <v>#REF!</v>
      </c>
      <c r="DQ34" s="19" t="e">
        <f>IF(VLOOKUP(DQ$2,#REF!,12,FALSE)="",0,100)</f>
        <v>#REF!</v>
      </c>
      <c r="DR34" s="19" t="e">
        <f>IF(VLOOKUP(DR$2,#REF!,12,FALSE)="",0,100)</f>
        <v>#REF!</v>
      </c>
      <c r="DS34" s="19" t="e">
        <f>IF(VLOOKUP(DS$2,#REF!,12,FALSE)="",0,100)</f>
        <v>#REF!</v>
      </c>
      <c r="DT34" s="19" t="e">
        <f>IF(VLOOKUP(DT$2,#REF!,12,FALSE)="",0,100)</f>
        <v>#REF!</v>
      </c>
      <c r="DU34" s="19" t="e">
        <f>IF(VLOOKUP(DU$2,#REF!,12,FALSE)="",0,100)</f>
        <v>#REF!</v>
      </c>
      <c r="DV34" s="19" t="e">
        <f>IF(VLOOKUP(DV$2,#REF!,12,FALSE)="",0,100)</f>
        <v>#REF!</v>
      </c>
      <c r="DW34" s="19" t="e">
        <f>IF(VLOOKUP(DW$2,#REF!,12,FALSE)="",0,100)</f>
        <v>#REF!</v>
      </c>
      <c r="DX34" s="19" t="e">
        <f>IF(VLOOKUP(DX$2,#REF!,12,FALSE)="",0,100)</f>
        <v>#REF!</v>
      </c>
      <c r="DY34" s="19" t="e">
        <f>IF(VLOOKUP(DY$2,#REF!,12,FALSE)="",0,100)</f>
        <v>#REF!</v>
      </c>
      <c r="DZ34" s="19" t="e">
        <f>IF(VLOOKUP(DZ$2,#REF!,12,FALSE)="",0,100)</f>
        <v>#REF!</v>
      </c>
      <c r="EA34" s="19" t="e">
        <f>IF(VLOOKUP(EA$2,#REF!,12,FALSE)="",0,100)</f>
        <v>#REF!</v>
      </c>
      <c r="EB34" s="19" t="e">
        <f>IF(VLOOKUP(EB$2,#REF!,12,FALSE)="",0,100)</f>
        <v>#REF!</v>
      </c>
      <c r="EC34" s="19" t="e">
        <f>IF(VLOOKUP(EC$2,#REF!,12,FALSE)="",0,100)</f>
        <v>#REF!</v>
      </c>
      <c r="ED34" s="19" t="e">
        <f>IF(VLOOKUP(ED$2,#REF!,12,FALSE)="",0,100)</f>
        <v>#REF!</v>
      </c>
      <c r="EE34" s="19" t="e">
        <f>IF(VLOOKUP(EE$2,#REF!,12,FALSE)="",0,100)</f>
        <v>#REF!</v>
      </c>
      <c r="EF34" s="19" t="e">
        <f>IF(VLOOKUP(EF$2,#REF!,12,FALSE)="",0,100)</f>
        <v>#REF!</v>
      </c>
      <c r="EG34" s="19" t="e">
        <f>IF(VLOOKUP(EG$2,#REF!,12,FALSE)="",0,100)</f>
        <v>#REF!</v>
      </c>
      <c r="EH34" s="19" t="e">
        <f>IF(VLOOKUP(EH$2,#REF!,12,FALSE)="",0,100)</f>
        <v>#REF!</v>
      </c>
      <c r="EI34" s="19" t="e">
        <f>IF(VLOOKUP(EI$2,#REF!,12,FALSE)="",0,100)</f>
        <v>#REF!</v>
      </c>
      <c r="EJ34" s="19" t="e">
        <f>IF(VLOOKUP(EJ$2,#REF!,12,FALSE)="",0,100)</f>
        <v>#REF!</v>
      </c>
      <c r="EK34" s="19" t="e">
        <f>IF(VLOOKUP(EK$2,#REF!,12,FALSE)="",0,100)</f>
        <v>#REF!</v>
      </c>
      <c r="EL34" s="19" t="e">
        <f>IF(VLOOKUP(EL$2,#REF!,12,FALSE)="",0,100)</f>
        <v>#REF!</v>
      </c>
      <c r="EM34" s="19" t="e">
        <f>IF(VLOOKUP(EM$2,#REF!,12,FALSE)="",0,100)</f>
        <v>#REF!</v>
      </c>
      <c r="EN34" s="19" t="e">
        <f>IF(VLOOKUP(EN$2,#REF!,12,FALSE)="",0,100)</f>
        <v>#REF!</v>
      </c>
      <c r="EO34" s="19" t="e">
        <f>IF(VLOOKUP(EO$2,#REF!,12,FALSE)="",0,100)</f>
        <v>#REF!</v>
      </c>
      <c r="EP34" s="19" t="e">
        <f>IF(VLOOKUP(EP$2,#REF!,12,FALSE)="",0,100)</f>
        <v>#REF!</v>
      </c>
      <c r="EQ34" s="19" t="e">
        <f>IF(VLOOKUP(EQ$2,#REF!,12,FALSE)="",0,100)</f>
        <v>#REF!</v>
      </c>
      <c r="ER34" s="19" t="e">
        <f>IF(VLOOKUP(ER$2,#REF!,12,FALSE)="",0,100)</f>
        <v>#REF!</v>
      </c>
      <c r="ES34" s="19" t="e">
        <f>IF(VLOOKUP(ES$2,#REF!,12,FALSE)="",0,100)</f>
        <v>#REF!</v>
      </c>
      <c r="ET34" s="19" t="e">
        <f>IF(VLOOKUP(ET$2,#REF!,12,FALSE)="",0,100)</f>
        <v>#REF!</v>
      </c>
      <c r="EU34" s="19" t="e">
        <f>IF(VLOOKUP(EU$2,#REF!,12,FALSE)="",0,100)</f>
        <v>#REF!</v>
      </c>
      <c r="EV34" s="19" t="e">
        <f>IF(VLOOKUP(EV$2,#REF!,12,FALSE)="",0,100)</f>
        <v>#REF!</v>
      </c>
      <c r="EW34" s="19" t="e">
        <f>IF(VLOOKUP(EW$2,#REF!,12,FALSE)="",0,100)</f>
        <v>#REF!</v>
      </c>
      <c r="EX34" s="19" t="e">
        <f>IF(VLOOKUP(EX$2,#REF!,12,FALSE)="",0,100)</f>
        <v>#REF!</v>
      </c>
      <c r="EY34" s="19" t="e">
        <f>IF(VLOOKUP(EY$2,#REF!,12,FALSE)="",0,100)</f>
        <v>#REF!</v>
      </c>
      <c r="EZ34" s="19" t="e">
        <f>IF(VLOOKUP(EZ$2,#REF!,12,FALSE)="",0,100)</f>
        <v>#REF!</v>
      </c>
      <c r="FA34" s="19" t="e">
        <f>IF(VLOOKUP(FA$2,#REF!,12,FALSE)="",0,100)</f>
        <v>#REF!</v>
      </c>
      <c r="FB34" s="19" t="e">
        <f>IF(VLOOKUP(FB$2,#REF!,12,FALSE)="",0,100)</f>
        <v>#REF!</v>
      </c>
      <c r="FC34" s="19" t="e">
        <f>IF(VLOOKUP(FC$2,#REF!,12,FALSE)="",0,100)</f>
        <v>#REF!</v>
      </c>
      <c r="FD34" s="19" t="e">
        <f>IF(VLOOKUP(FD$2,#REF!,12,FALSE)="",0,100)</f>
        <v>#REF!</v>
      </c>
      <c r="FE34" s="19" t="e">
        <f>IF(VLOOKUP(FE$2,#REF!,12,FALSE)="",0,100)</f>
        <v>#REF!</v>
      </c>
      <c r="FF34" s="19" t="e">
        <f>IF(VLOOKUP(FF$2,#REF!,12,FALSE)="",0,100)</f>
        <v>#REF!</v>
      </c>
      <c r="FG34" s="19" t="e">
        <f>IF(VLOOKUP(FG$2,#REF!,12,FALSE)="",0,100)</f>
        <v>#REF!</v>
      </c>
      <c r="FH34" s="19" t="e">
        <f>IF(VLOOKUP(FH$2,#REF!,12,FALSE)="",0,100)</f>
        <v>#REF!</v>
      </c>
      <c r="FI34" s="19" t="e">
        <f>IF(VLOOKUP(FI$2,#REF!,12,FALSE)="",0,100)</f>
        <v>#REF!</v>
      </c>
      <c r="FJ34" s="19" t="e">
        <f>IF(VLOOKUP(FJ$2,#REF!,12,FALSE)="",0,100)</f>
        <v>#REF!</v>
      </c>
      <c r="FK34" s="19" t="e">
        <f>IF(VLOOKUP(FK$2,#REF!,12,FALSE)="",0,100)</f>
        <v>#REF!</v>
      </c>
      <c r="FL34" s="19" t="e">
        <f>IF(VLOOKUP(FL$2,#REF!,12,FALSE)="",0,100)</f>
        <v>#REF!</v>
      </c>
      <c r="FM34" s="19" t="e">
        <f>IF(VLOOKUP(FM$2,#REF!,12,FALSE)="",0,100)</f>
        <v>#REF!</v>
      </c>
      <c r="FN34" s="19" t="e">
        <f>IF(VLOOKUP(FN$2,#REF!,12,FALSE)="",0,100)</f>
        <v>#REF!</v>
      </c>
      <c r="FO34" s="19" t="e">
        <f>IF(VLOOKUP(FO$2,#REF!,12,FALSE)="",0,100)</f>
        <v>#REF!</v>
      </c>
      <c r="FP34" s="19" t="e">
        <f>IF(VLOOKUP(FP$2,#REF!,12,FALSE)="",0,100)</f>
        <v>#REF!</v>
      </c>
      <c r="FQ34" s="19" t="e">
        <f>IF(VLOOKUP(FQ$2,#REF!,12,FALSE)="",0,100)</f>
        <v>#REF!</v>
      </c>
      <c r="FR34" s="19" t="e">
        <f>IF(VLOOKUP(FR$2,#REF!,12,FALSE)="",0,100)</f>
        <v>#REF!</v>
      </c>
      <c r="FS34" s="19" t="e">
        <f>IF(VLOOKUP(FS$2,#REF!,12,FALSE)="",0,100)</f>
        <v>#REF!</v>
      </c>
      <c r="FT34" s="19" t="e">
        <f>IF(VLOOKUP(FT$2,#REF!,12,FALSE)="",0,100)</f>
        <v>#REF!</v>
      </c>
      <c r="FU34" s="19" t="e">
        <f>IF(VLOOKUP(FU$2,#REF!,12,FALSE)="",0,100)</f>
        <v>#REF!</v>
      </c>
      <c r="FV34" s="19" t="e">
        <f>IF(VLOOKUP(FV$2,#REF!,12,FALSE)="",0,100)</f>
        <v>#REF!</v>
      </c>
    </row>
    <row r="35" spans="1:178">
      <c r="A35" s="61" t="s">
        <v>223</v>
      </c>
      <c r="B35" s="19" t="e">
        <f>IF(VLOOKUP(B$2,#REF!,13,FALSE)="",0,100)</f>
        <v>#REF!</v>
      </c>
      <c r="C35" s="19" t="e">
        <f>IF(VLOOKUP(C$2,#REF!,13,FALSE)="",0,100)</f>
        <v>#REF!</v>
      </c>
      <c r="D35" s="19" t="e">
        <f>IF(VLOOKUP(D$2,#REF!,13,FALSE)="",0,100)</f>
        <v>#REF!</v>
      </c>
      <c r="E35" s="19" t="e">
        <f>IF(VLOOKUP(E$2,#REF!,13,FALSE)="",0,100)</f>
        <v>#REF!</v>
      </c>
      <c r="F35" s="19" t="e">
        <f>IF(VLOOKUP(F$2,#REF!,13,FALSE)="",0,100)</f>
        <v>#REF!</v>
      </c>
      <c r="G35" s="19" t="e">
        <f>IF(VLOOKUP(G$2,#REF!,13,FALSE)="",0,100)</f>
        <v>#REF!</v>
      </c>
      <c r="H35" s="19" t="e">
        <f>IF(VLOOKUP(H$2,#REF!,13,FALSE)="",0,100)</f>
        <v>#REF!</v>
      </c>
      <c r="I35" s="19" t="e">
        <f>IF(VLOOKUP(I$2,#REF!,13,FALSE)="",0,100)</f>
        <v>#REF!</v>
      </c>
      <c r="J35" s="19" t="e">
        <f>IF(VLOOKUP(J$2,#REF!,13,FALSE)="",0,100)</f>
        <v>#REF!</v>
      </c>
      <c r="K35" s="19" t="e">
        <f>IF(VLOOKUP(K$2,#REF!,13,FALSE)="",0,100)</f>
        <v>#REF!</v>
      </c>
      <c r="L35" s="19" t="e">
        <f>IF(VLOOKUP(L$2,#REF!,13,FALSE)="",0,100)</f>
        <v>#REF!</v>
      </c>
      <c r="M35" s="19" t="e">
        <f>IF(VLOOKUP(M$2,#REF!,13,FALSE)="",0,100)</f>
        <v>#REF!</v>
      </c>
      <c r="N35" s="19" t="e">
        <f>IF(VLOOKUP(N$2,#REF!,13,FALSE)="",0,100)</f>
        <v>#REF!</v>
      </c>
      <c r="O35" s="19" t="e">
        <f>IF(VLOOKUP(O$2,#REF!,13,FALSE)="",0,100)</f>
        <v>#REF!</v>
      </c>
      <c r="P35" s="19" t="e">
        <f>IF(VLOOKUP(P$2,#REF!,13,FALSE)="",0,100)</f>
        <v>#REF!</v>
      </c>
      <c r="Q35" s="19" t="e">
        <f>IF(VLOOKUP(Q$2,#REF!,13,FALSE)="",0,100)</f>
        <v>#REF!</v>
      </c>
      <c r="R35" s="19" t="e">
        <f>IF(VLOOKUP(R$2,#REF!,13,FALSE)="",0,100)</f>
        <v>#REF!</v>
      </c>
      <c r="S35" s="19" t="e">
        <f>IF(VLOOKUP(S$2,#REF!,13,FALSE)="",0,100)</f>
        <v>#REF!</v>
      </c>
      <c r="T35" s="19" t="e">
        <f>IF(VLOOKUP(T$2,#REF!,13,FALSE)="",0,100)</f>
        <v>#REF!</v>
      </c>
      <c r="U35" s="19" t="e">
        <f>IF(VLOOKUP(U$2,#REF!,13,FALSE)="",0,100)</f>
        <v>#REF!</v>
      </c>
      <c r="V35" s="19" t="e">
        <f>IF(VLOOKUP(V$2,#REF!,13,FALSE)="",0,100)</f>
        <v>#REF!</v>
      </c>
      <c r="W35" s="19" t="e">
        <f>IF(VLOOKUP(W$2,#REF!,13,FALSE)="",0,100)</f>
        <v>#REF!</v>
      </c>
      <c r="X35" s="19" t="e">
        <f>IF(VLOOKUP(X$2,#REF!,13,FALSE)="",0,100)</f>
        <v>#REF!</v>
      </c>
      <c r="Y35" s="19" t="e">
        <f>IF(VLOOKUP(Y$2,#REF!,13,FALSE)="",0,100)</f>
        <v>#REF!</v>
      </c>
      <c r="Z35" s="19" t="e">
        <f>IF(VLOOKUP(Z$2,#REF!,13,FALSE)="",0,100)</f>
        <v>#REF!</v>
      </c>
      <c r="AA35" s="19" t="e">
        <f>IF(VLOOKUP(AA$2,#REF!,13,FALSE)="",0,100)</f>
        <v>#REF!</v>
      </c>
      <c r="AB35" s="19" t="e">
        <f>IF(VLOOKUP(AB$2,#REF!,13,FALSE)="",0,100)</f>
        <v>#REF!</v>
      </c>
      <c r="AC35" s="19" t="e">
        <f>IF(VLOOKUP(AC$2,#REF!,13,FALSE)="",0,100)</f>
        <v>#REF!</v>
      </c>
      <c r="AD35" s="19" t="e">
        <f>IF(VLOOKUP(AD$2,#REF!,13,FALSE)="",0,100)</f>
        <v>#REF!</v>
      </c>
      <c r="AE35" s="19" t="e">
        <f>IF(VLOOKUP(AE$2,#REF!,13,FALSE)="",0,100)</f>
        <v>#REF!</v>
      </c>
      <c r="AF35" s="19" t="e">
        <f>IF(VLOOKUP(AF$2,#REF!,13,FALSE)="",0,100)</f>
        <v>#REF!</v>
      </c>
      <c r="AG35" s="19" t="e">
        <f>IF(VLOOKUP(AG$2,#REF!,13,FALSE)="",0,100)</f>
        <v>#REF!</v>
      </c>
      <c r="AH35" s="19" t="e">
        <f>IF(VLOOKUP(AH$2,#REF!,13,FALSE)="",0,100)</f>
        <v>#REF!</v>
      </c>
      <c r="AI35" s="19" t="e">
        <f>IF(VLOOKUP(AI$2,#REF!,13,FALSE)="",0,100)</f>
        <v>#REF!</v>
      </c>
      <c r="AJ35" s="19" t="e">
        <f>IF(VLOOKUP(AJ$2,#REF!,13,FALSE)="",0,100)</f>
        <v>#REF!</v>
      </c>
      <c r="AK35" s="19" t="e">
        <f>IF(VLOOKUP(AK$2,#REF!,13,FALSE)="",0,100)</f>
        <v>#REF!</v>
      </c>
      <c r="AL35" s="19" t="e">
        <f>IF(VLOOKUP(AL$2,#REF!,13,FALSE)="",0,100)</f>
        <v>#REF!</v>
      </c>
      <c r="AM35" s="19" t="e">
        <f>IF(VLOOKUP(AM$2,#REF!,13,FALSE)="",0,100)</f>
        <v>#REF!</v>
      </c>
      <c r="AN35" s="19" t="e">
        <f>IF(VLOOKUP(AN$2,#REF!,13,FALSE)="",0,100)</f>
        <v>#REF!</v>
      </c>
      <c r="AO35" s="19" t="e">
        <f>IF(VLOOKUP(AO$2,#REF!,13,FALSE)="",0,100)</f>
        <v>#REF!</v>
      </c>
      <c r="AP35" s="19" t="e">
        <f>IF(VLOOKUP(AP$2,#REF!,13,FALSE)="",0,100)</f>
        <v>#REF!</v>
      </c>
      <c r="AQ35" s="19" t="e">
        <f>IF(VLOOKUP(AQ$2,#REF!,13,FALSE)="",0,100)</f>
        <v>#REF!</v>
      </c>
      <c r="AR35" s="19" t="e">
        <f>IF(VLOOKUP(AR$2,#REF!,13,FALSE)="",0,100)</f>
        <v>#REF!</v>
      </c>
      <c r="AS35" s="19" t="e">
        <f>IF(VLOOKUP(AS$2,#REF!,13,FALSE)="",0,100)</f>
        <v>#REF!</v>
      </c>
      <c r="AT35" s="19" t="e">
        <f>IF(VLOOKUP(AT$2,#REF!,13,FALSE)="",0,100)</f>
        <v>#REF!</v>
      </c>
      <c r="AU35" s="19" t="e">
        <f>IF(VLOOKUP(AU$2,#REF!,13,FALSE)="",0,100)</f>
        <v>#REF!</v>
      </c>
      <c r="AV35" s="19" t="e">
        <f>IF(VLOOKUP(AV$2,#REF!,13,FALSE)="",0,100)</f>
        <v>#REF!</v>
      </c>
      <c r="AW35" s="19" t="e">
        <f>IF(VLOOKUP(AW$2,#REF!,13,FALSE)="",0,100)</f>
        <v>#REF!</v>
      </c>
      <c r="AX35" s="19" t="e">
        <f>IF(VLOOKUP(AX$2,#REF!,13,FALSE)="",0,100)</f>
        <v>#REF!</v>
      </c>
      <c r="AY35" s="19" t="e">
        <f>IF(VLOOKUP(AY$2,#REF!,13,FALSE)="",0,100)</f>
        <v>#REF!</v>
      </c>
      <c r="AZ35" s="19" t="e">
        <f>IF(VLOOKUP(AZ$2,#REF!,13,FALSE)="",0,100)</f>
        <v>#REF!</v>
      </c>
      <c r="BA35" s="19" t="e">
        <f>IF(VLOOKUP(BA$2,#REF!,13,FALSE)="",0,100)</f>
        <v>#REF!</v>
      </c>
      <c r="BB35" s="19" t="e">
        <f>IF(VLOOKUP(BB$2,#REF!,13,FALSE)="",0,100)</f>
        <v>#REF!</v>
      </c>
      <c r="BC35" s="19" t="e">
        <f>IF(VLOOKUP(BC$2,#REF!,13,FALSE)="",0,100)</f>
        <v>#REF!</v>
      </c>
      <c r="BD35" s="19" t="e">
        <f>IF(VLOOKUP(BD$2,#REF!,13,FALSE)="",0,100)</f>
        <v>#REF!</v>
      </c>
      <c r="BE35" s="19" t="e">
        <f>IF(VLOOKUP(BE$2,#REF!,13,FALSE)="",0,100)</f>
        <v>#REF!</v>
      </c>
      <c r="BF35" s="19" t="e">
        <f>IF(VLOOKUP(BF$2,#REF!,13,FALSE)="",0,100)</f>
        <v>#REF!</v>
      </c>
      <c r="BG35" s="19" t="e">
        <f>IF(VLOOKUP(BG$2,#REF!,13,FALSE)="",0,100)</f>
        <v>#REF!</v>
      </c>
      <c r="BH35" s="19" t="e">
        <f>IF(VLOOKUP(BH$2,#REF!,13,FALSE)="",0,100)</f>
        <v>#REF!</v>
      </c>
      <c r="BI35" s="19" t="e">
        <f>IF(VLOOKUP(BI$2,#REF!,13,FALSE)="",0,100)</f>
        <v>#REF!</v>
      </c>
      <c r="BJ35" s="19" t="e">
        <f>IF(VLOOKUP(BJ$2,#REF!,13,FALSE)="",0,100)</f>
        <v>#REF!</v>
      </c>
      <c r="BK35" s="19" t="e">
        <f>IF(VLOOKUP(BK$2,#REF!,13,FALSE)="",0,100)</f>
        <v>#REF!</v>
      </c>
      <c r="BL35" s="19" t="e">
        <f>IF(VLOOKUP(BL$2,#REF!,13,FALSE)="",0,100)</f>
        <v>#REF!</v>
      </c>
      <c r="BM35" s="19" t="e">
        <f>IF(VLOOKUP(BM$2,#REF!,13,FALSE)="",0,100)</f>
        <v>#REF!</v>
      </c>
      <c r="BN35" s="19" t="e">
        <f>IF(VLOOKUP(BN$2,#REF!,13,FALSE)="",0,100)</f>
        <v>#REF!</v>
      </c>
      <c r="BO35" s="19" t="e">
        <f>IF(VLOOKUP(BO$2,#REF!,13,FALSE)="",0,100)</f>
        <v>#REF!</v>
      </c>
      <c r="BP35" s="19" t="e">
        <f>IF(VLOOKUP(BP$2,#REF!,13,FALSE)="",0,100)</f>
        <v>#REF!</v>
      </c>
      <c r="BQ35" s="19" t="e">
        <f>IF(VLOOKUP(BQ$2,#REF!,13,FALSE)="",0,100)</f>
        <v>#REF!</v>
      </c>
      <c r="BR35" s="19" t="e">
        <f>IF(VLOOKUP(BR$2,#REF!,13,FALSE)="",0,100)</f>
        <v>#REF!</v>
      </c>
      <c r="BS35" s="19" t="e">
        <f>IF(VLOOKUP(BS$2,#REF!,13,FALSE)="",0,100)</f>
        <v>#REF!</v>
      </c>
      <c r="BT35" s="19" t="e">
        <f>IF(VLOOKUP(BT$2,#REF!,13,FALSE)="",0,100)</f>
        <v>#REF!</v>
      </c>
      <c r="BU35" s="19" t="e">
        <f>IF(VLOOKUP(BU$2,#REF!,13,FALSE)="",0,100)</f>
        <v>#REF!</v>
      </c>
      <c r="BV35" s="19" t="e">
        <f>IF(VLOOKUP(BV$2,#REF!,13,FALSE)="",0,100)</f>
        <v>#REF!</v>
      </c>
      <c r="BW35" s="19" t="e">
        <f>IF(VLOOKUP(BW$2,#REF!,13,FALSE)="",0,100)</f>
        <v>#REF!</v>
      </c>
      <c r="BX35" s="19" t="e">
        <f>IF(VLOOKUP(BX$2,#REF!,13,FALSE)="",0,100)</f>
        <v>#REF!</v>
      </c>
      <c r="BY35" s="19" t="e">
        <f>IF(VLOOKUP(BY$2,#REF!,13,FALSE)="",0,100)</f>
        <v>#REF!</v>
      </c>
      <c r="BZ35" s="19" t="e">
        <f>IF(VLOOKUP(BZ$2,#REF!,13,FALSE)="",0,100)</f>
        <v>#REF!</v>
      </c>
      <c r="CA35" s="19" t="e">
        <f>IF(VLOOKUP(CA$2,#REF!,13,FALSE)="",0,100)</f>
        <v>#REF!</v>
      </c>
      <c r="CB35" s="19" t="e">
        <f>IF(VLOOKUP(CB$2,#REF!,13,FALSE)="",0,100)</f>
        <v>#REF!</v>
      </c>
      <c r="CC35" s="19" t="e">
        <f>IF(VLOOKUP(CC$2,#REF!,13,FALSE)="",0,100)</f>
        <v>#REF!</v>
      </c>
      <c r="CD35" s="19" t="e">
        <f>IF(VLOOKUP(CD$2,#REF!,13,FALSE)="",0,100)</f>
        <v>#REF!</v>
      </c>
      <c r="CE35" s="19" t="e">
        <f>IF(VLOOKUP(CE$2,#REF!,13,FALSE)="",0,100)</f>
        <v>#REF!</v>
      </c>
      <c r="CF35" s="19" t="e">
        <f>IF(VLOOKUP(CF$2,#REF!,13,FALSE)="",0,100)</f>
        <v>#REF!</v>
      </c>
      <c r="CG35" s="19" t="e">
        <f>IF(VLOOKUP(CG$2,#REF!,13,FALSE)="",0,100)</f>
        <v>#REF!</v>
      </c>
      <c r="CH35" s="19" t="e">
        <f>IF(VLOOKUP(CH$2,#REF!,13,FALSE)="",0,100)</f>
        <v>#REF!</v>
      </c>
      <c r="CI35" s="19" t="e">
        <f>IF(VLOOKUP(CI$2,#REF!,13,FALSE)="",0,100)</f>
        <v>#REF!</v>
      </c>
      <c r="CJ35" s="19" t="e">
        <f>IF(VLOOKUP(CJ$2,#REF!,13,FALSE)="",0,100)</f>
        <v>#REF!</v>
      </c>
      <c r="CK35" s="19" t="e">
        <f>IF(VLOOKUP(CK$2,#REF!,13,FALSE)="",0,100)</f>
        <v>#REF!</v>
      </c>
      <c r="CL35" s="19" t="e">
        <f>IF(VLOOKUP(CL$2,#REF!,13,FALSE)="",0,100)</f>
        <v>#REF!</v>
      </c>
      <c r="CM35" s="19" t="e">
        <f>IF(VLOOKUP(CM$2,#REF!,13,FALSE)="",0,100)</f>
        <v>#REF!</v>
      </c>
      <c r="CN35" s="19" t="e">
        <f>IF(VLOOKUP(CN$2,#REF!,13,FALSE)="",0,100)</f>
        <v>#REF!</v>
      </c>
      <c r="CO35" s="19" t="e">
        <f>IF(VLOOKUP(CO$2,#REF!,13,FALSE)="",0,100)</f>
        <v>#REF!</v>
      </c>
      <c r="CP35" s="19" t="e">
        <f>IF(VLOOKUP(CP$2,#REF!,13,FALSE)="",0,100)</f>
        <v>#REF!</v>
      </c>
      <c r="CQ35" s="19" t="e">
        <f>IF(VLOOKUP(CQ$2,#REF!,13,FALSE)="",0,100)</f>
        <v>#REF!</v>
      </c>
      <c r="CR35" s="19" t="e">
        <f>IF(VLOOKUP(CR$2,#REF!,13,FALSE)="",0,100)</f>
        <v>#REF!</v>
      </c>
      <c r="CS35" s="19" t="e">
        <f>IF(VLOOKUP(CS$2,#REF!,13,FALSE)="",0,100)</f>
        <v>#REF!</v>
      </c>
      <c r="CT35" s="19" t="e">
        <f>IF(VLOOKUP(CT$2,#REF!,13,FALSE)="",0,100)</f>
        <v>#REF!</v>
      </c>
      <c r="CU35" s="19" t="e">
        <f>IF(VLOOKUP(CU$2,#REF!,13,FALSE)="",0,100)</f>
        <v>#REF!</v>
      </c>
      <c r="CV35" s="19" t="e">
        <f>IF(VLOOKUP(CV$2,#REF!,13,FALSE)="",0,100)</f>
        <v>#REF!</v>
      </c>
      <c r="CW35" s="19" t="e">
        <f>IF(VLOOKUP(CW$2,#REF!,13,FALSE)="",0,100)</f>
        <v>#REF!</v>
      </c>
      <c r="CX35" s="19" t="e">
        <f>IF(VLOOKUP(CX$2,#REF!,13,FALSE)="",0,100)</f>
        <v>#REF!</v>
      </c>
      <c r="CY35" s="19" t="e">
        <f>IF(VLOOKUP(CY$2,#REF!,13,FALSE)="",0,100)</f>
        <v>#REF!</v>
      </c>
      <c r="CZ35" s="19" t="e">
        <f>IF(VLOOKUP(CZ$2,#REF!,13,FALSE)="",0,100)</f>
        <v>#REF!</v>
      </c>
      <c r="DA35" s="19" t="e">
        <f>IF(VLOOKUP(DA$2,#REF!,13,FALSE)="",0,100)</f>
        <v>#REF!</v>
      </c>
      <c r="DB35" s="19" t="e">
        <f>IF(VLOOKUP(DB$2,#REF!,13,FALSE)="",0,100)</f>
        <v>#REF!</v>
      </c>
      <c r="DC35" s="19" t="e">
        <f>IF(VLOOKUP(DC$2,#REF!,13,FALSE)="",0,100)</f>
        <v>#REF!</v>
      </c>
      <c r="DD35" s="19" t="e">
        <f>IF(VLOOKUP(DD$2,#REF!,13,FALSE)="",0,100)</f>
        <v>#REF!</v>
      </c>
      <c r="DE35" s="19" t="e">
        <f>IF(VLOOKUP(DE$2,#REF!,13,FALSE)="",0,100)</f>
        <v>#REF!</v>
      </c>
      <c r="DF35" s="19" t="e">
        <f>IF(VLOOKUP(DF$2,#REF!,13,FALSE)="",0,100)</f>
        <v>#REF!</v>
      </c>
      <c r="DG35" s="19" t="e">
        <f>IF(VLOOKUP(DG$2,#REF!,13,FALSE)="",0,100)</f>
        <v>#REF!</v>
      </c>
      <c r="DH35" s="19" t="e">
        <f>IF(VLOOKUP(DH$2,#REF!,13,FALSE)="",0,100)</f>
        <v>#REF!</v>
      </c>
      <c r="DI35" s="19" t="e">
        <f>IF(VLOOKUP(DI$2,#REF!,13,FALSE)="",0,100)</f>
        <v>#REF!</v>
      </c>
      <c r="DJ35" s="19" t="e">
        <f>IF(VLOOKUP(DJ$2,#REF!,13,FALSE)="",0,100)</f>
        <v>#REF!</v>
      </c>
      <c r="DK35" s="19" t="e">
        <f>IF(VLOOKUP(DK$2,#REF!,13,FALSE)="",0,100)</f>
        <v>#REF!</v>
      </c>
      <c r="DL35" s="19" t="e">
        <f>IF(VLOOKUP(DL$2,#REF!,13,FALSE)="",0,100)</f>
        <v>#REF!</v>
      </c>
      <c r="DM35" s="19" t="e">
        <f>IF(VLOOKUP(DM$2,#REF!,13,FALSE)="",0,100)</f>
        <v>#REF!</v>
      </c>
      <c r="DN35" s="19" t="e">
        <f>IF(VLOOKUP(DN$2,#REF!,13,FALSE)="",0,100)</f>
        <v>#REF!</v>
      </c>
      <c r="DO35" s="19" t="e">
        <f>IF(VLOOKUP(DO$2,#REF!,13,FALSE)="",0,100)</f>
        <v>#REF!</v>
      </c>
      <c r="DP35" s="19" t="e">
        <f>IF(VLOOKUP(DP$2,#REF!,13,FALSE)="",0,100)</f>
        <v>#REF!</v>
      </c>
      <c r="DQ35" s="19" t="e">
        <f>IF(VLOOKUP(DQ$2,#REF!,13,FALSE)="",0,100)</f>
        <v>#REF!</v>
      </c>
      <c r="DR35" s="19" t="e">
        <f>IF(VLOOKUP(DR$2,#REF!,13,FALSE)="",0,100)</f>
        <v>#REF!</v>
      </c>
      <c r="DS35" s="19" t="e">
        <f>IF(VLOOKUP(DS$2,#REF!,13,FALSE)="",0,100)</f>
        <v>#REF!</v>
      </c>
      <c r="DT35" s="19" t="e">
        <f>IF(VLOOKUP(DT$2,#REF!,13,FALSE)="",0,100)</f>
        <v>#REF!</v>
      </c>
      <c r="DU35" s="19" t="e">
        <f>IF(VLOOKUP(DU$2,#REF!,13,FALSE)="",0,100)</f>
        <v>#REF!</v>
      </c>
      <c r="DV35" s="19" t="e">
        <f>IF(VLOOKUP(DV$2,#REF!,13,FALSE)="",0,100)</f>
        <v>#REF!</v>
      </c>
      <c r="DW35" s="19" t="e">
        <f>IF(VLOOKUP(DW$2,#REF!,13,FALSE)="",0,100)</f>
        <v>#REF!</v>
      </c>
      <c r="DX35" s="19" t="e">
        <f>IF(VLOOKUP(DX$2,#REF!,13,FALSE)="",0,100)</f>
        <v>#REF!</v>
      </c>
      <c r="DY35" s="19" t="e">
        <f>IF(VLOOKUP(DY$2,#REF!,13,FALSE)="",0,100)</f>
        <v>#REF!</v>
      </c>
      <c r="DZ35" s="19" t="e">
        <f>IF(VLOOKUP(DZ$2,#REF!,13,FALSE)="",0,100)</f>
        <v>#REF!</v>
      </c>
      <c r="EA35" s="19" t="e">
        <f>IF(VLOOKUP(EA$2,#REF!,13,FALSE)="",0,100)</f>
        <v>#REF!</v>
      </c>
      <c r="EB35" s="19" t="e">
        <f>IF(VLOOKUP(EB$2,#REF!,13,FALSE)="",0,100)</f>
        <v>#REF!</v>
      </c>
      <c r="EC35" s="19" t="e">
        <f>IF(VLOOKUP(EC$2,#REF!,13,FALSE)="",0,100)</f>
        <v>#REF!</v>
      </c>
      <c r="ED35" s="19" t="e">
        <f>IF(VLOOKUP(ED$2,#REF!,13,FALSE)="",0,100)</f>
        <v>#REF!</v>
      </c>
      <c r="EE35" s="19" t="e">
        <f>IF(VLOOKUP(EE$2,#REF!,13,FALSE)="",0,100)</f>
        <v>#REF!</v>
      </c>
      <c r="EF35" s="19" t="e">
        <f>IF(VLOOKUP(EF$2,#REF!,13,FALSE)="",0,100)</f>
        <v>#REF!</v>
      </c>
      <c r="EG35" s="19" t="e">
        <f>IF(VLOOKUP(EG$2,#REF!,13,FALSE)="",0,100)</f>
        <v>#REF!</v>
      </c>
      <c r="EH35" s="19" t="e">
        <f>IF(VLOOKUP(EH$2,#REF!,13,FALSE)="",0,100)</f>
        <v>#REF!</v>
      </c>
      <c r="EI35" s="19" t="e">
        <f>IF(VLOOKUP(EI$2,#REF!,13,FALSE)="",0,100)</f>
        <v>#REF!</v>
      </c>
      <c r="EJ35" s="19" t="e">
        <f>IF(VLOOKUP(EJ$2,#REF!,13,FALSE)="",0,100)</f>
        <v>#REF!</v>
      </c>
      <c r="EK35" s="19" t="e">
        <f>IF(VLOOKUP(EK$2,#REF!,13,FALSE)="",0,100)</f>
        <v>#REF!</v>
      </c>
      <c r="EL35" s="19" t="e">
        <f>IF(VLOOKUP(EL$2,#REF!,13,FALSE)="",0,100)</f>
        <v>#REF!</v>
      </c>
      <c r="EM35" s="19" t="e">
        <f>IF(VLOOKUP(EM$2,#REF!,13,FALSE)="",0,100)</f>
        <v>#REF!</v>
      </c>
      <c r="EN35" s="19" t="e">
        <f>IF(VLOOKUP(EN$2,#REF!,13,FALSE)="",0,100)</f>
        <v>#REF!</v>
      </c>
      <c r="EO35" s="19" t="e">
        <f>IF(VLOOKUP(EO$2,#REF!,13,FALSE)="",0,100)</f>
        <v>#REF!</v>
      </c>
      <c r="EP35" s="19" t="e">
        <f>IF(VLOOKUP(EP$2,#REF!,13,FALSE)="",0,100)</f>
        <v>#REF!</v>
      </c>
      <c r="EQ35" s="19" t="e">
        <f>IF(VLOOKUP(EQ$2,#REF!,13,FALSE)="",0,100)</f>
        <v>#REF!</v>
      </c>
      <c r="ER35" s="19" t="e">
        <f>IF(VLOOKUP(ER$2,#REF!,13,FALSE)="",0,100)</f>
        <v>#REF!</v>
      </c>
      <c r="ES35" s="19" t="e">
        <f>IF(VLOOKUP(ES$2,#REF!,13,FALSE)="",0,100)</f>
        <v>#REF!</v>
      </c>
      <c r="ET35" s="19" t="e">
        <f>IF(VLOOKUP(ET$2,#REF!,13,FALSE)="",0,100)</f>
        <v>#REF!</v>
      </c>
      <c r="EU35" s="19" t="e">
        <f>IF(VLOOKUP(EU$2,#REF!,13,FALSE)="",0,100)</f>
        <v>#REF!</v>
      </c>
      <c r="EV35" s="19" t="e">
        <f>IF(VLOOKUP(EV$2,#REF!,13,FALSE)="",0,100)</f>
        <v>#REF!</v>
      </c>
      <c r="EW35" s="19" t="e">
        <f>IF(VLOOKUP(EW$2,#REF!,13,FALSE)="",0,100)</f>
        <v>#REF!</v>
      </c>
      <c r="EX35" s="19" t="e">
        <f>IF(VLOOKUP(EX$2,#REF!,13,FALSE)="",0,100)</f>
        <v>#REF!</v>
      </c>
      <c r="EY35" s="19" t="e">
        <f>IF(VLOOKUP(EY$2,#REF!,13,FALSE)="",0,100)</f>
        <v>#REF!</v>
      </c>
      <c r="EZ35" s="19" t="e">
        <f>IF(VLOOKUP(EZ$2,#REF!,13,FALSE)="",0,100)</f>
        <v>#REF!</v>
      </c>
      <c r="FA35" s="19" t="e">
        <f>IF(VLOOKUP(FA$2,#REF!,13,FALSE)="",0,100)</f>
        <v>#REF!</v>
      </c>
      <c r="FB35" s="19" t="e">
        <f>IF(VLOOKUP(FB$2,#REF!,13,FALSE)="",0,100)</f>
        <v>#REF!</v>
      </c>
      <c r="FC35" s="19" t="e">
        <f>IF(VLOOKUP(FC$2,#REF!,13,FALSE)="",0,100)</f>
        <v>#REF!</v>
      </c>
      <c r="FD35" s="19" t="e">
        <f>IF(VLOOKUP(FD$2,#REF!,13,FALSE)="",0,100)</f>
        <v>#REF!</v>
      </c>
      <c r="FE35" s="19" t="e">
        <f>IF(VLOOKUP(FE$2,#REF!,13,FALSE)="",0,100)</f>
        <v>#REF!</v>
      </c>
      <c r="FF35" s="19" t="e">
        <f>IF(VLOOKUP(FF$2,#REF!,13,FALSE)="",0,100)</f>
        <v>#REF!</v>
      </c>
      <c r="FG35" s="19" t="e">
        <f>IF(VLOOKUP(FG$2,#REF!,13,FALSE)="",0,100)</f>
        <v>#REF!</v>
      </c>
      <c r="FH35" s="19" t="e">
        <f>IF(VLOOKUP(FH$2,#REF!,13,FALSE)="",0,100)</f>
        <v>#REF!</v>
      </c>
      <c r="FI35" s="19" t="e">
        <f>IF(VLOOKUP(FI$2,#REF!,13,FALSE)="",0,100)</f>
        <v>#REF!</v>
      </c>
      <c r="FJ35" s="19" t="e">
        <f>IF(VLOOKUP(FJ$2,#REF!,13,FALSE)="",0,100)</f>
        <v>#REF!</v>
      </c>
      <c r="FK35" s="19" t="e">
        <f>IF(VLOOKUP(FK$2,#REF!,13,FALSE)="",0,100)</f>
        <v>#REF!</v>
      </c>
      <c r="FL35" s="19" t="e">
        <f>IF(VLOOKUP(FL$2,#REF!,13,FALSE)="",0,100)</f>
        <v>#REF!</v>
      </c>
      <c r="FM35" s="19" t="e">
        <f>IF(VLOOKUP(FM$2,#REF!,13,FALSE)="",0,100)</f>
        <v>#REF!</v>
      </c>
      <c r="FN35" s="19" t="e">
        <f>IF(VLOOKUP(FN$2,#REF!,13,FALSE)="",0,100)</f>
        <v>#REF!</v>
      </c>
      <c r="FO35" s="19" t="e">
        <f>IF(VLOOKUP(FO$2,#REF!,13,FALSE)="",0,100)</f>
        <v>#REF!</v>
      </c>
      <c r="FP35" s="19" t="e">
        <f>IF(VLOOKUP(FP$2,#REF!,13,FALSE)="",0,100)</f>
        <v>#REF!</v>
      </c>
      <c r="FQ35" s="19" t="e">
        <f>IF(VLOOKUP(FQ$2,#REF!,13,FALSE)="",0,100)</f>
        <v>#REF!</v>
      </c>
      <c r="FR35" s="19" t="e">
        <f>IF(VLOOKUP(FR$2,#REF!,13,FALSE)="",0,100)</f>
        <v>#REF!</v>
      </c>
      <c r="FS35" s="19" t="e">
        <f>IF(VLOOKUP(FS$2,#REF!,13,FALSE)="",0,100)</f>
        <v>#REF!</v>
      </c>
      <c r="FT35" s="19" t="e">
        <f>IF(VLOOKUP(FT$2,#REF!,13,FALSE)="",0,100)</f>
        <v>#REF!</v>
      </c>
      <c r="FU35" s="19" t="e">
        <f>IF(VLOOKUP(FU$2,#REF!,13,FALSE)="",0,100)</f>
        <v>#REF!</v>
      </c>
      <c r="FV35" s="19" t="e">
        <f>IF(VLOOKUP(FV$2,#REF!,13,FALSE)="",0,100)</f>
        <v>#REF!</v>
      </c>
    </row>
    <row r="36" spans="1:178">
      <c r="A36" s="61" t="s">
        <v>536</v>
      </c>
      <c r="B36" s="19" t="e">
        <f>SUM(B4:B14,B16:B26,B28:B35)</f>
        <v>#N/A</v>
      </c>
      <c r="C36" s="19" t="e">
        <f t="shared" ref="C36:BN36" si="0">SUM(C4:C14,C16:C26,C28:C35)</f>
        <v>#N/A</v>
      </c>
      <c r="D36" s="19" t="e">
        <f t="shared" si="0"/>
        <v>#REF!</v>
      </c>
      <c r="E36" s="19" t="e">
        <f t="shared" si="0"/>
        <v>#REF!</v>
      </c>
      <c r="F36" s="19" t="e">
        <f t="shared" si="0"/>
        <v>#REF!</v>
      </c>
      <c r="G36" s="19" t="e">
        <f t="shared" si="0"/>
        <v>#REF!</v>
      </c>
      <c r="H36" s="19" t="e">
        <f t="shared" si="0"/>
        <v>#REF!</v>
      </c>
      <c r="I36" s="19" t="e">
        <f t="shared" si="0"/>
        <v>#REF!</v>
      </c>
      <c r="J36" s="19" t="e">
        <f t="shared" si="0"/>
        <v>#REF!</v>
      </c>
      <c r="K36" s="19" t="e">
        <f t="shared" si="0"/>
        <v>#REF!</v>
      </c>
      <c r="L36" s="19" t="e">
        <f t="shared" si="0"/>
        <v>#REF!</v>
      </c>
      <c r="M36" s="19" t="e">
        <f t="shared" si="0"/>
        <v>#N/A</v>
      </c>
      <c r="N36" s="19" t="e">
        <f t="shared" si="0"/>
        <v>#REF!</v>
      </c>
      <c r="O36" s="19" t="e">
        <f t="shared" si="0"/>
        <v>#REF!</v>
      </c>
      <c r="P36" s="19" t="e">
        <f t="shared" si="0"/>
        <v>#REF!</v>
      </c>
      <c r="Q36" s="19" t="e">
        <f t="shared" si="0"/>
        <v>#REF!</v>
      </c>
      <c r="R36" s="19" t="e">
        <f t="shared" si="0"/>
        <v>#REF!</v>
      </c>
      <c r="S36" s="19" t="e">
        <f t="shared" si="0"/>
        <v>#REF!</v>
      </c>
      <c r="T36" s="19" t="e">
        <f t="shared" si="0"/>
        <v>#REF!</v>
      </c>
      <c r="U36" s="19" t="e">
        <f t="shared" si="0"/>
        <v>#REF!</v>
      </c>
      <c r="V36" s="19" t="e">
        <f t="shared" si="0"/>
        <v>#REF!</v>
      </c>
      <c r="W36" s="19" t="e">
        <f t="shared" si="0"/>
        <v>#REF!</v>
      </c>
      <c r="X36" s="19" t="e">
        <f t="shared" si="0"/>
        <v>#REF!</v>
      </c>
      <c r="Y36" s="19" t="e">
        <f t="shared" si="0"/>
        <v>#N/A</v>
      </c>
      <c r="Z36" s="19" t="e">
        <f t="shared" si="0"/>
        <v>#N/A</v>
      </c>
      <c r="AA36" s="19" t="e">
        <f t="shared" si="0"/>
        <v>#REF!</v>
      </c>
      <c r="AB36" s="19" t="e">
        <f t="shared" si="0"/>
        <v>#REF!</v>
      </c>
      <c r="AC36" s="19" t="e">
        <f t="shared" si="0"/>
        <v>#REF!</v>
      </c>
      <c r="AD36" s="19" t="e">
        <f t="shared" si="0"/>
        <v>#REF!</v>
      </c>
      <c r="AE36" s="19" t="e">
        <f t="shared" si="0"/>
        <v>#N/A</v>
      </c>
      <c r="AF36" s="19" t="e">
        <f t="shared" si="0"/>
        <v>#REF!</v>
      </c>
      <c r="AG36" s="19" t="e">
        <f t="shared" si="0"/>
        <v>#REF!</v>
      </c>
      <c r="AH36" s="19" t="e">
        <f t="shared" si="0"/>
        <v>#REF!</v>
      </c>
      <c r="AI36" s="19" t="e">
        <f t="shared" si="0"/>
        <v>#REF!</v>
      </c>
      <c r="AJ36" s="19" t="e">
        <f t="shared" si="0"/>
        <v>#REF!</v>
      </c>
      <c r="AK36" s="19" t="e">
        <f t="shared" si="0"/>
        <v>#REF!</v>
      </c>
      <c r="AL36" s="19" t="e">
        <f t="shared" si="0"/>
        <v>#N/A</v>
      </c>
      <c r="AM36" s="19" t="e">
        <f t="shared" si="0"/>
        <v>#N/A</v>
      </c>
      <c r="AN36" s="19" t="e">
        <f t="shared" si="0"/>
        <v>#N/A</v>
      </c>
      <c r="AO36" s="19" t="e">
        <f t="shared" si="0"/>
        <v>#REF!</v>
      </c>
      <c r="AP36" s="19" t="e">
        <f t="shared" si="0"/>
        <v>#REF!</v>
      </c>
      <c r="AQ36" s="19" t="e">
        <f t="shared" si="0"/>
        <v>#N/A</v>
      </c>
      <c r="AR36" s="19" t="e">
        <f t="shared" si="0"/>
        <v>#N/A</v>
      </c>
      <c r="AS36" s="19" t="e">
        <f t="shared" si="0"/>
        <v>#N/A</v>
      </c>
      <c r="AT36" s="19" t="e">
        <f t="shared" si="0"/>
        <v>#REF!</v>
      </c>
      <c r="AU36" s="19" t="e">
        <f t="shared" si="0"/>
        <v>#REF!</v>
      </c>
      <c r="AV36" s="19" t="e">
        <f t="shared" si="0"/>
        <v>#REF!</v>
      </c>
      <c r="AW36" s="19" t="e">
        <f t="shared" si="0"/>
        <v>#N/A</v>
      </c>
      <c r="AX36" s="19" t="e">
        <f t="shared" si="0"/>
        <v>#REF!</v>
      </c>
      <c r="AY36" s="19" t="e">
        <f t="shared" si="0"/>
        <v>#REF!</v>
      </c>
      <c r="AZ36" s="19" t="e">
        <f t="shared" si="0"/>
        <v>#REF!</v>
      </c>
      <c r="BA36" s="19" t="e">
        <f t="shared" si="0"/>
        <v>#N/A</v>
      </c>
      <c r="BB36" s="19" t="e">
        <f t="shared" si="0"/>
        <v>#REF!</v>
      </c>
      <c r="BC36" s="19" t="e">
        <f t="shared" si="0"/>
        <v>#REF!</v>
      </c>
      <c r="BD36" s="19" t="e">
        <f t="shared" si="0"/>
        <v>#N/A</v>
      </c>
      <c r="BE36" s="19" t="e">
        <f t="shared" si="0"/>
        <v>#REF!</v>
      </c>
      <c r="BF36" s="19" t="e">
        <f t="shared" si="0"/>
        <v>#REF!</v>
      </c>
      <c r="BG36" s="19" t="e">
        <f t="shared" si="0"/>
        <v>#REF!</v>
      </c>
      <c r="BH36" s="19" t="e">
        <f t="shared" si="0"/>
        <v>#N/A</v>
      </c>
      <c r="BI36" s="19" t="e">
        <f t="shared" si="0"/>
        <v>#N/A</v>
      </c>
      <c r="BJ36" s="19" t="e">
        <f t="shared" si="0"/>
        <v>#N/A</v>
      </c>
      <c r="BK36" s="19" t="e">
        <f t="shared" si="0"/>
        <v>#REF!</v>
      </c>
      <c r="BL36" s="19" t="e">
        <f t="shared" si="0"/>
        <v>#REF!</v>
      </c>
      <c r="BM36" s="19" t="e">
        <f t="shared" si="0"/>
        <v>#N/A</v>
      </c>
      <c r="BN36" s="19" t="e">
        <f t="shared" si="0"/>
        <v>#REF!</v>
      </c>
      <c r="BO36" s="19" t="e">
        <f t="shared" ref="BO36:DZ36" si="1">SUM(BO4:BO14,BO16:BO26,BO28:BO35)</f>
        <v>#REF!</v>
      </c>
      <c r="BP36" s="19" t="e">
        <f t="shared" si="1"/>
        <v>#REF!</v>
      </c>
      <c r="BQ36" s="19" t="e">
        <f t="shared" si="1"/>
        <v>#REF!</v>
      </c>
      <c r="BR36" s="19" t="e">
        <f t="shared" si="1"/>
        <v>#REF!</v>
      </c>
      <c r="BS36" s="19" t="e">
        <f t="shared" si="1"/>
        <v>#REF!</v>
      </c>
      <c r="BT36" s="19" t="e">
        <f t="shared" si="1"/>
        <v>#N/A</v>
      </c>
      <c r="BU36" s="19" t="e">
        <f t="shared" si="1"/>
        <v>#REF!</v>
      </c>
      <c r="BV36" s="19" t="e">
        <f t="shared" si="1"/>
        <v>#N/A</v>
      </c>
      <c r="BW36" s="19" t="e">
        <f t="shared" si="1"/>
        <v>#REF!</v>
      </c>
      <c r="BX36" s="19" t="e">
        <f t="shared" si="1"/>
        <v>#REF!</v>
      </c>
      <c r="BY36" s="19" t="e">
        <f t="shared" si="1"/>
        <v>#REF!</v>
      </c>
      <c r="BZ36" s="19" t="e">
        <f t="shared" si="1"/>
        <v>#REF!</v>
      </c>
      <c r="CA36" s="19" t="e">
        <f t="shared" si="1"/>
        <v>#REF!</v>
      </c>
      <c r="CB36" s="19" t="e">
        <f t="shared" si="1"/>
        <v>#N/A</v>
      </c>
      <c r="CC36" s="19" t="e">
        <f t="shared" si="1"/>
        <v>#N/A</v>
      </c>
      <c r="CD36" s="19" t="e">
        <f t="shared" si="1"/>
        <v>#REF!</v>
      </c>
      <c r="CE36" s="19" t="e">
        <f t="shared" si="1"/>
        <v>#REF!</v>
      </c>
      <c r="CF36" s="19" t="e">
        <f t="shared" si="1"/>
        <v>#REF!</v>
      </c>
      <c r="CG36" s="19" t="e">
        <f t="shared" si="1"/>
        <v>#REF!</v>
      </c>
      <c r="CH36" s="19" t="e">
        <f t="shared" si="1"/>
        <v>#REF!</v>
      </c>
      <c r="CI36" s="19" t="e">
        <f t="shared" si="1"/>
        <v>#REF!</v>
      </c>
      <c r="CJ36" s="19" t="e">
        <f t="shared" si="1"/>
        <v>#REF!</v>
      </c>
      <c r="CK36" s="19" t="e">
        <f t="shared" si="1"/>
        <v>#REF!</v>
      </c>
      <c r="CL36" s="19" t="e">
        <f t="shared" si="1"/>
        <v>#REF!</v>
      </c>
      <c r="CM36" s="19" t="e">
        <f t="shared" si="1"/>
        <v>#REF!</v>
      </c>
      <c r="CN36" s="19" t="e">
        <f t="shared" si="1"/>
        <v>#REF!</v>
      </c>
      <c r="CO36" s="19" t="e">
        <f t="shared" si="1"/>
        <v>#REF!</v>
      </c>
      <c r="CP36" s="19" t="e">
        <f t="shared" si="1"/>
        <v>#REF!</v>
      </c>
      <c r="CQ36" s="19" t="e">
        <f t="shared" si="1"/>
        <v>#REF!</v>
      </c>
      <c r="CR36" s="19" t="e">
        <f t="shared" si="1"/>
        <v>#REF!</v>
      </c>
      <c r="CS36" s="19" t="e">
        <f t="shared" si="1"/>
        <v>#REF!</v>
      </c>
      <c r="CT36" s="19" t="e">
        <f t="shared" si="1"/>
        <v>#REF!</v>
      </c>
      <c r="CU36" s="19" t="e">
        <f t="shared" si="1"/>
        <v>#REF!</v>
      </c>
      <c r="CV36" s="19" t="e">
        <f t="shared" si="1"/>
        <v>#REF!</v>
      </c>
      <c r="CW36" s="19" t="e">
        <f t="shared" si="1"/>
        <v>#REF!</v>
      </c>
      <c r="CX36" s="19" t="e">
        <f t="shared" si="1"/>
        <v>#REF!</v>
      </c>
      <c r="CY36" s="19" t="e">
        <f t="shared" si="1"/>
        <v>#REF!</v>
      </c>
      <c r="CZ36" s="19" t="e">
        <f t="shared" si="1"/>
        <v>#REF!</v>
      </c>
      <c r="DA36" s="19" t="e">
        <f t="shared" si="1"/>
        <v>#REF!</v>
      </c>
      <c r="DB36" s="19" t="e">
        <f t="shared" si="1"/>
        <v>#REF!</v>
      </c>
      <c r="DC36" s="19" t="e">
        <f t="shared" si="1"/>
        <v>#REF!</v>
      </c>
      <c r="DD36" s="19" t="e">
        <f t="shared" si="1"/>
        <v>#REF!</v>
      </c>
      <c r="DE36" s="19" t="e">
        <f t="shared" si="1"/>
        <v>#REF!</v>
      </c>
      <c r="DF36" s="19" t="e">
        <f t="shared" si="1"/>
        <v>#REF!</v>
      </c>
      <c r="DG36" s="19" t="e">
        <f t="shared" si="1"/>
        <v>#N/A</v>
      </c>
      <c r="DH36" s="19" t="e">
        <f t="shared" si="1"/>
        <v>#N/A</v>
      </c>
      <c r="DI36" s="19" t="e">
        <f t="shared" si="1"/>
        <v>#N/A</v>
      </c>
      <c r="DJ36" s="19" t="e">
        <f t="shared" si="1"/>
        <v>#REF!</v>
      </c>
      <c r="DK36" s="19" t="e">
        <f t="shared" si="1"/>
        <v>#REF!</v>
      </c>
      <c r="DL36" s="19" t="e">
        <f t="shared" si="1"/>
        <v>#REF!</v>
      </c>
      <c r="DM36" s="19" t="e">
        <f t="shared" si="1"/>
        <v>#REF!</v>
      </c>
      <c r="DN36" s="19" t="e">
        <f t="shared" si="1"/>
        <v>#REF!</v>
      </c>
      <c r="DO36" s="19" t="e">
        <f t="shared" si="1"/>
        <v>#REF!</v>
      </c>
      <c r="DP36" s="19" t="e">
        <f t="shared" si="1"/>
        <v>#N/A</v>
      </c>
      <c r="DQ36" s="19" t="e">
        <f t="shared" si="1"/>
        <v>#N/A</v>
      </c>
      <c r="DR36" s="19" t="e">
        <f t="shared" si="1"/>
        <v>#N/A</v>
      </c>
      <c r="DS36" s="19" t="e">
        <f t="shared" si="1"/>
        <v>#N/A</v>
      </c>
      <c r="DT36" s="19" t="e">
        <f t="shared" si="1"/>
        <v>#REF!</v>
      </c>
      <c r="DU36" s="19" t="e">
        <f t="shared" si="1"/>
        <v>#N/A</v>
      </c>
      <c r="DV36" s="19" t="e">
        <f t="shared" si="1"/>
        <v>#N/A</v>
      </c>
      <c r="DW36" s="19" t="e">
        <f t="shared" si="1"/>
        <v>#REF!</v>
      </c>
      <c r="DX36" s="19" t="e">
        <f t="shared" si="1"/>
        <v>#REF!</v>
      </c>
      <c r="DY36" s="19" t="e">
        <f t="shared" si="1"/>
        <v>#REF!</v>
      </c>
      <c r="DZ36" s="19" t="e">
        <f t="shared" si="1"/>
        <v>#REF!</v>
      </c>
      <c r="EA36" s="19" t="e">
        <f t="shared" ref="EA36:FV36" si="2">SUM(EA4:EA14,EA16:EA26,EA28:EA35)</f>
        <v>#N/A</v>
      </c>
      <c r="EB36" s="19" t="e">
        <f t="shared" si="2"/>
        <v>#N/A</v>
      </c>
      <c r="EC36" s="19" t="e">
        <f t="shared" si="2"/>
        <v>#REF!</v>
      </c>
      <c r="ED36" s="19" t="e">
        <f t="shared" si="2"/>
        <v>#REF!</v>
      </c>
      <c r="EE36" s="19" t="e">
        <f t="shared" si="2"/>
        <v>#N/A</v>
      </c>
      <c r="EF36" s="19" t="e">
        <f t="shared" si="2"/>
        <v>#REF!</v>
      </c>
      <c r="EG36" s="19" t="e">
        <f t="shared" si="2"/>
        <v>#REF!</v>
      </c>
      <c r="EH36" s="19" t="e">
        <f t="shared" si="2"/>
        <v>#REF!</v>
      </c>
      <c r="EI36" s="19" t="e">
        <f t="shared" si="2"/>
        <v>#REF!</v>
      </c>
      <c r="EJ36" s="19" t="e">
        <f t="shared" si="2"/>
        <v>#REF!</v>
      </c>
      <c r="EK36" s="19" t="e">
        <f t="shared" si="2"/>
        <v>#N/A</v>
      </c>
      <c r="EL36" s="19" t="e">
        <f t="shared" si="2"/>
        <v>#N/A</v>
      </c>
      <c r="EM36" s="19" t="e">
        <f t="shared" si="2"/>
        <v>#N/A</v>
      </c>
      <c r="EN36" s="19" t="e">
        <f t="shared" si="2"/>
        <v>#N/A</v>
      </c>
      <c r="EO36" s="19" t="e">
        <f t="shared" si="2"/>
        <v>#N/A</v>
      </c>
      <c r="EP36" s="19" t="e">
        <f t="shared" si="2"/>
        <v>#N/A</v>
      </c>
      <c r="EQ36" s="19" t="e">
        <f t="shared" si="2"/>
        <v>#N/A</v>
      </c>
      <c r="ER36" s="19" t="e">
        <f t="shared" si="2"/>
        <v>#N/A</v>
      </c>
      <c r="ES36" s="19" t="e">
        <f t="shared" si="2"/>
        <v>#REF!</v>
      </c>
      <c r="ET36" s="19" t="e">
        <f t="shared" si="2"/>
        <v>#REF!</v>
      </c>
      <c r="EU36" s="19" t="e">
        <f t="shared" si="2"/>
        <v>#REF!</v>
      </c>
      <c r="EV36" s="19" t="e">
        <f t="shared" si="2"/>
        <v>#REF!</v>
      </c>
      <c r="EW36" s="19" t="e">
        <f t="shared" si="2"/>
        <v>#REF!</v>
      </c>
      <c r="EX36" s="19" t="e">
        <f t="shared" si="2"/>
        <v>#REF!</v>
      </c>
      <c r="EY36" s="19" t="e">
        <f t="shared" si="2"/>
        <v>#N/A</v>
      </c>
      <c r="EZ36" s="19" t="e">
        <f t="shared" si="2"/>
        <v>#N/A</v>
      </c>
      <c r="FA36" s="19" t="e">
        <f t="shared" si="2"/>
        <v>#N/A</v>
      </c>
      <c r="FB36" s="19" t="e">
        <f t="shared" si="2"/>
        <v>#REF!</v>
      </c>
      <c r="FC36" s="19" t="e">
        <f t="shared" si="2"/>
        <v>#N/A</v>
      </c>
      <c r="FD36" s="19" t="e">
        <f t="shared" si="2"/>
        <v>#REF!</v>
      </c>
      <c r="FE36" s="19" t="e">
        <f t="shared" si="2"/>
        <v>#REF!</v>
      </c>
      <c r="FF36" s="19" t="e">
        <f t="shared" si="2"/>
        <v>#REF!</v>
      </c>
      <c r="FG36" s="19" t="e">
        <f t="shared" si="2"/>
        <v>#REF!</v>
      </c>
      <c r="FH36" s="19" t="e">
        <f t="shared" si="2"/>
        <v>#N/A</v>
      </c>
      <c r="FI36" s="19" t="e">
        <f t="shared" si="2"/>
        <v>#N/A</v>
      </c>
      <c r="FJ36" s="19" t="e">
        <f t="shared" si="2"/>
        <v>#REF!</v>
      </c>
      <c r="FK36" s="19" t="e">
        <f t="shared" si="2"/>
        <v>#REF!</v>
      </c>
      <c r="FL36" s="19" t="e">
        <f t="shared" si="2"/>
        <v>#N/A</v>
      </c>
      <c r="FM36" s="19" t="e">
        <f t="shared" si="2"/>
        <v>#N/A</v>
      </c>
      <c r="FN36" s="19" t="e">
        <f t="shared" si="2"/>
        <v>#N/A</v>
      </c>
      <c r="FO36" s="19" t="e">
        <f t="shared" si="2"/>
        <v>#REF!</v>
      </c>
      <c r="FP36" s="19" t="e">
        <f t="shared" si="2"/>
        <v>#REF!</v>
      </c>
      <c r="FQ36" s="19" t="e">
        <f t="shared" si="2"/>
        <v>#REF!</v>
      </c>
      <c r="FR36" s="19" t="e">
        <f t="shared" si="2"/>
        <v>#REF!</v>
      </c>
      <c r="FS36" s="19" t="e">
        <f t="shared" si="2"/>
        <v>#N/A</v>
      </c>
      <c r="FT36" s="19" t="e">
        <f t="shared" si="2"/>
        <v>#N/A</v>
      </c>
      <c r="FU36" s="19" t="e">
        <f t="shared" si="2"/>
        <v>#N/A</v>
      </c>
      <c r="FV36" s="19" t="e">
        <f t="shared" si="2"/>
        <v>#N/A</v>
      </c>
    </row>
  </sheetData>
  <mergeCells count="3">
    <mergeCell ref="A3:FV3"/>
    <mergeCell ref="A15:FV15"/>
    <mergeCell ref="A27:FV27"/>
  </mergeCells>
  <conditionalFormatting sqref="A4:A14 A28:A36">
    <cfRule type="cellIs" dxfId="155" priority="7" operator="equal">
      <formula>0</formula>
    </cfRule>
    <cfRule type="cellIs" dxfId="154" priority="8" operator="equal">
      <formula>100</formula>
    </cfRule>
  </conditionalFormatting>
  <conditionalFormatting sqref="A16:A26">
    <cfRule type="cellIs" dxfId="153" priority="5" operator="equal">
      <formula>0</formula>
    </cfRule>
    <cfRule type="cellIs" dxfId="152" priority="6" operator="equal">
      <formula>100</formula>
    </cfRule>
  </conditionalFormatting>
  <conditionalFormatting sqref="A4:FV35">
    <cfRule type="cellIs" dxfId="151" priority="1" operator="equal">
      <formula>0</formula>
    </cfRule>
    <cfRule type="cellIs" dxfId="150" priority="2" operator="equal">
      <formula>100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27"/>
  <sheetViews>
    <sheetView topLeftCell="A295" zoomScale="70" zoomScaleNormal="70" workbookViewId="0">
      <selection activeCell="A49" sqref="A49:XFD49"/>
    </sheetView>
  </sheetViews>
  <sheetFormatPr defaultRowHeight="14.25"/>
  <cols>
    <col min="1" max="1" width="9.125" style="14" customWidth="1"/>
    <col min="2" max="2" width="33.625" style="5" bestFit="1" customWidth="1"/>
    <col min="3" max="3" width="27.625" style="5" customWidth="1"/>
    <col min="4" max="4" width="14.125" customWidth="1"/>
    <col min="5" max="5" width="55.625" style="6" customWidth="1"/>
    <col min="6" max="6" width="17.375" style="6" customWidth="1"/>
    <col min="7" max="7" width="48.125" style="6" bestFit="1" customWidth="1"/>
    <col min="8" max="8" width="24.625" style="6" bestFit="1" customWidth="1"/>
    <col min="9" max="9" width="9.625" style="6" customWidth="1"/>
    <col min="10" max="10" width="13.875" style="6" customWidth="1"/>
    <col min="11" max="11" width="25.625" style="6" bestFit="1" customWidth="1"/>
    <col min="12" max="12" width="41" style="6" bestFit="1" customWidth="1"/>
    <col min="13" max="13" width="30.125" style="6" customWidth="1"/>
    <col min="14" max="14" width="24.125" style="6" bestFit="1" customWidth="1"/>
    <col min="15" max="15" width="13.625" customWidth="1"/>
    <col min="16" max="16" width="10.125" customWidth="1"/>
    <col min="17" max="17" width="18.625" customWidth="1"/>
    <col min="18" max="19" width="18.375" customWidth="1"/>
    <col min="20" max="20" width="20.375" customWidth="1"/>
    <col min="21" max="21" width="10.875" customWidth="1"/>
    <col min="22" max="23" width="15" customWidth="1"/>
    <col min="24" max="24" width="19.625" customWidth="1"/>
    <col min="25" max="25" width="32.375" customWidth="1"/>
    <col min="26" max="26" width="25.875" customWidth="1"/>
    <col min="27" max="27" width="16" customWidth="1"/>
    <col min="28" max="28" width="58.125" bestFit="1" customWidth="1"/>
  </cols>
  <sheetData>
    <row r="1" spans="1:29">
      <c r="E1" s="6">
        <f>'Int. Pa.'!E3</f>
        <v>1.1111111111111112</v>
      </c>
      <c r="F1" s="6">
        <f>'Int. Pa.'!E8</f>
        <v>0.55555555555555558</v>
      </c>
      <c r="G1" s="6">
        <f>'Int. Pa.'!E11</f>
        <v>0.55555555555555558</v>
      </c>
      <c r="H1" s="6">
        <f>'Int. Pa.'!E19</f>
        <v>0.55555555555555558</v>
      </c>
      <c r="I1" s="6">
        <f>'Int. Pa.'!E23</f>
        <v>0.83333333333333326</v>
      </c>
      <c r="J1" s="6">
        <f>'Int. Pa.'!E32</f>
        <v>1.1111111111111112</v>
      </c>
      <c r="K1" s="6">
        <f>'Int. Pa.'!E35</f>
        <v>1.1111111111111112</v>
      </c>
      <c r="L1" s="6">
        <f>'Int. Pa.'!E38</f>
        <v>1.6666666666666665</v>
      </c>
      <c r="M1" s="6">
        <f>'Int. Pa.'!E43</f>
        <v>1.1111111111111112</v>
      </c>
      <c r="N1" s="6">
        <f>'Int. Pa.'!E52</f>
        <v>1.1111111111111112</v>
      </c>
      <c r="O1" s="6">
        <f>'Int. Pa.'!E59</f>
        <v>0.27777777777777779</v>
      </c>
      <c r="P1" s="3"/>
      <c r="S1" t="s">
        <v>86</v>
      </c>
      <c r="U1">
        <v>300</v>
      </c>
    </row>
    <row r="2" spans="1:29" ht="183">
      <c r="A2" s="21" t="s">
        <v>195</v>
      </c>
      <c r="B2" s="25" t="s">
        <v>196</v>
      </c>
      <c r="C2" s="21" t="s">
        <v>87</v>
      </c>
      <c r="D2" s="22" t="s">
        <v>77</v>
      </c>
      <c r="E2" s="22" t="s">
        <v>82</v>
      </c>
      <c r="F2" s="22" t="s">
        <v>11</v>
      </c>
      <c r="G2" s="22" t="s">
        <v>12</v>
      </c>
      <c r="H2" s="22" t="s">
        <v>14</v>
      </c>
      <c r="I2" s="22" t="s">
        <v>23</v>
      </c>
      <c r="J2" s="22" t="s">
        <v>34</v>
      </c>
      <c r="K2" s="22" t="s">
        <v>36</v>
      </c>
      <c r="L2" s="22" t="s">
        <v>41</v>
      </c>
      <c r="M2" s="22" t="s">
        <v>60</v>
      </c>
      <c r="N2" s="22" t="s">
        <v>61</v>
      </c>
      <c r="O2" s="22" t="s">
        <v>69</v>
      </c>
      <c r="P2" s="23" t="s">
        <v>479</v>
      </c>
      <c r="Q2" s="23" t="s">
        <v>480</v>
      </c>
      <c r="R2" s="23" t="s">
        <v>481</v>
      </c>
      <c r="S2" s="23" t="s">
        <v>482</v>
      </c>
      <c r="T2" s="23" t="s">
        <v>483</v>
      </c>
      <c r="U2" s="23" t="s">
        <v>484</v>
      </c>
      <c r="V2" s="23" t="s">
        <v>485</v>
      </c>
      <c r="W2" s="23" t="s">
        <v>486</v>
      </c>
      <c r="X2" s="23" t="s">
        <v>487</v>
      </c>
      <c r="Y2" s="23" t="s">
        <v>488</v>
      </c>
      <c r="Z2" s="23" t="s">
        <v>489</v>
      </c>
      <c r="AA2" s="23" t="s">
        <v>490</v>
      </c>
      <c r="AB2" s="24" t="s">
        <v>78</v>
      </c>
      <c r="AC2" s="7"/>
    </row>
    <row r="3" spans="1:29" s="3" customFormat="1">
      <c r="A3" s="15"/>
      <c r="B3" s="5"/>
      <c r="C3" s="5" t="s">
        <v>80</v>
      </c>
      <c r="D3" s="3">
        <v>2013</v>
      </c>
      <c r="E3" s="6" t="s">
        <v>7</v>
      </c>
      <c r="F3" s="6" t="s">
        <v>1</v>
      </c>
      <c r="G3" s="6" t="s">
        <v>88</v>
      </c>
      <c r="H3" s="6" t="s">
        <v>19</v>
      </c>
      <c r="I3" s="6" t="s">
        <v>24</v>
      </c>
      <c r="J3" s="6" t="s">
        <v>59</v>
      </c>
      <c r="K3" s="6" t="s">
        <v>38</v>
      </c>
      <c r="L3" s="6" t="s">
        <v>42</v>
      </c>
      <c r="M3" s="6" t="s">
        <v>51</v>
      </c>
      <c r="N3" s="6" t="s">
        <v>62</v>
      </c>
      <c r="O3" s="3">
        <f ca="1">YEAR(TODAY())-D3</f>
        <v>6</v>
      </c>
      <c r="Q3" s="3">
        <f>VLOOKUP(E3,'Int. Pa.'!$B$3:$C$58,2,FALSE)</f>
        <v>1</v>
      </c>
      <c r="R3" s="3">
        <f>VLOOKUP(F3,'Int. Pa.'!$B$3:$C$58,2,FALSE)</f>
        <v>3</v>
      </c>
      <c r="S3" s="3">
        <f>VLOOKUP(G3,'Int. Pa.'!$B$3:$C$58,2,FALSE)</f>
        <v>0</v>
      </c>
      <c r="T3" s="3">
        <f>VLOOKUP(H3,'Int. Pa.'!$B$3:$C$58,2,FALSE)</f>
        <v>1</v>
      </c>
      <c r="U3" s="3">
        <f>VLOOKUP(I3,'Int. Pa.'!$B$3:$C$58,2,FALSE)</f>
        <v>0</v>
      </c>
      <c r="V3" s="3">
        <f>VLOOKUP(J3,'Int. Pa.'!$B$3:$C$58,2,FALSE)</f>
        <v>1</v>
      </c>
      <c r="W3" s="3">
        <f>VLOOKUP(K3,'Int. Pa.'!$B$3:$C$58,2,FALSE)</f>
        <v>1</v>
      </c>
      <c r="X3" s="3">
        <f>VLOOKUP(L3,'Int. Pa.'!$B$3:$C$58,2,FALSE)</f>
        <v>1</v>
      </c>
      <c r="Y3" s="3">
        <f>VLOOKUP(M3,'Int. Pa.'!$B$3:$C$58,2,FALSE)</f>
        <v>1</v>
      </c>
      <c r="Z3" s="3">
        <f>VLOOKUP(N3,'Int. Pa.'!$B$3:$C$58,2,FALSE)</f>
        <v>1</v>
      </c>
      <c r="AA3" s="3">
        <f ca="1">IF(O3&gt;40,10,ROUND((O3/4),0))</f>
        <v>2</v>
      </c>
      <c r="AB3" s="3">
        <f ca="1">($E$1*Q3/10)*($F$1*R3+$G$1*S3+$H$1*T3+$I$1*U3+$J$1*V3+$K$1*W3+$L$1*X3+$M$1*Y3+$N$1*Z3+$O$1*AA3)</f>
        <v>0.98765432098765427</v>
      </c>
      <c r="AC3" s="3">
        <f ca="1">($F$1*R3+$G$1*S3+$H$1*T3+$I$1*U3+$J$1*V3+$K$1*W3+$L$1*X3+$M$1*Y3+$N$1*Z3+$O$1*AA3)</f>
        <v>8.8888888888888875</v>
      </c>
    </row>
    <row r="4" spans="1:29" s="3" customFormat="1">
      <c r="A4" s="15"/>
      <c r="B4" s="5"/>
      <c r="C4" s="5" t="s">
        <v>79</v>
      </c>
      <c r="D4" s="3">
        <v>1970</v>
      </c>
      <c r="E4" s="6" t="s">
        <v>85</v>
      </c>
      <c r="F4" s="6" t="s">
        <v>2</v>
      </c>
      <c r="G4" s="6" t="s">
        <v>90</v>
      </c>
      <c r="H4" s="6" t="s">
        <v>21</v>
      </c>
      <c r="I4" s="6" t="s">
        <v>31</v>
      </c>
      <c r="J4" s="6" t="s">
        <v>35</v>
      </c>
      <c r="K4" s="6" t="s">
        <v>39</v>
      </c>
      <c r="L4" s="6" t="s">
        <v>49</v>
      </c>
      <c r="M4" s="6" t="s">
        <v>58</v>
      </c>
      <c r="N4" s="6" t="s">
        <v>65</v>
      </c>
      <c r="O4" s="3">
        <f ca="1">YEAR(TODAY())-D4</f>
        <v>49</v>
      </c>
      <c r="Q4" s="3">
        <f>VLOOKUP(E4,'Int. Pa.'!$B$3:$C$58,2,FALSE)</f>
        <v>10</v>
      </c>
      <c r="R4" s="3">
        <f>VLOOKUP(F4,'Int. Pa.'!$B$3:$C$58,2,FALSE)</f>
        <v>10</v>
      </c>
      <c r="S4" s="3">
        <f>VLOOKUP(G4,'Int. Pa.'!$B$3:$C$58,2,FALSE)</f>
        <v>10</v>
      </c>
      <c r="T4" s="3">
        <f>VLOOKUP(H4,'Int. Pa.'!$B$3:$C$58,2,FALSE)</f>
        <v>10</v>
      </c>
      <c r="U4" s="3">
        <f>VLOOKUP(I4,'Int. Pa.'!$B$3:$C$58,2,FALSE)</f>
        <v>10</v>
      </c>
      <c r="V4" s="3">
        <f>VLOOKUP(J4,'Int. Pa.'!$B$3:$C$58,2,FALSE)</f>
        <v>10</v>
      </c>
      <c r="W4" s="3">
        <f>VLOOKUP(K4,'Int. Pa.'!$B$3:$C$58,2,FALSE)</f>
        <v>10</v>
      </c>
      <c r="X4" s="3">
        <f>VLOOKUP(L4,'Int. Pa.'!$B$3:$C$58,2,FALSE)</f>
        <v>10</v>
      </c>
      <c r="Y4" s="3">
        <f>VLOOKUP(M4,'Int. Pa.'!$B$3:$C$58,2,FALSE)</f>
        <v>10</v>
      </c>
      <c r="Z4" s="3">
        <f>VLOOKUP(N4,'Int. Pa.'!$B$3:$C$58,2,FALSE)</f>
        <v>10</v>
      </c>
      <c r="AA4" s="3">
        <f ca="1">IF(O4&gt;40,10,ROUND((O4/4),0))</f>
        <v>10</v>
      </c>
      <c r="AB4" s="3">
        <f ca="1">($E$1*Q4/10)*($F$1*R4+$G$1*S4+$H$1*T4+$I$1*U4+$J$1*V4+$K$1*W4+$L$1*X4+$M$1*Y4+$N$1*Z4+$O$1*AA4)</f>
        <v>98.765432098765416</v>
      </c>
      <c r="AC4" s="3">
        <f ca="1">($F$1*R4+$G$1*S4+$H$1*T4+$I$1*U4+$J$1*V4+$K$1*W4+$L$1*X4+$M$1*Y4+$N$1*Z4+$O$1*AA4)</f>
        <v>88.888888888888872</v>
      </c>
    </row>
    <row r="5" spans="1:29" s="3" customFormat="1">
      <c r="A5" s="15"/>
      <c r="B5" s="5"/>
      <c r="C5" s="5" t="s">
        <v>81</v>
      </c>
      <c r="D5" s="3">
        <v>1970</v>
      </c>
      <c r="E5" s="6" t="s">
        <v>83</v>
      </c>
      <c r="F5" s="6" t="s">
        <v>2</v>
      </c>
      <c r="G5" s="6" t="s">
        <v>13</v>
      </c>
      <c r="H5" s="6" t="s">
        <v>20</v>
      </c>
      <c r="I5" s="6" t="s">
        <v>27</v>
      </c>
      <c r="J5" s="6" t="s">
        <v>35</v>
      </c>
      <c r="K5" s="6" t="s">
        <v>38</v>
      </c>
      <c r="L5" s="6" t="s">
        <v>48</v>
      </c>
      <c r="M5" s="6" t="s">
        <v>58</v>
      </c>
      <c r="N5" s="6" t="s">
        <v>63</v>
      </c>
      <c r="O5" s="3">
        <f ca="1">YEAR(TODAY())-D5</f>
        <v>49</v>
      </c>
      <c r="Q5" s="3">
        <f>VLOOKUP(E5,'Int. Pa.'!$B$3:$C$58,2,FALSE)</f>
        <v>3</v>
      </c>
      <c r="R5" s="3">
        <f>VLOOKUP(F5,'Int. Pa.'!$B$3:$C$58,2,FALSE)</f>
        <v>10</v>
      </c>
      <c r="S5" s="3">
        <f>VLOOKUP(G5,'Int. Pa.'!$B$3:$C$58,2,FALSE)</f>
        <v>2</v>
      </c>
      <c r="T5" s="3">
        <f>VLOOKUP(H5,'Int. Pa.'!$B$3:$C$58,2,FALSE)</f>
        <v>1</v>
      </c>
      <c r="U5" s="3">
        <f>VLOOKUP(I5,'Int. Pa.'!$B$3:$C$58,2,FALSE)</f>
        <v>3</v>
      </c>
      <c r="V5" s="3">
        <f>VLOOKUP(J5,'Int. Pa.'!$B$3:$C$58,2,FALSE)</f>
        <v>10</v>
      </c>
      <c r="W5" s="3">
        <f>VLOOKUP(K5,'Int. Pa.'!$B$3:$C$58,2,FALSE)</f>
        <v>1</v>
      </c>
      <c r="X5" s="3">
        <f>VLOOKUP(L5,'Int. Pa.'!$B$3:$C$58,2,FALSE)</f>
        <v>3</v>
      </c>
      <c r="Y5" s="3">
        <f>VLOOKUP(M5,'Int. Pa.'!$B$3:$C$58,2,FALSE)</f>
        <v>10</v>
      </c>
      <c r="Z5" s="3">
        <f>VLOOKUP(N5,'Int. Pa.'!$B$3:$C$58,2,FALSE)</f>
        <v>4</v>
      </c>
      <c r="AA5" s="3">
        <f ca="1">IF(O5&gt;40,10,ROUND((O5/4),0))</f>
        <v>10</v>
      </c>
      <c r="AB5" s="3">
        <f ca="1">($E$1*Q5/10)*($F$1*R5+$G$1*S5+$H$1*T5+$I$1*U5+$J$1*V5+$K$1*W5+$L$1*X5+$M$1*Y5+$N$1*Z5+$O$1*AA5)</f>
        <v>15.092592592592595</v>
      </c>
      <c r="AC5" s="3">
        <f ca="1">($F$1*R5+$G$1*S5+$H$1*T5+$I$1*U5+$J$1*V5+$K$1*W5+$L$1*X5+$M$1*Y5+$N$1*Z5+$O$1*AA5)</f>
        <v>45.277777777777779</v>
      </c>
    </row>
    <row r="6" spans="1:29" s="3" customFormat="1">
      <c r="A6" s="15"/>
      <c r="B6" s="5"/>
      <c r="C6" s="5"/>
      <c r="E6" s="6"/>
      <c r="F6" s="6"/>
      <c r="G6" s="6"/>
      <c r="H6" s="6"/>
      <c r="I6" s="6"/>
      <c r="J6" s="6"/>
      <c r="K6" s="6"/>
      <c r="L6" s="6"/>
      <c r="M6" s="6"/>
      <c r="N6" s="6"/>
    </row>
    <row r="7" spans="1:29" s="3" customFormat="1">
      <c r="A7" s="15"/>
      <c r="B7" s="5"/>
      <c r="C7" s="5"/>
      <c r="E7" s="6"/>
      <c r="F7" s="6"/>
      <c r="G7" s="6"/>
      <c r="H7" s="6"/>
      <c r="I7" s="6"/>
      <c r="J7" s="6"/>
      <c r="K7" s="6"/>
      <c r="L7" s="6"/>
      <c r="M7" s="6"/>
      <c r="N7" s="6"/>
    </row>
    <row r="8" spans="1:29" s="3" customFormat="1">
      <c r="A8" s="84">
        <v>1</v>
      </c>
      <c r="B8" s="81">
        <v>4021</v>
      </c>
      <c r="C8" s="82" t="s">
        <v>230</v>
      </c>
      <c r="D8" s="85">
        <v>2000</v>
      </c>
      <c r="E8" s="18" t="s">
        <v>7</v>
      </c>
      <c r="F8" s="18" t="s">
        <v>2</v>
      </c>
      <c r="G8" s="18" t="s">
        <v>88</v>
      </c>
      <c r="H8" s="18" t="s">
        <v>20</v>
      </c>
      <c r="I8" s="18" t="s">
        <v>24</v>
      </c>
      <c r="J8" s="18" t="s">
        <v>35</v>
      </c>
      <c r="K8" s="18" t="s">
        <v>38</v>
      </c>
      <c r="L8" s="18" t="s">
        <v>42</v>
      </c>
      <c r="M8" s="18" t="s">
        <v>50</v>
      </c>
      <c r="N8" s="18" t="s">
        <v>66</v>
      </c>
      <c r="O8" s="20">
        <f>2013-Table1[[#This Row],[Startup Year]]</f>
        <v>13</v>
      </c>
      <c r="P8" s="20"/>
      <c r="Q8" s="20">
        <f>VLOOKUP(E8,'Int. Pa.'!$B$3:$C$58,2,FALSE)</f>
        <v>1</v>
      </c>
      <c r="R8" s="20">
        <f>VLOOKUP(F8,'Int. Pa.'!$B$3:$C$58,2,FALSE)</f>
        <v>10</v>
      </c>
      <c r="S8" s="20">
        <f>VLOOKUP(G8,'Int. Pa.'!$B$3:$C$58,2,FALSE)</f>
        <v>0</v>
      </c>
      <c r="T8" s="20">
        <f>VLOOKUP(H8,'Int. Pa.'!$B$3:$C$58,2,FALSE)</f>
        <v>1</v>
      </c>
      <c r="U8" s="20">
        <f>VLOOKUP(I8,'Int. Pa.'!$B$3:$C$58,2,FALSE)</f>
        <v>0</v>
      </c>
      <c r="V8" s="20">
        <f>VLOOKUP(J8,'Int. Pa.'!$B$3:$C$58,2,FALSE)</f>
        <v>10</v>
      </c>
      <c r="W8" s="20">
        <f>VLOOKUP(K8,'Int. Pa.'!$B$3:$C$58,2,FALSE)</f>
        <v>1</v>
      </c>
      <c r="X8" s="20">
        <f>VLOOKUP(L8,'Int. Pa.'!$B$3:$C$58,2,FALSE)</f>
        <v>1</v>
      </c>
      <c r="Y8" s="20">
        <f>VLOOKUP(M8,'Int. Pa.'!$B$3:$C$58,2,FALSE)</f>
        <v>5</v>
      </c>
      <c r="Z8" s="20">
        <f>VLOOKUP(N8,'Int. Pa.'!$B$3:$C$58,2,FALSE)</f>
        <v>6</v>
      </c>
      <c r="AA8" s="20">
        <f>IF(O8&gt;40,10,ROUND((O8/4),0))</f>
        <v>3</v>
      </c>
      <c r="AB8" s="20">
        <f>($E$1*Q8+$F$1*R8+$G$1*S8+$H$1*T8+$I$1*U8+$J$1*V8+$K$1*W8+$L$1*X8+$M$1*Y8+$N$1*Z8+$O$1*AA8)</f>
        <v>34.166666666666664</v>
      </c>
    </row>
    <row r="9" spans="1:29" s="3" customFormat="1">
      <c r="A9" s="84">
        <v>1</v>
      </c>
      <c r="B9" s="81">
        <v>4023</v>
      </c>
      <c r="C9" s="82" t="s">
        <v>231</v>
      </c>
      <c r="D9" s="85">
        <v>2000</v>
      </c>
      <c r="E9" s="18" t="s">
        <v>7</v>
      </c>
      <c r="F9" s="18" t="s">
        <v>2</v>
      </c>
      <c r="G9" s="18" t="s">
        <v>88</v>
      </c>
      <c r="H9" s="18" t="s">
        <v>20</v>
      </c>
      <c r="I9" s="18" t="s">
        <v>24</v>
      </c>
      <c r="J9" s="18" t="s">
        <v>35</v>
      </c>
      <c r="K9" s="18" t="s">
        <v>38</v>
      </c>
      <c r="L9" s="18" t="s">
        <v>42</v>
      </c>
      <c r="M9" s="18" t="s">
        <v>50</v>
      </c>
      <c r="N9" s="18" t="s">
        <v>66</v>
      </c>
      <c r="O9" s="20">
        <f>2013-Table1[[#This Row],[Startup Year]]</f>
        <v>13</v>
      </c>
      <c r="P9" s="20"/>
      <c r="Q9" s="20">
        <f>VLOOKUP(E9,'Int. Pa.'!$B$3:$C$58,2,FALSE)</f>
        <v>1</v>
      </c>
      <c r="R9" s="20">
        <f>VLOOKUP(F9,'Int. Pa.'!$B$3:$C$58,2,FALSE)</f>
        <v>10</v>
      </c>
      <c r="S9" s="20">
        <f>VLOOKUP(G9,'Int. Pa.'!$B$3:$C$58,2,FALSE)</f>
        <v>0</v>
      </c>
      <c r="T9" s="20">
        <f>VLOOKUP(H9,'Int. Pa.'!$B$3:$C$58,2,FALSE)</f>
        <v>1</v>
      </c>
      <c r="U9" s="20">
        <f>VLOOKUP(I9,'Int. Pa.'!$B$3:$C$58,2,FALSE)</f>
        <v>0</v>
      </c>
      <c r="V9" s="20">
        <f>VLOOKUP(J9,'Int. Pa.'!$B$3:$C$58,2,FALSE)</f>
        <v>10</v>
      </c>
      <c r="W9" s="20">
        <f>VLOOKUP(K9,'Int. Pa.'!$B$3:$C$58,2,FALSE)</f>
        <v>1</v>
      </c>
      <c r="X9" s="20">
        <f>VLOOKUP(L9,'Int. Pa.'!$B$3:$C$58,2,FALSE)</f>
        <v>1</v>
      </c>
      <c r="Y9" s="20">
        <f>VLOOKUP(M9,'Int. Pa.'!$B$3:$C$58,2,FALSE)</f>
        <v>5</v>
      </c>
      <c r="Z9" s="20">
        <f>VLOOKUP(N9,'Int. Pa.'!$B$3:$C$58,2,FALSE)</f>
        <v>6</v>
      </c>
      <c r="AA9" s="20">
        <f t="shared" ref="AA9:AA72" si="0">IF(O9&gt;40,10,ROUND((O9/4),0))</f>
        <v>3</v>
      </c>
      <c r="AB9" s="20">
        <f t="shared" ref="AB9:AB72" si="1">($E$1*Q9+$F$1*R9+$G$1*S9+$H$1*T9+$I$1*U9+$J$1*V9+$K$1*W9+$L$1*X9+$M$1*Y9+$N$1*Z9+$O$1*AA9)</f>
        <v>34.166666666666664</v>
      </c>
    </row>
    <row r="10" spans="1:29" s="3" customFormat="1" ht="25.5">
      <c r="A10" s="84">
        <v>1</v>
      </c>
      <c r="B10" s="81">
        <v>4032</v>
      </c>
      <c r="C10" s="82" t="s">
        <v>232</v>
      </c>
      <c r="D10" s="85">
        <v>2000</v>
      </c>
      <c r="E10" s="18" t="s">
        <v>7</v>
      </c>
      <c r="F10" s="18" t="s">
        <v>2</v>
      </c>
      <c r="G10" s="18" t="s">
        <v>88</v>
      </c>
      <c r="H10" s="18" t="s">
        <v>20</v>
      </c>
      <c r="I10" s="18" t="s">
        <v>24</v>
      </c>
      <c r="J10" s="18" t="s">
        <v>35</v>
      </c>
      <c r="K10" s="18" t="s">
        <v>38</v>
      </c>
      <c r="L10" s="18" t="s">
        <v>42</v>
      </c>
      <c r="M10" s="18" t="s">
        <v>50</v>
      </c>
      <c r="N10" s="18" t="s">
        <v>66</v>
      </c>
      <c r="O10" s="20">
        <f>2013-Table1[[#This Row],[Startup Year]]</f>
        <v>13</v>
      </c>
      <c r="P10" s="20"/>
      <c r="Q10" s="20">
        <f>VLOOKUP(E10,'Int. Pa.'!$B$3:$C$58,2,FALSE)</f>
        <v>1</v>
      </c>
      <c r="R10" s="20">
        <f>VLOOKUP(F10,'Int. Pa.'!$B$3:$C$58,2,FALSE)</f>
        <v>10</v>
      </c>
      <c r="S10" s="20">
        <f>VLOOKUP(G10,'Int. Pa.'!$B$3:$C$58,2,FALSE)</f>
        <v>0</v>
      </c>
      <c r="T10" s="20">
        <f>VLOOKUP(H10,'Int. Pa.'!$B$3:$C$58,2,FALSE)</f>
        <v>1</v>
      </c>
      <c r="U10" s="20">
        <f>VLOOKUP(I10,'Int. Pa.'!$B$3:$C$58,2,FALSE)</f>
        <v>0</v>
      </c>
      <c r="V10" s="20">
        <f>VLOOKUP(J10,'Int. Pa.'!$B$3:$C$58,2,FALSE)</f>
        <v>10</v>
      </c>
      <c r="W10" s="20">
        <f>VLOOKUP(K10,'Int. Pa.'!$B$3:$C$58,2,FALSE)</f>
        <v>1</v>
      </c>
      <c r="X10" s="20">
        <f>VLOOKUP(L10,'Int. Pa.'!$B$3:$C$58,2,FALSE)</f>
        <v>1</v>
      </c>
      <c r="Y10" s="20">
        <f>VLOOKUP(M10,'Int. Pa.'!$B$3:$C$58,2,FALSE)</f>
        <v>5</v>
      </c>
      <c r="Z10" s="20">
        <f>VLOOKUP(N10,'Int. Pa.'!$B$3:$C$58,2,FALSE)</f>
        <v>6</v>
      </c>
      <c r="AA10" s="20">
        <f t="shared" si="0"/>
        <v>3</v>
      </c>
      <c r="AB10" s="20">
        <f t="shared" si="1"/>
        <v>34.166666666666664</v>
      </c>
    </row>
    <row r="11" spans="1:29" s="3" customFormat="1">
      <c r="A11" s="84">
        <v>1</v>
      </c>
      <c r="B11" s="81">
        <v>4311</v>
      </c>
      <c r="C11" s="82" t="s">
        <v>233</v>
      </c>
      <c r="D11" s="85">
        <v>2000</v>
      </c>
      <c r="E11" s="18" t="s">
        <v>7</v>
      </c>
      <c r="F11" s="18" t="s">
        <v>2</v>
      </c>
      <c r="G11" s="18" t="s">
        <v>88</v>
      </c>
      <c r="H11" s="18" t="s">
        <v>20</v>
      </c>
      <c r="I11" s="18" t="s">
        <v>24</v>
      </c>
      <c r="J11" s="18" t="s">
        <v>35</v>
      </c>
      <c r="K11" s="18" t="s">
        <v>38</v>
      </c>
      <c r="L11" s="18" t="s">
        <v>42</v>
      </c>
      <c r="M11" s="18" t="s">
        <v>50</v>
      </c>
      <c r="N11" s="18" t="s">
        <v>66</v>
      </c>
      <c r="O11" s="20">
        <f>2013-Table1[[#This Row],[Startup Year]]</f>
        <v>13</v>
      </c>
      <c r="P11" s="20"/>
      <c r="Q11" s="20">
        <f>VLOOKUP(E11,'Int. Pa.'!$B$3:$C$58,2,FALSE)</f>
        <v>1</v>
      </c>
      <c r="R11" s="20">
        <f>VLOOKUP(F11,'Int. Pa.'!$B$3:$C$58,2,FALSE)</f>
        <v>10</v>
      </c>
      <c r="S11" s="20">
        <f>VLOOKUP(G11,'Int. Pa.'!$B$3:$C$58,2,FALSE)</f>
        <v>0</v>
      </c>
      <c r="T11" s="20">
        <f>VLOOKUP(H11,'Int. Pa.'!$B$3:$C$58,2,FALSE)</f>
        <v>1</v>
      </c>
      <c r="U11" s="20">
        <f>VLOOKUP(I11,'Int. Pa.'!$B$3:$C$58,2,FALSE)</f>
        <v>0</v>
      </c>
      <c r="V11" s="20">
        <f>VLOOKUP(J11,'Int. Pa.'!$B$3:$C$58,2,FALSE)</f>
        <v>10</v>
      </c>
      <c r="W11" s="20">
        <f>VLOOKUP(K11,'Int. Pa.'!$B$3:$C$58,2,FALSE)</f>
        <v>1</v>
      </c>
      <c r="X11" s="20">
        <f>VLOOKUP(L11,'Int. Pa.'!$B$3:$C$58,2,FALSE)</f>
        <v>1</v>
      </c>
      <c r="Y11" s="20">
        <f>VLOOKUP(M11,'Int. Pa.'!$B$3:$C$58,2,FALSE)</f>
        <v>5</v>
      </c>
      <c r="Z11" s="20">
        <f>VLOOKUP(N11,'Int. Pa.'!$B$3:$C$58,2,FALSE)</f>
        <v>6</v>
      </c>
      <c r="AA11" s="20">
        <f t="shared" si="0"/>
        <v>3</v>
      </c>
      <c r="AB11" s="20">
        <f t="shared" si="1"/>
        <v>34.166666666666664</v>
      </c>
    </row>
    <row r="12" spans="1:29" s="3" customFormat="1">
      <c r="A12" s="80">
        <v>1</v>
      </c>
      <c r="B12" s="81">
        <v>431110003</v>
      </c>
      <c r="C12" s="82" t="s">
        <v>609</v>
      </c>
      <c r="D12" s="83">
        <v>2000</v>
      </c>
      <c r="E12" s="18" t="s">
        <v>7</v>
      </c>
      <c r="F12" s="18" t="s">
        <v>2</v>
      </c>
      <c r="G12" s="18" t="s">
        <v>88</v>
      </c>
      <c r="H12" s="18" t="s">
        <v>20</v>
      </c>
      <c r="I12" s="18" t="s">
        <v>24</v>
      </c>
      <c r="J12" s="18" t="s">
        <v>35</v>
      </c>
      <c r="K12" s="18" t="s">
        <v>38</v>
      </c>
      <c r="L12" s="18" t="s">
        <v>42</v>
      </c>
      <c r="M12" s="18" t="s">
        <v>50</v>
      </c>
      <c r="N12" s="18" t="s">
        <v>66</v>
      </c>
      <c r="O12" s="20">
        <f>2013-Table1[[#This Row],[Startup Year]]</f>
        <v>13</v>
      </c>
      <c r="P12" s="20"/>
      <c r="Q12" s="20">
        <f>VLOOKUP(E12,'Int. Pa.'!$B$3:$C$58,2,FALSE)</f>
        <v>1</v>
      </c>
      <c r="R12" s="20">
        <f>VLOOKUP(F12,'Int. Pa.'!$B$3:$C$58,2,FALSE)</f>
        <v>10</v>
      </c>
      <c r="S12" s="20">
        <f>VLOOKUP(G12,'Int. Pa.'!$B$3:$C$58,2,FALSE)</f>
        <v>0</v>
      </c>
      <c r="T12" s="20">
        <f>VLOOKUP(H12,'Int. Pa.'!$B$3:$C$58,2,FALSE)</f>
        <v>1</v>
      </c>
      <c r="U12" s="20">
        <f>VLOOKUP(I12,'Int. Pa.'!$B$3:$C$58,2,FALSE)</f>
        <v>0</v>
      </c>
      <c r="V12" s="20">
        <f>VLOOKUP(J12,'Int. Pa.'!$B$3:$C$58,2,FALSE)</f>
        <v>10</v>
      </c>
      <c r="W12" s="20">
        <f>VLOOKUP(K12,'Int. Pa.'!$B$3:$C$58,2,FALSE)</f>
        <v>1</v>
      </c>
      <c r="X12" s="20">
        <f>VLOOKUP(L12,'Int. Pa.'!$B$3:$C$58,2,FALSE)</f>
        <v>1</v>
      </c>
      <c r="Y12" s="20">
        <f>VLOOKUP(M12,'Int. Pa.'!$B$3:$C$58,2,FALSE)</f>
        <v>5</v>
      </c>
      <c r="Z12" s="20">
        <f>VLOOKUP(N12,'Int. Pa.'!$B$3:$C$58,2,FALSE)</f>
        <v>6</v>
      </c>
      <c r="AA12" s="20">
        <f t="shared" si="0"/>
        <v>3</v>
      </c>
      <c r="AB12" s="20">
        <f t="shared" si="1"/>
        <v>34.166666666666664</v>
      </c>
    </row>
    <row r="13" spans="1:29" s="3" customFormat="1">
      <c r="A13" s="80">
        <v>1</v>
      </c>
      <c r="B13" s="81">
        <v>4311103</v>
      </c>
      <c r="C13" s="82" t="s">
        <v>598</v>
      </c>
      <c r="D13" s="83">
        <v>2000</v>
      </c>
      <c r="E13" s="18" t="s">
        <v>7</v>
      </c>
      <c r="F13" s="18" t="s">
        <v>2</v>
      </c>
      <c r="G13" s="18" t="s">
        <v>88</v>
      </c>
      <c r="H13" s="18" t="s">
        <v>20</v>
      </c>
      <c r="I13" s="18" t="s">
        <v>24</v>
      </c>
      <c r="J13" s="18" t="s">
        <v>35</v>
      </c>
      <c r="K13" s="18" t="s">
        <v>38</v>
      </c>
      <c r="L13" s="18" t="s">
        <v>42</v>
      </c>
      <c r="M13" s="18" t="s">
        <v>50</v>
      </c>
      <c r="N13" s="18" t="s">
        <v>66</v>
      </c>
      <c r="O13" s="20">
        <f>2013-Table1[[#This Row],[Startup Year]]</f>
        <v>13</v>
      </c>
      <c r="P13" s="20"/>
      <c r="Q13" s="20">
        <f>VLOOKUP(E13,'Int. Pa.'!$B$3:$C$58,2,FALSE)</f>
        <v>1</v>
      </c>
      <c r="R13" s="20">
        <f>VLOOKUP(F13,'Int. Pa.'!$B$3:$C$58,2,FALSE)</f>
        <v>10</v>
      </c>
      <c r="S13" s="20">
        <f>VLOOKUP(G13,'Int. Pa.'!$B$3:$C$58,2,FALSE)</f>
        <v>0</v>
      </c>
      <c r="T13" s="20">
        <f>VLOOKUP(H13,'Int. Pa.'!$B$3:$C$58,2,FALSE)</f>
        <v>1</v>
      </c>
      <c r="U13" s="20">
        <f>VLOOKUP(I13,'Int. Pa.'!$B$3:$C$58,2,FALSE)</f>
        <v>0</v>
      </c>
      <c r="V13" s="20">
        <f>VLOOKUP(J13,'Int. Pa.'!$B$3:$C$58,2,FALSE)</f>
        <v>10</v>
      </c>
      <c r="W13" s="20">
        <f>VLOOKUP(K13,'Int. Pa.'!$B$3:$C$58,2,FALSE)</f>
        <v>1</v>
      </c>
      <c r="X13" s="20">
        <f>VLOOKUP(L13,'Int. Pa.'!$B$3:$C$58,2,FALSE)</f>
        <v>1</v>
      </c>
      <c r="Y13" s="20">
        <f>VLOOKUP(M13,'Int. Pa.'!$B$3:$C$58,2,FALSE)</f>
        <v>5</v>
      </c>
      <c r="Z13" s="20">
        <f>VLOOKUP(N13,'Int. Pa.'!$B$3:$C$58,2,FALSE)</f>
        <v>6</v>
      </c>
      <c r="AA13" s="20">
        <f t="shared" si="0"/>
        <v>3</v>
      </c>
      <c r="AB13" s="20">
        <f t="shared" si="1"/>
        <v>34.166666666666664</v>
      </c>
    </row>
    <row r="14" spans="1:29" s="3" customFormat="1">
      <c r="A14" s="80">
        <v>1</v>
      </c>
      <c r="B14" s="81">
        <v>431120101</v>
      </c>
      <c r="C14" s="82" t="s">
        <v>594</v>
      </c>
      <c r="D14" s="83">
        <v>2000</v>
      </c>
      <c r="E14" s="18" t="s">
        <v>7</v>
      </c>
      <c r="F14" s="18" t="s">
        <v>2</v>
      </c>
      <c r="G14" s="18" t="s">
        <v>88</v>
      </c>
      <c r="H14" s="18" t="s">
        <v>20</v>
      </c>
      <c r="I14" s="18" t="s">
        <v>24</v>
      </c>
      <c r="J14" s="18" t="s">
        <v>35</v>
      </c>
      <c r="K14" s="18" t="s">
        <v>38</v>
      </c>
      <c r="L14" s="18" t="s">
        <v>42</v>
      </c>
      <c r="M14" s="18" t="s">
        <v>50</v>
      </c>
      <c r="N14" s="18" t="s">
        <v>66</v>
      </c>
      <c r="O14" s="20">
        <f>2013-Table1[[#This Row],[Startup Year]]</f>
        <v>13</v>
      </c>
      <c r="P14" s="20"/>
      <c r="Q14" s="20">
        <f>VLOOKUP(E14,'Int. Pa.'!$B$3:$C$58,2,FALSE)</f>
        <v>1</v>
      </c>
      <c r="R14" s="20">
        <f>VLOOKUP(F14,'Int. Pa.'!$B$3:$C$58,2,FALSE)</f>
        <v>10</v>
      </c>
      <c r="S14" s="20">
        <f>VLOOKUP(G14,'Int. Pa.'!$B$3:$C$58,2,FALSE)</f>
        <v>0</v>
      </c>
      <c r="T14" s="20">
        <f>VLOOKUP(H14,'Int. Pa.'!$B$3:$C$58,2,FALSE)</f>
        <v>1</v>
      </c>
      <c r="U14" s="20">
        <f>VLOOKUP(I14,'Int. Pa.'!$B$3:$C$58,2,FALSE)</f>
        <v>0</v>
      </c>
      <c r="V14" s="20">
        <f>VLOOKUP(J14,'Int. Pa.'!$B$3:$C$58,2,FALSE)</f>
        <v>10</v>
      </c>
      <c r="W14" s="20">
        <f>VLOOKUP(K14,'Int. Pa.'!$B$3:$C$58,2,FALSE)</f>
        <v>1</v>
      </c>
      <c r="X14" s="20">
        <f>VLOOKUP(L14,'Int. Pa.'!$B$3:$C$58,2,FALSE)</f>
        <v>1</v>
      </c>
      <c r="Y14" s="20">
        <f>VLOOKUP(M14,'Int. Pa.'!$B$3:$C$58,2,FALSE)</f>
        <v>5</v>
      </c>
      <c r="Z14" s="20">
        <f>VLOOKUP(N14,'Int. Pa.'!$B$3:$C$58,2,FALSE)</f>
        <v>6</v>
      </c>
      <c r="AA14" s="20">
        <f t="shared" si="0"/>
        <v>3</v>
      </c>
      <c r="AB14" s="20">
        <f t="shared" si="1"/>
        <v>34.166666666666664</v>
      </c>
    </row>
    <row r="15" spans="1:29" s="3" customFormat="1">
      <c r="A15" s="80">
        <v>1</v>
      </c>
      <c r="B15" s="81">
        <v>431120102</v>
      </c>
      <c r="C15" s="82" t="s">
        <v>596</v>
      </c>
      <c r="D15" s="83">
        <v>2000</v>
      </c>
      <c r="E15" s="18" t="s">
        <v>7</v>
      </c>
      <c r="F15" s="18" t="s">
        <v>2</v>
      </c>
      <c r="G15" s="18" t="s">
        <v>88</v>
      </c>
      <c r="H15" s="18" t="s">
        <v>20</v>
      </c>
      <c r="I15" s="18" t="s">
        <v>24</v>
      </c>
      <c r="J15" s="18" t="s">
        <v>35</v>
      </c>
      <c r="K15" s="18" t="s">
        <v>38</v>
      </c>
      <c r="L15" s="18" t="s">
        <v>42</v>
      </c>
      <c r="M15" s="18" t="s">
        <v>50</v>
      </c>
      <c r="N15" s="18" t="s">
        <v>66</v>
      </c>
      <c r="O15" s="20">
        <f>2013-Table1[[#This Row],[Startup Year]]</f>
        <v>13</v>
      </c>
      <c r="P15" s="20"/>
      <c r="Q15" s="20">
        <f>VLOOKUP(E15,'Int. Pa.'!$B$3:$C$58,2,FALSE)</f>
        <v>1</v>
      </c>
      <c r="R15" s="20">
        <f>VLOOKUP(F15,'Int. Pa.'!$B$3:$C$58,2,FALSE)</f>
        <v>10</v>
      </c>
      <c r="S15" s="20">
        <f>VLOOKUP(G15,'Int. Pa.'!$B$3:$C$58,2,FALSE)</f>
        <v>0</v>
      </c>
      <c r="T15" s="20">
        <f>VLOOKUP(H15,'Int. Pa.'!$B$3:$C$58,2,FALSE)</f>
        <v>1</v>
      </c>
      <c r="U15" s="20">
        <f>VLOOKUP(I15,'Int. Pa.'!$B$3:$C$58,2,FALSE)</f>
        <v>0</v>
      </c>
      <c r="V15" s="20">
        <f>VLOOKUP(J15,'Int. Pa.'!$B$3:$C$58,2,FALSE)</f>
        <v>10</v>
      </c>
      <c r="W15" s="20">
        <f>VLOOKUP(K15,'Int. Pa.'!$B$3:$C$58,2,FALSE)</f>
        <v>1</v>
      </c>
      <c r="X15" s="20">
        <f>VLOOKUP(L15,'Int. Pa.'!$B$3:$C$58,2,FALSE)</f>
        <v>1</v>
      </c>
      <c r="Y15" s="20">
        <f>VLOOKUP(M15,'Int. Pa.'!$B$3:$C$58,2,FALSE)</f>
        <v>5</v>
      </c>
      <c r="Z15" s="20">
        <f>VLOOKUP(N15,'Int. Pa.'!$B$3:$C$58,2,FALSE)</f>
        <v>6</v>
      </c>
      <c r="AA15" s="20">
        <f t="shared" si="0"/>
        <v>3</v>
      </c>
      <c r="AB15" s="20">
        <f t="shared" si="1"/>
        <v>34.166666666666664</v>
      </c>
    </row>
    <row r="16" spans="1:29" s="3" customFormat="1">
      <c r="A16" s="80">
        <v>1</v>
      </c>
      <c r="B16" s="81">
        <v>431120103</v>
      </c>
      <c r="C16" s="82" t="s">
        <v>601</v>
      </c>
      <c r="D16" s="83">
        <v>2000</v>
      </c>
      <c r="E16" s="18" t="s">
        <v>7</v>
      </c>
      <c r="F16" s="18" t="s">
        <v>2</v>
      </c>
      <c r="G16" s="18" t="s">
        <v>88</v>
      </c>
      <c r="H16" s="18" t="s">
        <v>20</v>
      </c>
      <c r="I16" s="18" t="s">
        <v>24</v>
      </c>
      <c r="J16" s="18" t="s">
        <v>35</v>
      </c>
      <c r="K16" s="18" t="s">
        <v>38</v>
      </c>
      <c r="L16" s="18" t="s">
        <v>42</v>
      </c>
      <c r="M16" s="18" t="s">
        <v>50</v>
      </c>
      <c r="N16" s="18" t="s">
        <v>66</v>
      </c>
      <c r="O16" s="20">
        <f>2013-Table1[[#This Row],[Startup Year]]</f>
        <v>13</v>
      </c>
      <c r="P16" s="20"/>
      <c r="Q16" s="20">
        <f>VLOOKUP(E16,'Int. Pa.'!$B$3:$C$58,2,FALSE)</f>
        <v>1</v>
      </c>
      <c r="R16" s="20">
        <f>VLOOKUP(F16,'Int. Pa.'!$B$3:$C$58,2,FALSE)</f>
        <v>10</v>
      </c>
      <c r="S16" s="20">
        <f>VLOOKUP(G16,'Int. Pa.'!$B$3:$C$58,2,FALSE)</f>
        <v>0</v>
      </c>
      <c r="T16" s="20">
        <f>VLOOKUP(H16,'Int. Pa.'!$B$3:$C$58,2,FALSE)</f>
        <v>1</v>
      </c>
      <c r="U16" s="20">
        <f>VLOOKUP(I16,'Int. Pa.'!$B$3:$C$58,2,FALSE)</f>
        <v>0</v>
      </c>
      <c r="V16" s="20">
        <f>VLOOKUP(J16,'Int. Pa.'!$B$3:$C$58,2,FALSE)</f>
        <v>10</v>
      </c>
      <c r="W16" s="20">
        <f>VLOOKUP(K16,'Int. Pa.'!$B$3:$C$58,2,FALSE)</f>
        <v>1</v>
      </c>
      <c r="X16" s="20">
        <f>VLOOKUP(L16,'Int. Pa.'!$B$3:$C$58,2,FALSE)</f>
        <v>1</v>
      </c>
      <c r="Y16" s="20">
        <f>VLOOKUP(M16,'Int. Pa.'!$B$3:$C$58,2,FALSE)</f>
        <v>5</v>
      </c>
      <c r="Z16" s="20">
        <f>VLOOKUP(N16,'Int. Pa.'!$B$3:$C$58,2,FALSE)</f>
        <v>6</v>
      </c>
      <c r="AA16" s="20">
        <f t="shared" si="0"/>
        <v>3</v>
      </c>
      <c r="AB16" s="20">
        <f t="shared" si="1"/>
        <v>34.166666666666664</v>
      </c>
    </row>
    <row r="17" spans="1:28" s="3" customFormat="1">
      <c r="A17" s="80">
        <v>1</v>
      </c>
      <c r="B17" s="81">
        <v>431120106</v>
      </c>
      <c r="C17" s="82" t="s">
        <v>584</v>
      </c>
      <c r="D17" s="83">
        <v>2000</v>
      </c>
      <c r="E17" s="18" t="s">
        <v>7</v>
      </c>
      <c r="F17" s="18" t="s">
        <v>2</v>
      </c>
      <c r="G17" s="18" t="s">
        <v>88</v>
      </c>
      <c r="H17" s="18" t="s">
        <v>20</v>
      </c>
      <c r="I17" s="18" t="s">
        <v>24</v>
      </c>
      <c r="J17" s="18" t="s">
        <v>35</v>
      </c>
      <c r="K17" s="18" t="s">
        <v>38</v>
      </c>
      <c r="L17" s="18" t="s">
        <v>42</v>
      </c>
      <c r="M17" s="18" t="s">
        <v>50</v>
      </c>
      <c r="N17" s="18" t="s">
        <v>66</v>
      </c>
      <c r="O17" s="20">
        <f>2013-Table1[[#This Row],[Startup Year]]</f>
        <v>13</v>
      </c>
      <c r="P17" s="20"/>
      <c r="Q17" s="20">
        <f>VLOOKUP(E17,'Int. Pa.'!$B$3:$C$58,2,FALSE)</f>
        <v>1</v>
      </c>
      <c r="R17" s="20">
        <f>VLOOKUP(F17,'Int. Pa.'!$B$3:$C$58,2,FALSE)</f>
        <v>10</v>
      </c>
      <c r="S17" s="20">
        <f>VLOOKUP(G17,'Int. Pa.'!$B$3:$C$58,2,FALSE)</f>
        <v>0</v>
      </c>
      <c r="T17" s="20">
        <f>VLOOKUP(H17,'Int. Pa.'!$B$3:$C$58,2,FALSE)</f>
        <v>1</v>
      </c>
      <c r="U17" s="20">
        <f>VLOOKUP(I17,'Int. Pa.'!$B$3:$C$58,2,FALSE)</f>
        <v>0</v>
      </c>
      <c r="V17" s="20">
        <f>VLOOKUP(J17,'Int. Pa.'!$B$3:$C$58,2,FALSE)</f>
        <v>10</v>
      </c>
      <c r="W17" s="20">
        <f>VLOOKUP(K17,'Int. Pa.'!$B$3:$C$58,2,FALSE)</f>
        <v>1</v>
      </c>
      <c r="X17" s="20">
        <f>VLOOKUP(L17,'Int. Pa.'!$B$3:$C$58,2,FALSE)</f>
        <v>1</v>
      </c>
      <c r="Y17" s="20">
        <f>VLOOKUP(M17,'Int. Pa.'!$B$3:$C$58,2,FALSE)</f>
        <v>5</v>
      </c>
      <c r="Z17" s="20">
        <f>VLOOKUP(N17,'Int. Pa.'!$B$3:$C$58,2,FALSE)</f>
        <v>6</v>
      </c>
      <c r="AA17" s="20">
        <f t="shared" si="0"/>
        <v>3</v>
      </c>
      <c r="AB17" s="20">
        <f t="shared" si="1"/>
        <v>34.166666666666664</v>
      </c>
    </row>
    <row r="18" spans="1:28" s="3" customFormat="1">
      <c r="A18" s="80">
        <v>1</v>
      </c>
      <c r="B18" s="81">
        <v>431120108</v>
      </c>
      <c r="C18" s="82" t="s">
        <v>589</v>
      </c>
      <c r="D18" s="83">
        <v>2000</v>
      </c>
      <c r="E18" s="18" t="s">
        <v>7</v>
      </c>
      <c r="F18" s="18" t="s">
        <v>2</v>
      </c>
      <c r="G18" s="18" t="s">
        <v>88</v>
      </c>
      <c r="H18" s="18" t="s">
        <v>20</v>
      </c>
      <c r="I18" s="18" t="s">
        <v>24</v>
      </c>
      <c r="J18" s="18" t="s">
        <v>35</v>
      </c>
      <c r="K18" s="18" t="s">
        <v>38</v>
      </c>
      <c r="L18" s="18" t="s">
        <v>42</v>
      </c>
      <c r="M18" s="18" t="s">
        <v>50</v>
      </c>
      <c r="N18" s="18" t="s">
        <v>66</v>
      </c>
      <c r="O18" s="20">
        <f>2013-Table1[[#This Row],[Startup Year]]</f>
        <v>13</v>
      </c>
      <c r="P18" s="20"/>
      <c r="Q18" s="20">
        <f>VLOOKUP(E18,'Int. Pa.'!$B$3:$C$58,2,FALSE)</f>
        <v>1</v>
      </c>
      <c r="R18" s="20">
        <f>VLOOKUP(F18,'Int. Pa.'!$B$3:$C$58,2,FALSE)</f>
        <v>10</v>
      </c>
      <c r="S18" s="20">
        <f>VLOOKUP(G18,'Int. Pa.'!$B$3:$C$58,2,FALSE)</f>
        <v>0</v>
      </c>
      <c r="T18" s="20">
        <f>VLOOKUP(H18,'Int. Pa.'!$B$3:$C$58,2,FALSE)</f>
        <v>1</v>
      </c>
      <c r="U18" s="20">
        <f>VLOOKUP(I18,'Int. Pa.'!$B$3:$C$58,2,FALSE)</f>
        <v>0</v>
      </c>
      <c r="V18" s="20">
        <f>VLOOKUP(J18,'Int. Pa.'!$B$3:$C$58,2,FALSE)</f>
        <v>10</v>
      </c>
      <c r="W18" s="20">
        <f>VLOOKUP(K18,'Int. Pa.'!$B$3:$C$58,2,FALSE)</f>
        <v>1</v>
      </c>
      <c r="X18" s="20">
        <f>VLOOKUP(L18,'Int. Pa.'!$B$3:$C$58,2,FALSE)</f>
        <v>1</v>
      </c>
      <c r="Y18" s="20">
        <f>VLOOKUP(M18,'Int. Pa.'!$B$3:$C$58,2,FALSE)</f>
        <v>5</v>
      </c>
      <c r="Z18" s="20">
        <f>VLOOKUP(N18,'Int. Pa.'!$B$3:$C$58,2,FALSE)</f>
        <v>6</v>
      </c>
      <c r="AA18" s="20">
        <f t="shared" si="0"/>
        <v>3</v>
      </c>
      <c r="AB18" s="20">
        <f t="shared" si="1"/>
        <v>34.166666666666664</v>
      </c>
    </row>
    <row r="19" spans="1:28" s="3" customFormat="1">
      <c r="A19" s="80">
        <v>1</v>
      </c>
      <c r="B19" s="81">
        <v>431120001</v>
      </c>
      <c r="C19" s="82" t="s">
        <v>586</v>
      </c>
      <c r="D19" s="83">
        <v>2000</v>
      </c>
      <c r="E19" s="18" t="s">
        <v>7</v>
      </c>
      <c r="F19" s="18" t="s">
        <v>2</v>
      </c>
      <c r="G19" s="18" t="s">
        <v>88</v>
      </c>
      <c r="H19" s="18" t="s">
        <v>20</v>
      </c>
      <c r="I19" s="18" t="s">
        <v>24</v>
      </c>
      <c r="J19" s="18" t="s">
        <v>35</v>
      </c>
      <c r="K19" s="18" t="s">
        <v>38</v>
      </c>
      <c r="L19" s="18" t="s">
        <v>42</v>
      </c>
      <c r="M19" s="18" t="s">
        <v>50</v>
      </c>
      <c r="N19" s="18" t="s">
        <v>66</v>
      </c>
      <c r="O19" s="20">
        <f>2013-Table1[[#This Row],[Startup Year]]</f>
        <v>13</v>
      </c>
      <c r="P19" s="20"/>
      <c r="Q19" s="20">
        <f>VLOOKUP(E19,'Int. Pa.'!$B$3:$C$58,2,FALSE)</f>
        <v>1</v>
      </c>
      <c r="R19" s="20">
        <f>VLOOKUP(F19,'Int. Pa.'!$B$3:$C$58,2,FALSE)</f>
        <v>10</v>
      </c>
      <c r="S19" s="20">
        <f>VLOOKUP(G19,'Int. Pa.'!$B$3:$C$58,2,FALSE)</f>
        <v>0</v>
      </c>
      <c r="T19" s="20">
        <f>VLOOKUP(H19,'Int. Pa.'!$B$3:$C$58,2,FALSE)</f>
        <v>1</v>
      </c>
      <c r="U19" s="20">
        <f>VLOOKUP(I19,'Int. Pa.'!$B$3:$C$58,2,FALSE)</f>
        <v>0</v>
      </c>
      <c r="V19" s="20">
        <f>VLOOKUP(J19,'Int. Pa.'!$B$3:$C$58,2,FALSE)</f>
        <v>10</v>
      </c>
      <c r="W19" s="20">
        <f>VLOOKUP(K19,'Int. Pa.'!$B$3:$C$58,2,FALSE)</f>
        <v>1</v>
      </c>
      <c r="X19" s="20">
        <f>VLOOKUP(L19,'Int. Pa.'!$B$3:$C$58,2,FALSE)</f>
        <v>1</v>
      </c>
      <c r="Y19" s="20">
        <f>VLOOKUP(M19,'Int. Pa.'!$B$3:$C$58,2,FALSE)</f>
        <v>5</v>
      </c>
      <c r="Z19" s="20">
        <f>VLOOKUP(N19,'Int. Pa.'!$B$3:$C$58,2,FALSE)</f>
        <v>6</v>
      </c>
      <c r="AA19" s="20">
        <f t="shared" si="0"/>
        <v>3</v>
      </c>
      <c r="AB19" s="20">
        <f t="shared" si="1"/>
        <v>34.166666666666664</v>
      </c>
    </row>
    <row r="20" spans="1:28" s="3" customFormat="1">
      <c r="A20" s="84">
        <v>1</v>
      </c>
      <c r="B20" s="81">
        <v>4401</v>
      </c>
      <c r="C20" s="82" t="s">
        <v>234</v>
      </c>
      <c r="D20" s="85">
        <v>2000</v>
      </c>
      <c r="E20" s="18" t="s">
        <v>7</v>
      </c>
      <c r="F20" s="18" t="s">
        <v>2</v>
      </c>
      <c r="G20" s="18" t="s">
        <v>88</v>
      </c>
      <c r="H20" s="18" t="s">
        <v>20</v>
      </c>
      <c r="I20" s="18" t="s">
        <v>24</v>
      </c>
      <c r="J20" s="18" t="s">
        <v>35</v>
      </c>
      <c r="K20" s="18" t="s">
        <v>38</v>
      </c>
      <c r="L20" s="18" t="s">
        <v>42</v>
      </c>
      <c r="M20" s="18" t="s">
        <v>50</v>
      </c>
      <c r="N20" s="18" t="s">
        <v>66</v>
      </c>
      <c r="O20" s="20">
        <f>2013-Table1[[#This Row],[Startup Year]]</f>
        <v>13</v>
      </c>
      <c r="P20" s="20"/>
      <c r="Q20" s="20">
        <f>VLOOKUP(E20,'Int. Pa.'!$B$3:$C$58,2,FALSE)</f>
        <v>1</v>
      </c>
      <c r="R20" s="20">
        <f>VLOOKUP(F20,'Int. Pa.'!$B$3:$C$58,2,FALSE)</f>
        <v>10</v>
      </c>
      <c r="S20" s="20">
        <f>VLOOKUP(G20,'Int. Pa.'!$B$3:$C$58,2,FALSE)</f>
        <v>0</v>
      </c>
      <c r="T20" s="20">
        <f>VLOOKUP(H20,'Int. Pa.'!$B$3:$C$58,2,FALSE)</f>
        <v>1</v>
      </c>
      <c r="U20" s="20">
        <f>VLOOKUP(I20,'Int. Pa.'!$B$3:$C$58,2,FALSE)</f>
        <v>0</v>
      </c>
      <c r="V20" s="20">
        <f>VLOOKUP(J20,'Int. Pa.'!$B$3:$C$58,2,FALSE)</f>
        <v>10</v>
      </c>
      <c r="W20" s="20">
        <f>VLOOKUP(K20,'Int. Pa.'!$B$3:$C$58,2,FALSE)</f>
        <v>1</v>
      </c>
      <c r="X20" s="20">
        <f>VLOOKUP(L20,'Int. Pa.'!$B$3:$C$58,2,FALSE)</f>
        <v>1</v>
      </c>
      <c r="Y20" s="20">
        <f>VLOOKUP(M20,'Int. Pa.'!$B$3:$C$58,2,FALSE)</f>
        <v>5</v>
      </c>
      <c r="Z20" s="20">
        <f>VLOOKUP(N20,'Int. Pa.'!$B$3:$C$58,2,FALSE)</f>
        <v>6</v>
      </c>
      <c r="AA20" s="20">
        <f t="shared" si="0"/>
        <v>3</v>
      </c>
      <c r="AB20" s="20">
        <f t="shared" si="1"/>
        <v>34.166666666666664</v>
      </c>
    </row>
    <row r="21" spans="1:28" s="3" customFormat="1">
      <c r="A21" s="84">
        <v>1</v>
      </c>
      <c r="B21" s="81">
        <v>5033</v>
      </c>
      <c r="C21" s="82" t="s">
        <v>235</v>
      </c>
      <c r="D21" s="85">
        <v>2000</v>
      </c>
      <c r="E21" s="18" t="s">
        <v>7</v>
      </c>
      <c r="F21" s="18" t="s">
        <v>2</v>
      </c>
      <c r="G21" s="18" t="s">
        <v>88</v>
      </c>
      <c r="H21" s="18" t="s">
        <v>20</v>
      </c>
      <c r="I21" s="18" t="s">
        <v>24</v>
      </c>
      <c r="J21" s="18" t="s">
        <v>35</v>
      </c>
      <c r="K21" s="18" t="s">
        <v>38</v>
      </c>
      <c r="L21" s="18" t="s">
        <v>42</v>
      </c>
      <c r="M21" s="18" t="s">
        <v>50</v>
      </c>
      <c r="N21" s="18" t="s">
        <v>66</v>
      </c>
      <c r="O21" s="20">
        <f>2013-Table1[[#This Row],[Startup Year]]</f>
        <v>13</v>
      </c>
      <c r="P21" s="20"/>
      <c r="Q21" s="20">
        <f>VLOOKUP(E21,'Int. Pa.'!$B$3:$C$58,2,FALSE)</f>
        <v>1</v>
      </c>
      <c r="R21" s="20">
        <f>VLOOKUP(F21,'Int. Pa.'!$B$3:$C$58,2,FALSE)</f>
        <v>10</v>
      </c>
      <c r="S21" s="20">
        <f>VLOOKUP(G21,'Int. Pa.'!$B$3:$C$58,2,FALSE)</f>
        <v>0</v>
      </c>
      <c r="T21" s="20">
        <f>VLOOKUP(H21,'Int. Pa.'!$B$3:$C$58,2,FALSE)</f>
        <v>1</v>
      </c>
      <c r="U21" s="20">
        <f>VLOOKUP(I21,'Int. Pa.'!$B$3:$C$58,2,FALSE)</f>
        <v>0</v>
      </c>
      <c r="V21" s="20">
        <f>VLOOKUP(J21,'Int. Pa.'!$B$3:$C$58,2,FALSE)</f>
        <v>10</v>
      </c>
      <c r="W21" s="20">
        <f>VLOOKUP(K21,'Int. Pa.'!$B$3:$C$58,2,FALSE)</f>
        <v>1</v>
      </c>
      <c r="X21" s="20">
        <f>VLOOKUP(L21,'Int. Pa.'!$B$3:$C$58,2,FALSE)</f>
        <v>1</v>
      </c>
      <c r="Y21" s="20">
        <f>VLOOKUP(M21,'Int. Pa.'!$B$3:$C$58,2,FALSE)</f>
        <v>5</v>
      </c>
      <c r="Z21" s="20">
        <f>VLOOKUP(N21,'Int. Pa.'!$B$3:$C$58,2,FALSE)</f>
        <v>6</v>
      </c>
      <c r="AA21" s="20">
        <f t="shared" si="0"/>
        <v>3</v>
      </c>
      <c r="AB21" s="20">
        <f t="shared" si="1"/>
        <v>34.166666666666664</v>
      </c>
    </row>
    <row r="22" spans="1:28" s="3" customFormat="1">
      <c r="A22" s="29">
        <v>1</v>
      </c>
      <c r="B22" s="26">
        <v>40231</v>
      </c>
      <c r="C22" s="27" t="s">
        <v>236</v>
      </c>
      <c r="D22" s="28">
        <v>2000</v>
      </c>
      <c r="E22" s="18" t="s">
        <v>7</v>
      </c>
      <c r="F22" s="18" t="s">
        <v>2</v>
      </c>
      <c r="G22" s="18" t="s">
        <v>88</v>
      </c>
      <c r="H22" s="18" t="s">
        <v>20</v>
      </c>
      <c r="I22" s="18" t="s">
        <v>24</v>
      </c>
      <c r="J22" s="18" t="s">
        <v>35</v>
      </c>
      <c r="K22" s="18" t="s">
        <v>38</v>
      </c>
      <c r="L22" s="18" t="s">
        <v>42</v>
      </c>
      <c r="M22" s="18" t="s">
        <v>50</v>
      </c>
      <c r="N22" s="18" t="s">
        <v>66</v>
      </c>
      <c r="O22" s="20">
        <f>2013-Table1[[#This Row],[Startup Year]]</f>
        <v>13</v>
      </c>
      <c r="P22" s="20"/>
      <c r="Q22" s="20">
        <f>VLOOKUP(E22,'Int. Pa.'!$B$3:$C$58,2,FALSE)</f>
        <v>1</v>
      </c>
      <c r="R22" s="20">
        <f>VLOOKUP(F22,'Int. Pa.'!$B$3:$C$58,2,FALSE)</f>
        <v>10</v>
      </c>
      <c r="S22" s="20">
        <f>VLOOKUP(G22,'Int. Pa.'!$B$3:$C$58,2,FALSE)</f>
        <v>0</v>
      </c>
      <c r="T22" s="20">
        <f>VLOOKUP(H22,'Int. Pa.'!$B$3:$C$58,2,FALSE)</f>
        <v>1</v>
      </c>
      <c r="U22" s="20">
        <f>VLOOKUP(I22,'Int. Pa.'!$B$3:$C$58,2,FALSE)</f>
        <v>0</v>
      </c>
      <c r="V22" s="20">
        <f>VLOOKUP(J22,'Int. Pa.'!$B$3:$C$58,2,FALSE)</f>
        <v>10</v>
      </c>
      <c r="W22" s="20">
        <f>VLOOKUP(K22,'Int. Pa.'!$B$3:$C$58,2,FALSE)</f>
        <v>1</v>
      </c>
      <c r="X22" s="20">
        <f>VLOOKUP(L22,'Int. Pa.'!$B$3:$C$58,2,FALSE)</f>
        <v>1</v>
      </c>
      <c r="Y22" s="20">
        <f>VLOOKUP(M22,'Int. Pa.'!$B$3:$C$58,2,FALSE)</f>
        <v>5</v>
      </c>
      <c r="Z22" s="20">
        <f>VLOOKUP(N22,'Int. Pa.'!$B$3:$C$58,2,FALSE)</f>
        <v>6</v>
      </c>
      <c r="AA22" s="20">
        <f t="shared" si="0"/>
        <v>3</v>
      </c>
      <c r="AB22" s="20">
        <f t="shared" si="1"/>
        <v>34.166666666666664</v>
      </c>
    </row>
    <row r="23" spans="1:28" s="3" customFormat="1">
      <c r="A23" s="84">
        <v>1</v>
      </c>
      <c r="B23" s="81">
        <v>44041</v>
      </c>
      <c r="C23" s="82" t="s">
        <v>237</v>
      </c>
      <c r="D23" s="85">
        <v>2000</v>
      </c>
      <c r="E23" s="18" t="s">
        <v>7</v>
      </c>
      <c r="F23" s="18" t="s">
        <v>2</v>
      </c>
      <c r="G23" s="18" t="s">
        <v>88</v>
      </c>
      <c r="H23" s="18" t="s">
        <v>20</v>
      </c>
      <c r="I23" s="18" t="s">
        <v>24</v>
      </c>
      <c r="J23" s="18" t="s">
        <v>35</v>
      </c>
      <c r="K23" s="18" t="s">
        <v>38</v>
      </c>
      <c r="L23" s="18" t="s">
        <v>42</v>
      </c>
      <c r="M23" s="18" t="s">
        <v>50</v>
      </c>
      <c r="N23" s="18" t="s">
        <v>66</v>
      </c>
      <c r="O23" s="20">
        <f>2013-Table1[[#This Row],[Startup Year]]</f>
        <v>13</v>
      </c>
      <c r="P23" s="20"/>
      <c r="Q23" s="20">
        <f>VLOOKUP(E23,'Int. Pa.'!$B$3:$C$58,2,FALSE)</f>
        <v>1</v>
      </c>
      <c r="R23" s="20">
        <f>VLOOKUP(F23,'Int. Pa.'!$B$3:$C$58,2,FALSE)</f>
        <v>10</v>
      </c>
      <c r="S23" s="20">
        <f>VLOOKUP(G23,'Int. Pa.'!$B$3:$C$58,2,FALSE)</f>
        <v>0</v>
      </c>
      <c r="T23" s="20">
        <f>VLOOKUP(H23,'Int. Pa.'!$B$3:$C$58,2,FALSE)</f>
        <v>1</v>
      </c>
      <c r="U23" s="20">
        <f>VLOOKUP(I23,'Int. Pa.'!$B$3:$C$58,2,FALSE)</f>
        <v>0</v>
      </c>
      <c r="V23" s="20">
        <f>VLOOKUP(J23,'Int. Pa.'!$B$3:$C$58,2,FALSE)</f>
        <v>10</v>
      </c>
      <c r="W23" s="20">
        <f>VLOOKUP(K23,'Int. Pa.'!$B$3:$C$58,2,FALSE)</f>
        <v>1</v>
      </c>
      <c r="X23" s="20">
        <f>VLOOKUP(L23,'Int. Pa.'!$B$3:$C$58,2,FALSE)</f>
        <v>1</v>
      </c>
      <c r="Y23" s="20">
        <f>VLOOKUP(M23,'Int. Pa.'!$B$3:$C$58,2,FALSE)</f>
        <v>5</v>
      </c>
      <c r="Z23" s="20">
        <f>VLOOKUP(N23,'Int. Pa.'!$B$3:$C$58,2,FALSE)</f>
        <v>6</v>
      </c>
      <c r="AA23" s="20">
        <f t="shared" si="0"/>
        <v>3</v>
      </c>
      <c r="AB23" s="20">
        <f t="shared" si="1"/>
        <v>34.166666666666664</v>
      </c>
    </row>
    <row r="24" spans="1:28" s="3" customFormat="1">
      <c r="A24" s="80">
        <v>1</v>
      </c>
      <c r="B24" s="81">
        <v>402330206</v>
      </c>
      <c r="C24" s="82" t="s">
        <v>613</v>
      </c>
      <c r="D24" s="83">
        <v>2000</v>
      </c>
      <c r="E24" s="18" t="s">
        <v>7</v>
      </c>
      <c r="F24" s="18" t="s">
        <v>2</v>
      </c>
      <c r="G24" s="18" t="s">
        <v>88</v>
      </c>
      <c r="H24" s="18" t="s">
        <v>20</v>
      </c>
      <c r="I24" s="18" t="s">
        <v>24</v>
      </c>
      <c r="J24" s="18" t="s">
        <v>35</v>
      </c>
      <c r="K24" s="18" t="s">
        <v>38</v>
      </c>
      <c r="L24" s="18" t="s">
        <v>42</v>
      </c>
      <c r="M24" s="18" t="s">
        <v>50</v>
      </c>
      <c r="N24" s="18" t="s">
        <v>66</v>
      </c>
      <c r="O24" s="20">
        <f>2013-Table1[[#This Row],[Startup Year]]</f>
        <v>13</v>
      </c>
      <c r="P24" s="20"/>
      <c r="Q24" s="20">
        <f>VLOOKUP(E24,'Int. Pa.'!$B$3:$C$58,2,FALSE)</f>
        <v>1</v>
      </c>
      <c r="R24" s="20">
        <f>VLOOKUP(F24,'Int. Pa.'!$B$3:$C$58,2,FALSE)</f>
        <v>10</v>
      </c>
      <c r="S24" s="20">
        <f>VLOOKUP(G24,'Int. Pa.'!$B$3:$C$58,2,FALSE)</f>
        <v>0</v>
      </c>
      <c r="T24" s="20">
        <f>VLOOKUP(H24,'Int. Pa.'!$B$3:$C$58,2,FALSE)</f>
        <v>1</v>
      </c>
      <c r="U24" s="20">
        <f>VLOOKUP(I24,'Int. Pa.'!$B$3:$C$58,2,FALSE)</f>
        <v>0</v>
      </c>
      <c r="V24" s="20">
        <f>VLOOKUP(J24,'Int. Pa.'!$B$3:$C$58,2,FALSE)</f>
        <v>10</v>
      </c>
      <c r="W24" s="20">
        <f>VLOOKUP(K24,'Int. Pa.'!$B$3:$C$58,2,FALSE)</f>
        <v>1</v>
      </c>
      <c r="X24" s="20">
        <f>VLOOKUP(L24,'Int. Pa.'!$B$3:$C$58,2,FALSE)</f>
        <v>1</v>
      </c>
      <c r="Y24" s="20">
        <f>VLOOKUP(M24,'Int. Pa.'!$B$3:$C$58,2,FALSE)</f>
        <v>5</v>
      </c>
      <c r="Z24" s="20">
        <f>VLOOKUP(N24,'Int. Pa.'!$B$3:$C$58,2,FALSE)</f>
        <v>6</v>
      </c>
      <c r="AA24" s="20">
        <f t="shared" si="0"/>
        <v>3</v>
      </c>
      <c r="AB24" s="20">
        <f t="shared" si="1"/>
        <v>34.166666666666664</v>
      </c>
    </row>
    <row r="25" spans="1:28" s="3" customFormat="1">
      <c r="A25" s="84">
        <v>1</v>
      </c>
      <c r="B25" s="81">
        <v>632102</v>
      </c>
      <c r="C25" s="82" t="s">
        <v>238</v>
      </c>
      <c r="D25" s="85">
        <v>2000</v>
      </c>
      <c r="E25" s="18" t="s">
        <v>7</v>
      </c>
      <c r="F25" s="18" t="s">
        <v>2</v>
      </c>
      <c r="G25" s="18" t="s">
        <v>88</v>
      </c>
      <c r="H25" s="18" t="s">
        <v>20</v>
      </c>
      <c r="I25" s="18" t="s">
        <v>24</v>
      </c>
      <c r="J25" s="18" t="s">
        <v>35</v>
      </c>
      <c r="K25" s="18" t="s">
        <v>38</v>
      </c>
      <c r="L25" s="18" t="s">
        <v>42</v>
      </c>
      <c r="M25" s="18" t="s">
        <v>50</v>
      </c>
      <c r="N25" s="18" t="s">
        <v>66</v>
      </c>
      <c r="O25" s="20">
        <f>2013-Table1[[#This Row],[Startup Year]]</f>
        <v>13</v>
      </c>
      <c r="P25" s="20"/>
      <c r="Q25" s="20">
        <f>VLOOKUP(E25,'Int. Pa.'!$B$3:$C$58,2,FALSE)</f>
        <v>1</v>
      </c>
      <c r="R25" s="20">
        <f>VLOOKUP(F25,'Int. Pa.'!$B$3:$C$58,2,FALSE)</f>
        <v>10</v>
      </c>
      <c r="S25" s="20">
        <f>VLOOKUP(G25,'Int. Pa.'!$B$3:$C$58,2,FALSE)</f>
        <v>0</v>
      </c>
      <c r="T25" s="20">
        <f>VLOOKUP(H25,'Int. Pa.'!$B$3:$C$58,2,FALSE)</f>
        <v>1</v>
      </c>
      <c r="U25" s="20">
        <f>VLOOKUP(I25,'Int. Pa.'!$B$3:$C$58,2,FALSE)</f>
        <v>0</v>
      </c>
      <c r="V25" s="20">
        <f>VLOOKUP(J25,'Int. Pa.'!$B$3:$C$58,2,FALSE)</f>
        <v>10</v>
      </c>
      <c r="W25" s="20">
        <f>VLOOKUP(K25,'Int. Pa.'!$B$3:$C$58,2,FALSE)</f>
        <v>1</v>
      </c>
      <c r="X25" s="20">
        <f>VLOOKUP(L25,'Int. Pa.'!$B$3:$C$58,2,FALSE)</f>
        <v>1</v>
      </c>
      <c r="Y25" s="20">
        <f>VLOOKUP(M25,'Int. Pa.'!$B$3:$C$58,2,FALSE)</f>
        <v>5</v>
      </c>
      <c r="Z25" s="20">
        <f>VLOOKUP(N25,'Int. Pa.'!$B$3:$C$58,2,FALSE)</f>
        <v>6</v>
      </c>
      <c r="AA25" s="20">
        <f t="shared" si="0"/>
        <v>3</v>
      </c>
      <c r="AB25" s="20">
        <f t="shared" si="1"/>
        <v>34.166666666666664</v>
      </c>
    </row>
    <row r="26" spans="1:28" s="3" customFormat="1">
      <c r="A26" s="80">
        <v>1</v>
      </c>
      <c r="B26" s="81" t="s">
        <v>888</v>
      </c>
      <c r="C26" s="82" t="s">
        <v>568</v>
      </c>
      <c r="D26" s="83">
        <v>2000</v>
      </c>
      <c r="E26" s="18" t="s">
        <v>7</v>
      </c>
      <c r="F26" s="18" t="s">
        <v>2</v>
      </c>
      <c r="G26" s="18" t="s">
        <v>88</v>
      </c>
      <c r="H26" s="18" t="s">
        <v>20</v>
      </c>
      <c r="I26" s="18" t="s">
        <v>24</v>
      </c>
      <c r="J26" s="18" t="s">
        <v>35</v>
      </c>
      <c r="K26" s="18" t="s">
        <v>38</v>
      </c>
      <c r="L26" s="18" t="s">
        <v>42</v>
      </c>
      <c r="M26" s="18" t="s">
        <v>50</v>
      </c>
      <c r="N26" s="18" t="s">
        <v>66</v>
      </c>
      <c r="O26" s="20">
        <f>2013-Table1[[#This Row],[Startup Year]]</f>
        <v>13</v>
      </c>
      <c r="P26" s="20"/>
      <c r="Q26" s="20">
        <f>VLOOKUP(E26,'Int. Pa.'!$B$3:$C$58,2,FALSE)</f>
        <v>1</v>
      </c>
      <c r="R26" s="20">
        <f>VLOOKUP(F26,'Int. Pa.'!$B$3:$C$58,2,FALSE)</f>
        <v>10</v>
      </c>
      <c r="S26" s="20">
        <f>VLOOKUP(G26,'Int. Pa.'!$B$3:$C$58,2,FALSE)</f>
        <v>0</v>
      </c>
      <c r="T26" s="20">
        <f>VLOOKUP(H26,'Int. Pa.'!$B$3:$C$58,2,FALSE)</f>
        <v>1</v>
      </c>
      <c r="U26" s="20">
        <f>VLOOKUP(I26,'Int. Pa.'!$B$3:$C$58,2,FALSE)</f>
        <v>0</v>
      </c>
      <c r="V26" s="20">
        <f>VLOOKUP(J26,'Int. Pa.'!$B$3:$C$58,2,FALSE)</f>
        <v>10</v>
      </c>
      <c r="W26" s="20">
        <f>VLOOKUP(K26,'Int. Pa.'!$B$3:$C$58,2,FALSE)</f>
        <v>1</v>
      </c>
      <c r="X26" s="20">
        <f>VLOOKUP(L26,'Int. Pa.'!$B$3:$C$58,2,FALSE)</f>
        <v>1</v>
      </c>
      <c r="Y26" s="20">
        <f>VLOOKUP(M26,'Int. Pa.'!$B$3:$C$58,2,FALSE)</f>
        <v>5</v>
      </c>
      <c r="Z26" s="20">
        <f>VLOOKUP(N26,'Int. Pa.'!$B$3:$C$58,2,FALSE)</f>
        <v>6</v>
      </c>
      <c r="AA26" s="20">
        <f t="shared" si="0"/>
        <v>3</v>
      </c>
      <c r="AB26" s="20">
        <f t="shared" si="1"/>
        <v>34.166666666666664</v>
      </c>
    </row>
    <row r="27" spans="1:28" s="3" customFormat="1">
      <c r="A27" s="80">
        <v>1</v>
      </c>
      <c r="B27" s="81" t="s">
        <v>889</v>
      </c>
      <c r="C27" s="82" t="s">
        <v>569</v>
      </c>
      <c r="D27" s="83">
        <v>2000</v>
      </c>
      <c r="E27" s="18" t="s">
        <v>7</v>
      </c>
      <c r="F27" s="18" t="s">
        <v>2</v>
      </c>
      <c r="G27" s="18" t="s">
        <v>88</v>
      </c>
      <c r="H27" s="18" t="s">
        <v>20</v>
      </c>
      <c r="I27" s="18" t="s">
        <v>24</v>
      </c>
      <c r="J27" s="18" t="s">
        <v>35</v>
      </c>
      <c r="K27" s="18" t="s">
        <v>38</v>
      </c>
      <c r="L27" s="18" t="s">
        <v>42</v>
      </c>
      <c r="M27" s="18" t="s">
        <v>50</v>
      </c>
      <c r="N27" s="18" t="s">
        <v>66</v>
      </c>
      <c r="O27" s="20">
        <f>2013-Table1[[#This Row],[Startup Year]]</f>
        <v>13</v>
      </c>
      <c r="P27" s="20"/>
      <c r="Q27" s="20">
        <f>VLOOKUP(E27,'Int. Pa.'!$B$3:$C$58,2,FALSE)</f>
        <v>1</v>
      </c>
      <c r="R27" s="20">
        <f>VLOOKUP(F27,'Int. Pa.'!$B$3:$C$58,2,FALSE)</f>
        <v>10</v>
      </c>
      <c r="S27" s="20">
        <f>VLOOKUP(G27,'Int. Pa.'!$B$3:$C$58,2,FALSE)</f>
        <v>0</v>
      </c>
      <c r="T27" s="20">
        <f>VLOOKUP(H27,'Int. Pa.'!$B$3:$C$58,2,FALSE)</f>
        <v>1</v>
      </c>
      <c r="U27" s="20">
        <f>VLOOKUP(I27,'Int. Pa.'!$B$3:$C$58,2,FALSE)</f>
        <v>0</v>
      </c>
      <c r="V27" s="20">
        <f>VLOOKUP(J27,'Int. Pa.'!$B$3:$C$58,2,FALSE)</f>
        <v>10</v>
      </c>
      <c r="W27" s="20">
        <f>VLOOKUP(K27,'Int. Pa.'!$B$3:$C$58,2,FALSE)</f>
        <v>1</v>
      </c>
      <c r="X27" s="20">
        <f>VLOOKUP(L27,'Int. Pa.'!$B$3:$C$58,2,FALSE)</f>
        <v>1</v>
      </c>
      <c r="Y27" s="20">
        <f>VLOOKUP(M27,'Int. Pa.'!$B$3:$C$58,2,FALSE)</f>
        <v>5</v>
      </c>
      <c r="Z27" s="20">
        <f>VLOOKUP(N27,'Int. Pa.'!$B$3:$C$58,2,FALSE)</f>
        <v>6</v>
      </c>
      <c r="AA27" s="20">
        <f t="shared" si="0"/>
        <v>3</v>
      </c>
      <c r="AB27" s="20">
        <f t="shared" si="1"/>
        <v>34.166666666666664</v>
      </c>
    </row>
    <row r="28" spans="1:28" s="3" customFormat="1">
      <c r="A28" s="80">
        <v>1</v>
      </c>
      <c r="B28" s="81" t="s">
        <v>890</v>
      </c>
      <c r="C28" s="82" t="s">
        <v>572</v>
      </c>
      <c r="D28" s="83">
        <v>2000</v>
      </c>
      <c r="E28" s="18" t="s">
        <v>7</v>
      </c>
      <c r="F28" s="18" t="s">
        <v>2</v>
      </c>
      <c r="G28" s="18" t="s">
        <v>88</v>
      </c>
      <c r="H28" s="18" t="s">
        <v>20</v>
      </c>
      <c r="I28" s="18" t="s">
        <v>24</v>
      </c>
      <c r="J28" s="18" t="s">
        <v>35</v>
      </c>
      <c r="K28" s="18" t="s">
        <v>38</v>
      </c>
      <c r="L28" s="18" t="s">
        <v>42</v>
      </c>
      <c r="M28" s="18" t="s">
        <v>50</v>
      </c>
      <c r="N28" s="18" t="s">
        <v>66</v>
      </c>
      <c r="O28" s="20">
        <f>2013-Table1[[#This Row],[Startup Year]]</f>
        <v>13</v>
      </c>
      <c r="P28" s="20"/>
      <c r="Q28" s="20">
        <f>VLOOKUP(E28,'Int. Pa.'!$B$3:$C$58,2,FALSE)</f>
        <v>1</v>
      </c>
      <c r="R28" s="20">
        <f>VLOOKUP(F28,'Int. Pa.'!$B$3:$C$58,2,FALSE)</f>
        <v>10</v>
      </c>
      <c r="S28" s="20">
        <f>VLOOKUP(G28,'Int. Pa.'!$B$3:$C$58,2,FALSE)</f>
        <v>0</v>
      </c>
      <c r="T28" s="20">
        <f>VLOOKUP(H28,'Int. Pa.'!$B$3:$C$58,2,FALSE)</f>
        <v>1</v>
      </c>
      <c r="U28" s="20">
        <f>VLOOKUP(I28,'Int. Pa.'!$B$3:$C$58,2,FALSE)</f>
        <v>0</v>
      </c>
      <c r="V28" s="20">
        <f>VLOOKUP(J28,'Int. Pa.'!$B$3:$C$58,2,FALSE)</f>
        <v>10</v>
      </c>
      <c r="W28" s="20">
        <f>VLOOKUP(K28,'Int. Pa.'!$B$3:$C$58,2,FALSE)</f>
        <v>1</v>
      </c>
      <c r="X28" s="20">
        <f>VLOOKUP(L28,'Int. Pa.'!$B$3:$C$58,2,FALSE)</f>
        <v>1</v>
      </c>
      <c r="Y28" s="20">
        <f>VLOOKUP(M28,'Int. Pa.'!$B$3:$C$58,2,FALSE)</f>
        <v>5</v>
      </c>
      <c r="Z28" s="20">
        <f>VLOOKUP(N28,'Int. Pa.'!$B$3:$C$58,2,FALSE)</f>
        <v>6</v>
      </c>
      <c r="AA28" s="20">
        <f t="shared" si="0"/>
        <v>3</v>
      </c>
      <c r="AB28" s="20">
        <f t="shared" si="1"/>
        <v>34.166666666666664</v>
      </c>
    </row>
    <row r="29" spans="1:28" s="3" customFormat="1">
      <c r="A29" s="80">
        <v>1</v>
      </c>
      <c r="B29" s="81" t="s">
        <v>891</v>
      </c>
      <c r="C29" s="82" t="s">
        <v>579</v>
      </c>
      <c r="D29" s="83">
        <v>2000</v>
      </c>
      <c r="E29" s="18" t="s">
        <v>7</v>
      </c>
      <c r="F29" s="18" t="s">
        <v>2</v>
      </c>
      <c r="G29" s="18" t="s">
        <v>88</v>
      </c>
      <c r="H29" s="18" t="s">
        <v>20</v>
      </c>
      <c r="I29" s="18" t="s">
        <v>24</v>
      </c>
      <c r="J29" s="18" t="s">
        <v>35</v>
      </c>
      <c r="K29" s="18" t="s">
        <v>38</v>
      </c>
      <c r="L29" s="18" t="s">
        <v>42</v>
      </c>
      <c r="M29" s="18" t="s">
        <v>50</v>
      </c>
      <c r="N29" s="18" t="s">
        <v>66</v>
      </c>
      <c r="O29" s="20">
        <f>2013-Table1[[#This Row],[Startup Year]]</f>
        <v>13</v>
      </c>
      <c r="P29" s="20"/>
      <c r="Q29" s="20">
        <f>VLOOKUP(E29,'Int. Pa.'!$B$3:$C$58,2,FALSE)</f>
        <v>1</v>
      </c>
      <c r="R29" s="20">
        <f>VLOOKUP(F29,'Int. Pa.'!$B$3:$C$58,2,FALSE)</f>
        <v>10</v>
      </c>
      <c r="S29" s="20">
        <f>VLOOKUP(G29,'Int. Pa.'!$B$3:$C$58,2,FALSE)</f>
        <v>0</v>
      </c>
      <c r="T29" s="20">
        <f>VLOOKUP(H29,'Int. Pa.'!$B$3:$C$58,2,FALSE)</f>
        <v>1</v>
      </c>
      <c r="U29" s="20">
        <f>VLOOKUP(I29,'Int. Pa.'!$B$3:$C$58,2,FALSE)</f>
        <v>0</v>
      </c>
      <c r="V29" s="20">
        <f>VLOOKUP(J29,'Int. Pa.'!$B$3:$C$58,2,FALSE)</f>
        <v>10</v>
      </c>
      <c r="W29" s="20">
        <f>VLOOKUP(K29,'Int. Pa.'!$B$3:$C$58,2,FALSE)</f>
        <v>1</v>
      </c>
      <c r="X29" s="20">
        <f>VLOOKUP(L29,'Int. Pa.'!$B$3:$C$58,2,FALSE)</f>
        <v>1</v>
      </c>
      <c r="Y29" s="20">
        <f>VLOOKUP(M29,'Int. Pa.'!$B$3:$C$58,2,FALSE)</f>
        <v>5</v>
      </c>
      <c r="Z29" s="20">
        <f>VLOOKUP(N29,'Int. Pa.'!$B$3:$C$58,2,FALSE)</f>
        <v>6</v>
      </c>
      <c r="AA29" s="20">
        <f t="shared" si="0"/>
        <v>3</v>
      </c>
      <c r="AB29" s="20">
        <f t="shared" si="1"/>
        <v>34.166666666666664</v>
      </c>
    </row>
    <row r="30" spans="1:28" s="3" customFormat="1">
      <c r="A30" s="80">
        <v>1</v>
      </c>
      <c r="B30" s="81" t="s">
        <v>892</v>
      </c>
      <c r="C30" s="82" t="s">
        <v>580</v>
      </c>
      <c r="D30" s="83">
        <v>2000</v>
      </c>
      <c r="E30" s="18" t="s">
        <v>7</v>
      </c>
      <c r="F30" s="18" t="s">
        <v>2</v>
      </c>
      <c r="G30" s="18" t="s">
        <v>88</v>
      </c>
      <c r="H30" s="18" t="s">
        <v>20</v>
      </c>
      <c r="I30" s="18" t="s">
        <v>24</v>
      </c>
      <c r="J30" s="18" t="s">
        <v>35</v>
      </c>
      <c r="K30" s="18" t="s">
        <v>38</v>
      </c>
      <c r="L30" s="18" t="s">
        <v>42</v>
      </c>
      <c r="M30" s="18" t="s">
        <v>50</v>
      </c>
      <c r="N30" s="18" t="s">
        <v>66</v>
      </c>
      <c r="O30" s="20">
        <f>2013-Table1[[#This Row],[Startup Year]]</f>
        <v>13</v>
      </c>
      <c r="P30" s="20"/>
      <c r="Q30" s="20">
        <f>VLOOKUP(E30,'Int. Pa.'!$B$3:$C$58,2,FALSE)</f>
        <v>1</v>
      </c>
      <c r="R30" s="20">
        <f>VLOOKUP(F30,'Int. Pa.'!$B$3:$C$58,2,FALSE)</f>
        <v>10</v>
      </c>
      <c r="S30" s="20">
        <f>VLOOKUP(G30,'Int. Pa.'!$B$3:$C$58,2,FALSE)</f>
        <v>0</v>
      </c>
      <c r="T30" s="20">
        <f>VLOOKUP(H30,'Int. Pa.'!$B$3:$C$58,2,FALSE)</f>
        <v>1</v>
      </c>
      <c r="U30" s="20">
        <f>VLOOKUP(I30,'Int. Pa.'!$B$3:$C$58,2,FALSE)</f>
        <v>0</v>
      </c>
      <c r="V30" s="20">
        <f>VLOOKUP(J30,'Int. Pa.'!$B$3:$C$58,2,FALSE)</f>
        <v>10</v>
      </c>
      <c r="W30" s="20">
        <f>VLOOKUP(K30,'Int. Pa.'!$B$3:$C$58,2,FALSE)</f>
        <v>1</v>
      </c>
      <c r="X30" s="20">
        <f>VLOOKUP(L30,'Int. Pa.'!$B$3:$C$58,2,FALSE)</f>
        <v>1</v>
      </c>
      <c r="Y30" s="20">
        <f>VLOOKUP(M30,'Int. Pa.'!$B$3:$C$58,2,FALSE)</f>
        <v>5</v>
      </c>
      <c r="Z30" s="20">
        <f>VLOOKUP(N30,'Int. Pa.'!$B$3:$C$58,2,FALSE)</f>
        <v>6</v>
      </c>
      <c r="AA30" s="20">
        <f t="shared" si="0"/>
        <v>3</v>
      </c>
      <c r="AB30" s="20">
        <f t="shared" si="1"/>
        <v>34.166666666666664</v>
      </c>
    </row>
    <row r="31" spans="1:28">
      <c r="A31" s="80">
        <v>1</v>
      </c>
      <c r="B31" s="81" t="s">
        <v>893</v>
      </c>
      <c r="C31" s="82" t="s">
        <v>581</v>
      </c>
      <c r="D31" s="83">
        <v>2000</v>
      </c>
      <c r="E31" s="18" t="s">
        <v>7</v>
      </c>
      <c r="F31" s="18" t="s">
        <v>2</v>
      </c>
      <c r="G31" s="18" t="s">
        <v>88</v>
      </c>
      <c r="H31" s="18" t="s">
        <v>20</v>
      </c>
      <c r="I31" s="18" t="s">
        <v>24</v>
      </c>
      <c r="J31" s="18" t="s">
        <v>35</v>
      </c>
      <c r="K31" s="18" t="s">
        <v>38</v>
      </c>
      <c r="L31" s="18" t="s">
        <v>42</v>
      </c>
      <c r="M31" s="18" t="s">
        <v>50</v>
      </c>
      <c r="N31" s="18" t="s">
        <v>66</v>
      </c>
      <c r="O31" s="20">
        <f>2013-Table1[[#This Row],[Startup Year]]</f>
        <v>13</v>
      </c>
      <c r="P31" s="20"/>
      <c r="Q31" s="20">
        <f>VLOOKUP(E31,'Int. Pa.'!$B$3:$C$58,2,FALSE)</f>
        <v>1</v>
      </c>
      <c r="R31" s="20">
        <f>VLOOKUP(F31,'Int. Pa.'!$B$3:$C$58,2,FALSE)</f>
        <v>10</v>
      </c>
      <c r="S31" s="20">
        <f>VLOOKUP(G31,'Int. Pa.'!$B$3:$C$58,2,FALSE)</f>
        <v>0</v>
      </c>
      <c r="T31" s="20">
        <f>VLOOKUP(H31,'Int. Pa.'!$B$3:$C$58,2,FALSE)</f>
        <v>1</v>
      </c>
      <c r="U31" s="20">
        <f>VLOOKUP(I31,'Int. Pa.'!$B$3:$C$58,2,FALSE)</f>
        <v>0</v>
      </c>
      <c r="V31" s="20">
        <f>VLOOKUP(J31,'Int. Pa.'!$B$3:$C$58,2,FALSE)</f>
        <v>10</v>
      </c>
      <c r="W31" s="20">
        <f>VLOOKUP(K31,'Int. Pa.'!$B$3:$C$58,2,FALSE)</f>
        <v>1</v>
      </c>
      <c r="X31" s="20">
        <f>VLOOKUP(L31,'Int. Pa.'!$B$3:$C$58,2,FALSE)</f>
        <v>1</v>
      </c>
      <c r="Y31" s="20">
        <f>VLOOKUP(M31,'Int. Pa.'!$B$3:$C$58,2,FALSE)</f>
        <v>5</v>
      </c>
      <c r="Z31" s="20">
        <f>VLOOKUP(N31,'Int. Pa.'!$B$3:$C$58,2,FALSE)</f>
        <v>6</v>
      </c>
      <c r="AA31" s="20">
        <f t="shared" si="0"/>
        <v>3</v>
      </c>
      <c r="AB31" s="20">
        <f t="shared" si="1"/>
        <v>34.166666666666664</v>
      </c>
    </row>
    <row r="32" spans="1:28">
      <c r="A32" s="80">
        <v>1</v>
      </c>
      <c r="B32" s="81" t="s">
        <v>894</v>
      </c>
      <c r="C32" s="82" t="s">
        <v>582</v>
      </c>
      <c r="D32" s="83">
        <v>2000</v>
      </c>
      <c r="E32" s="18" t="s">
        <v>7</v>
      </c>
      <c r="F32" s="18" t="s">
        <v>2</v>
      </c>
      <c r="G32" s="18" t="s">
        <v>88</v>
      </c>
      <c r="H32" s="18" t="s">
        <v>20</v>
      </c>
      <c r="I32" s="18" t="s">
        <v>24</v>
      </c>
      <c r="J32" s="18" t="s">
        <v>35</v>
      </c>
      <c r="K32" s="18" t="s">
        <v>38</v>
      </c>
      <c r="L32" s="18" t="s">
        <v>42</v>
      </c>
      <c r="M32" s="18" t="s">
        <v>50</v>
      </c>
      <c r="N32" s="18" t="s">
        <v>66</v>
      </c>
      <c r="O32" s="20">
        <f>2013-Table1[[#This Row],[Startup Year]]</f>
        <v>13</v>
      </c>
      <c r="P32" s="20"/>
      <c r="Q32" s="20">
        <f>VLOOKUP(E32,'Int. Pa.'!$B$3:$C$58,2,FALSE)</f>
        <v>1</v>
      </c>
      <c r="R32" s="20">
        <f>VLOOKUP(F32,'Int. Pa.'!$B$3:$C$58,2,FALSE)</f>
        <v>10</v>
      </c>
      <c r="S32" s="20">
        <f>VLOOKUP(G32,'Int. Pa.'!$B$3:$C$58,2,FALSE)</f>
        <v>0</v>
      </c>
      <c r="T32" s="20">
        <f>VLOOKUP(H32,'Int. Pa.'!$B$3:$C$58,2,FALSE)</f>
        <v>1</v>
      </c>
      <c r="U32" s="20">
        <f>VLOOKUP(I32,'Int. Pa.'!$B$3:$C$58,2,FALSE)</f>
        <v>0</v>
      </c>
      <c r="V32" s="20">
        <f>VLOOKUP(J32,'Int. Pa.'!$B$3:$C$58,2,FALSE)</f>
        <v>10</v>
      </c>
      <c r="W32" s="20">
        <f>VLOOKUP(K32,'Int. Pa.'!$B$3:$C$58,2,FALSE)</f>
        <v>1</v>
      </c>
      <c r="X32" s="20">
        <f>VLOOKUP(L32,'Int. Pa.'!$B$3:$C$58,2,FALSE)</f>
        <v>1</v>
      </c>
      <c r="Y32" s="20">
        <f>VLOOKUP(M32,'Int. Pa.'!$B$3:$C$58,2,FALSE)</f>
        <v>5</v>
      </c>
      <c r="Z32" s="20">
        <f>VLOOKUP(N32,'Int. Pa.'!$B$3:$C$58,2,FALSE)</f>
        <v>6</v>
      </c>
      <c r="AA32" s="20">
        <f t="shared" si="0"/>
        <v>3</v>
      </c>
      <c r="AB32" s="20">
        <f t="shared" si="1"/>
        <v>34.166666666666664</v>
      </c>
    </row>
    <row r="33" spans="1:28">
      <c r="A33" s="87">
        <v>1</v>
      </c>
      <c r="B33" s="88" t="s">
        <v>895</v>
      </c>
      <c r="C33" s="89" t="s">
        <v>587</v>
      </c>
      <c r="D33" s="90">
        <v>2000</v>
      </c>
      <c r="E33" s="18" t="s">
        <v>7</v>
      </c>
      <c r="F33" s="18" t="s">
        <v>2</v>
      </c>
      <c r="G33" s="18" t="s">
        <v>88</v>
      </c>
      <c r="H33" s="18" t="s">
        <v>20</v>
      </c>
      <c r="I33" s="18" t="s">
        <v>24</v>
      </c>
      <c r="J33" s="18" t="s">
        <v>35</v>
      </c>
      <c r="K33" s="18" t="s">
        <v>38</v>
      </c>
      <c r="L33" s="18" t="s">
        <v>42</v>
      </c>
      <c r="M33" s="18" t="s">
        <v>50</v>
      </c>
      <c r="N33" s="18" t="s">
        <v>66</v>
      </c>
      <c r="O33" s="20">
        <f>2013-Table1[[#This Row],[Startup Year]]</f>
        <v>13</v>
      </c>
      <c r="P33" s="20"/>
      <c r="Q33" s="20">
        <f>VLOOKUP(E33,'Int. Pa.'!$B$3:$C$58,2,FALSE)</f>
        <v>1</v>
      </c>
      <c r="R33" s="20">
        <f>VLOOKUP(F33,'Int. Pa.'!$B$3:$C$58,2,FALSE)</f>
        <v>10</v>
      </c>
      <c r="S33" s="20">
        <f>VLOOKUP(G33,'Int. Pa.'!$B$3:$C$58,2,FALSE)</f>
        <v>0</v>
      </c>
      <c r="T33" s="20">
        <f>VLOOKUP(H33,'Int. Pa.'!$B$3:$C$58,2,FALSE)</f>
        <v>1</v>
      </c>
      <c r="U33" s="20">
        <f>VLOOKUP(I33,'Int. Pa.'!$B$3:$C$58,2,FALSE)</f>
        <v>0</v>
      </c>
      <c r="V33" s="20">
        <f>VLOOKUP(J33,'Int. Pa.'!$B$3:$C$58,2,FALSE)</f>
        <v>10</v>
      </c>
      <c r="W33" s="20">
        <f>VLOOKUP(K33,'Int. Pa.'!$B$3:$C$58,2,FALSE)</f>
        <v>1</v>
      </c>
      <c r="X33" s="20">
        <f>VLOOKUP(L33,'Int. Pa.'!$B$3:$C$58,2,FALSE)</f>
        <v>1</v>
      </c>
      <c r="Y33" s="20">
        <f>VLOOKUP(M33,'Int. Pa.'!$B$3:$C$58,2,FALSE)</f>
        <v>5</v>
      </c>
      <c r="Z33" s="20">
        <f>VLOOKUP(N33,'Int. Pa.'!$B$3:$C$58,2,FALSE)</f>
        <v>6</v>
      </c>
      <c r="AA33" s="20">
        <f t="shared" si="0"/>
        <v>3</v>
      </c>
      <c r="AB33" s="20">
        <f t="shared" si="1"/>
        <v>34.166666666666664</v>
      </c>
    </row>
    <row r="34" spans="1:28">
      <c r="A34" s="80">
        <v>1</v>
      </c>
      <c r="B34" s="81">
        <v>40231</v>
      </c>
      <c r="C34" s="82" t="s">
        <v>591</v>
      </c>
      <c r="D34" s="83">
        <v>2000</v>
      </c>
      <c r="E34" s="18" t="s">
        <v>7</v>
      </c>
      <c r="F34" s="18" t="s">
        <v>2</v>
      </c>
      <c r="G34" s="18" t="s">
        <v>88</v>
      </c>
      <c r="H34" s="18" t="s">
        <v>20</v>
      </c>
      <c r="I34" s="18" t="s">
        <v>24</v>
      </c>
      <c r="J34" s="18" t="s">
        <v>35</v>
      </c>
      <c r="K34" s="18" t="s">
        <v>38</v>
      </c>
      <c r="L34" s="18" t="s">
        <v>42</v>
      </c>
      <c r="M34" s="18" t="s">
        <v>50</v>
      </c>
      <c r="N34" s="18" t="s">
        <v>66</v>
      </c>
      <c r="O34" s="20">
        <f>2013-Table1[[#This Row],[Startup Year]]</f>
        <v>13</v>
      </c>
      <c r="P34" s="20"/>
      <c r="Q34" s="20">
        <f>VLOOKUP(E34,'Int. Pa.'!$B$3:$C$58,2,FALSE)</f>
        <v>1</v>
      </c>
      <c r="R34" s="20">
        <f>VLOOKUP(F34,'Int. Pa.'!$B$3:$C$58,2,FALSE)</f>
        <v>10</v>
      </c>
      <c r="S34" s="20">
        <f>VLOOKUP(G34,'Int. Pa.'!$B$3:$C$58,2,FALSE)</f>
        <v>0</v>
      </c>
      <c r="T34" s="20">
        <f>VLOOKUP(H34,'Int. Pa.'!$B$3:$C$58,2,FALSE)</f>
        <v>1</v>
      </c>
      <c r="U34" s="20">
        <f>VLOOKUP(I34,'Int. Pa.'!$B$3:$C$58,2,FALSE)</f>
        <v>0</v>
      </c>
      <c r="V34" s="20">
        <f>VLOOKUP(J34,'Int. Pa.'!$B$3:$C$58,2,FALSE)</f>
        <v>10</v>
      </c>
      <c r="W34" s="20">
        <f>VLOOKUP(K34,'Int. Pa.'!$B$3:$C$58,2,FALSE)</f>
        <v>1</v>
      </c>
      <c r="X34" s="20">
        <f>VLOOKUP(L34,'Int. Pa.'!$B$3:$C$58,2,FALSE)</f>
        <v>1</v>
      </c>
      <c r="Y34" s="20">
        <f>VLOOKUP(M34,'Int. Pa.'!$B$3:$C$58,2,FALSE)</f>
        <v>5</v>
      </c>
      <c r="Z34" s="20">
        <f>VLOOKUP(N34,'Int. Pa.'!$B$3:$C$58,2,FALSE)</f>
        <v>6</v>
      </c>
      <c r="AA34" s="20">
        <f t="shared" si="0"/>
        <v>3</v>
      </c>
      <c r="AB34" s="20">
        <f t="shared" si="1"/>
        <v>34.166666666666664</v>
      </c>
    </row>
    <row r="35" spans="1:28">
      <c r="A35" s="80">
        <v>1</v>
      </c>
      <c r="B35" s="81" t="s">
        <v>896</v>
      </c>
      <c r="C35" s="82" t="s">
        <v>592</v>
      </c>
      <c r="D35" s="83">
        <v>2000</v>
      </c>
      <c r="E35" s="18" t="s">
        <v>7</v>
      </c>
      <c r="F35" s="18" t="s">
        <v>2</v>
      </c>
      <c r="G35" s="18" t="s">
        <v>88</v>
      </c>
      <c r="H35" s="18" t="s">
        <v>20</v>
      </c>
      <c r="I35" s="18" t="s">
        <v>24</v>
      </c>
      <c r="J35" s="18" t="s">
        <v>35</v>
      </c>
      <c r="K35" s="18" t="s">
        <v>38</v>
      </c>
      <c r="L35" s="18" t="s">
        <v>42</v>
      </c>
      <c r="M35" s="18" t="s">
        <v>50</v>
      </c>
      <c r="N35" s="18" t="s">
        <v>66</v>
      </c>
      <c r="O35" s="20">
        <f>2013-Table1[[#This Row],[Startup Year]]</f>
        <v>13</v>
      </c>
      <c r="P35" s="20"/>
      <c r="Q35" s="20">
        <f>VLOOKUP(E35,'Int. Pa.'!$B$3:$C$58,2,FALSE)</f>
        <v>1</v>
      </c>
      <c r="R35" s="20">
        <f>VLOOKUP(F35,'Int. Pa.'!$B$3:$C$58,2,FALSE)</f>
        <v>10</v>
      </c>
      <c r="S35" s="20">
        <f>VLOOKUP(G35,'Int. Pa.'!$B$3:$C$58,2,FALSE)</f>
        <v>0</v>
      </c>
      <c r="T35" s="20">
        <f>VLOOKUP(H35,'Int. Pa.'!$B$3:$C$58,2,FALSE)</f>
        <v>1</v>
      </c>
      <c r="U35" s="20">
        <f>VLOOKUP(I35,'Int. Pa.'!$B$3:$C$58,2,FALSE)</f>
        <v>0</v>
      </c>
      <c r="V35" s="20">
        <f>VLOOKUP(J35,'Int. Pa.'!$B$3:$C$58,2,FALSE)</f>
        <v>10</v>
      </c>
      <c r="W35" s="20">
        <f>VLOOKUP(K35,'Int. Pa.'!$B$3:$C$58,2,FALSE)</f>
        <v>1</v>
      </c>
      <c r="X35" s="20">
        <f>VLOOKUP(L35,'Int. Pa.'!$B$3:$C$58,2,FALSE)</f>
        <v>1</v>
      </c>
      <c r="Y35" s="20">
        <f>VLOOKUP(M35,'Int. Pa.'!$B$3:$C$58,2,FALSE)</f>
        <v>5</v>
      </c>
      <c r="Z35" s="20">
        <f>VLOOKUP(N35,'Int. Pa.'!$B$3:$C$58,2,FALSE)</f>
        <v>6</v>
      </c>
      <c r="AA35" s="20">
        <f t="shared" si="0"/>
        <v>3</v>
      </c>
      <c r="AB35" s="20">
        <f t="shared" si="1"/>
        <v>34.166666666666664</v>
      </c>
    </row>
    <row r="36" spans="1:28">
      <c r="A36" s="80">
        <v>1</v>
      </c>
      <c r="B36" s="81" t="s">
        <v>897</v>
      </c>
      <c r="C36" s="82" t="s">
        <v>590</v>
      </c>
      <c r="D36" s="83">
        <v>2000</v>
      </c>
      <c r="E36" s="18" t="s">
        <v>7</v>
      </c>
      <c r="F36" s="18" t="s">
        <v>2</v>
      </c>
      <c r="G36" s="18" t="s">
        <v>88</v>
      </c>
      <c r="H36" s="18" t="s">
        <v>20</v>
      </c>
      <c r="I36" s="18" t="s">
        <v>24</v>
      </c>
      <c r="J36" s="18" t="s">
        <v>35</v>
      </c>
      <c r="K36" s="18" t="s">
        <v>38</v>
      </c>
      <c r="L36" s="18" t="s">
        <v>42</v>
      </c>
      <c r="M36" s="18" t="s">
        <v>50</v>
      </c>
      <c r="N36" s="18" t="s">
        <v>66</v>
      </c>
      <c r="O36" s="20">
        <f>2013-Table1[[#This Row],[Startup Year]]</f>
        <v>13</v>
      </c>
      <c r="P36" s="20"/>
      <c r="Q36" s="20">
        <f>VLOOKUP(E36,'Int. Pa.'!$B$3:$C$58,2,FALSE)</f>
        <v>1</v>
      </c>
      <c r="R36" s="20">
        <f>VLOOKUP(F36,'Int. Pa.'!$B$3:$C$58,2,FALSE)</f>
        <v>10</v>
      </c>
      <c r="S36" s="20">
        <f>VLOOKUP(G36,'Int. Pa.'!$B$3:$C$58,2,FALSE)</f>
        <v>0</v>
      </c>
      <c r="T36" s="20">
        <f>VLOOKUP(H36,'Int. Pa.'!$B$3:$C$58,2,FALSE)</f>
        <v>1</v>
      </c>
      <c r="U36" s="20">
        <f>VLOOKUP(I36,'Int. Pa.'!$B$3:$C$58,2,FALSE)</f>
        <v>0</v>
      </c>
      <c r="V36" s="20">
        <f>VLOOKUP(J36,'Int. Pa.'!$B$3:$C$58,2,FALSE)</f>
        <v>10</v>
      </c>
      <c r="W36" s="20">
        <f>VLOOKUP(K36,'Int. Pa.'!$B$3:$C$58,2,FALSE)</f>
        <v>1</v>
      </c>
      <c r="X36" s="20">
        <f>VLOOKUP(L36,'Int. Pa.'!$B$3:$C$58,2,FALSE)</f>
        <v>1</v>
      </c>
      <c r="Y36" s="20">
        <f>VLOOKUP(M36,'Int. Pa.'!$B$3:$C$58,2,FALSE)</f>
        <v>5</v>
      </c>
      <c r="Z36" s="20">
        <f>VLOOKUP(N36,'Int. Pa.'!$B$3:$C$58,2,FALSE)</f>
        <v>6</v>
      </c>
      <c r="AA36" s="20">
        <f t="shared" si="0"/>
        <v>3</v>
      </c>
      <c r="AB36" s="20">
        <f t="shared" si="1"/>
        <v>34.166666666666664</v>
      </c>
    </row>
    <row r="37" spans="1:28">
      <c r="A37" s="80">
        <v>1</v>
      </c>
      <c r="B37" s="81" t="s">
        <v>898</v>
      </c>
      <c r="C37" s="82" t="s">
        <v>599</v>
      </c>
      <c r="D37" s="83">
        <v>2000</v>
      </c>
      <c r="E37" s="18" t="s">
        <v>7</v>
      </c>
      <c r="F37" s="18" t="s">
        <v>2</v>
      </c>
      <c r="G37" s="18" t="s">
        <v>88</v>
      </c>
      <c r="H37" s="18" t="s">
        <v>20</v>
      </c>
      <c r="I37" s="18" t="s">
        <v>24</v>
      </c>
      <c r="J37" s="18" t="s">
        <v>35</v>
      </c>
      <c r="K37" s="18" t="s">
        <v>38</v>
      </c>
      <c r="L37" s="18" t="s">
        <v>42</v>
      </c>
      <c r="M37" s="18" t="s">
        <v>50</v>
      </c>
      <c r="N37" s="18" t="s">
        <v>66</v>
      </c>
      <c r="O37" s="20">
        <f>2013-Table1[[#This Row],[Startup Year]]</f>
        <v>13</v>
      </c>
      <c r="P37" s="20"/>
      <c r="Q37" s="20">
        <f>VLOOKUP(E37,'Int. Pa.'!$B$3:$C$58,2,FALSE)</f>
        <v>1</v>
      </c>
      <c r="R37" s="20">
        <f>VLOOKUP(F37,'Int. Pa.'!$B$3:$C$58,2,FALSE)</f>
        <v>10</v>
      </c>
      <c r="S37" s="20">
        <f>VLOOKUP(G37,'Int. Pa.'!$B$3:$C$58,2,FALSE)</f>
        <v>0</v>
      </c>
      <c r="T37" s="20">
        <f>VLOOKUP(H37,'Int. Pa.'!$B$3:$C$58,2,FALSE)</f>
        <v>1</v>
      </c>
      <c r="U37" s="20">
        <f>VLOOKUP(I37,'Int. Pa.'!$B$3:$C$58,2,FALSE)</f>
        <v>0</v>
      </c>
      <c r="V37" s="20">
        <f>VLOOKUP(J37,'Int. Pa.'!$B$3:$C$58,2,FALSE)</f>
        <v>10</v>
      </c>
      <c r="W37" s="20">
        <f>VLOOKUP(K37,'Int. Pa.'!$B$3:$C$58,2,FALSE)</f>
        <v>1</v>
      </c>
      <c r="X37" s="20">
        <f>VLOOKUP(L37,'Int. Pa.'!$B$3:$C$58,2,FALSE)</f>
        <v>1</v>
      </c>
      <c r="Y37" s="20">
        <f>VLOOKUP(M37,'Int. Pa.'!$B$3:$C$58,2,FALSE)</f>
        <v>5</v>
      </c>
      <c r="Z37" s="20">
        <f>VLOOKUP(N37,'Int. Pa.'!$B$3:$C$58,2,FALSE)</f>
        <v>6</v>
      </c>
      <c r="AA37" s="20">
        <f t="shared" si="0"/>
        <v>3</v>
      </c>
      <c r="AB37" s="20">
        <f t="shared" si="1"/>
        <v>34.166666666666664</v>
      </c>
    </row>
    <row r="38" spans="1:28">
      <c r="A38" s="80">
        <v>1</v>
      </c>
      <c r="B38" s="81" t="s">
        <v>899</v>
      </c>
      <c r="C38" s="82" t="s">
        <v>602</v>
      </c>
      <c r="D38" s="83">
        <v>2000</v>
      </c>
      <c r="E38" s="18" t="s">
        <v>7</v>
      </c>
      <c r="F38" s="18" t="s">
        <v>2</v>
      </c>
      <c r="G38" s="18" t="s">
        <v>88</v>
      </c>
      <c r="H38" s="18" t="s">
        <v>20</v>
      </c>
      <c r="I38" s="18" t="s">
        <v>24</v>
      </c>
      <c r="J38" s="18" t="s">
        <v>35</v>
      </c>
      <c r="K38" s="18" t="s">
        <v>38</v>
      </c>
      <c r="L38" s="18" t="s">
        <v>42</v>
      </c>
      <c r="M38" s="18" t="s">
        <v>50</v>
      </c>
      <c r="N38" s="18" t="s">
        <v>66</v>
      </c>
      <c r="O38" s="20">
        <f>2013-Table1[[#This Row],[Startup Year]]</f>
        <v>13</v>
      </c>
      <c r="P38" s="20"/>
      <c r="Q38" s="20">
        <f>VLOOKUP(E38,'Int. Pa.'!$B$3:$C$58,2,FALSE)</f>
        <v>1</v>
      </c>
      <c r="R38" s="20">
        <f>VLOOKUP(F38,'Int. Pa.'!$B$3:$C$58,2,FALSE)</f>
        <v>10</v>
      </c>
      <c r="S38" s="20">
        <f>VLOOKUP(G38,'Int. Pa.'!$B$3:$C$58,2,FALSE)</f>
        <v>0</v>
      </c>
      <c r="T38" s="20">
        <f>VLOOKUP(H38,'Int. Pa.'!$B$3:$C$58,2,FALSE)</f>
        <v>1</v>
      </c>
      <c r="U38" s="20">
        <f>VLOOKUP(I38,'Int. Pa.'!$B$3:$C$58,2,FALSE)</f>
        <v>0</v>
      </c>
      <c r="V38" s="20">
        <f>VLOOKUP(J38,'Int. Pa.'!$B$3:$C$58,2,FALSE)</f>
        <v>10</v>
      </c>
      <c r="W38" s="20">
        <f>VLOOKUP(K38,'Int. Pa.'!$B$3:$C$58,2,FALSE)</f>
        <v>1</v>
      </c>
      <c r="X38" s="20">
        <f>VLOOKUP(L38,'Int. Pa.'!$B$3:$C$58,2,FALSE)</f>
        <v>1</v>
      </c>
      <c r="Y38" s="20">
        <f>VLOOKUP(M38,'Int. Pa.'!$B$3:$C$58,2,FALSE)</f>
        <v>5</v>
      </c>
      <c r="Z38" s="20">
        <f>VLOOKUP(N38,'Int. Pa.'!$B$3:$C$58,2,FALSE)</f>
        <v>6</v>
      </c>
      <c r="AA38" s="20">
        <f t="shared" si="0"/>
        <v>3</v>
      </c>
      <c r="AB38" s="20">
        <f t="shared" si="1"/>
        <v>34.166666666666664</v>
      </c>
    </row>
    <row r="39" spans="1:28">
      <c r="A39" s="80">
        <v>1</v>
      </c>
      <c r="B39" s="81" t="s">
        <v>900</v>
      </c>
      <c r="C39" s="82" t="s">
        <v>603</v>
      </c>
      <c r="D39" s="83">
        <v>2000</v>
      </c>
      <c r="E39" s="18" t="s">
        <v>7</v>
      </c>
      <c r="F39" s="18" t="s">
        <v>2</v>
      </c>
      <c r="G39" s="18" t="s">
        <v>88</v>
      </c>
      <c r="H39" s="18" t="s">
        <v>20</v>
      </c>
      <c r="I39" s="18" t="s">
        <v>24</v>
      </c>
      <c r="J39" s="18" t="s">
        <v>35</v>
      </c>
      <c r="K39" s="18" t="s">
        <v>38</v>
      </c>
      <c r="L39" s="18" t="s">
        <v>42</v>
      </c>
      <c r="M39" s="18" t="s">
        <v>50</v>
      </c>
      <c r="N39" s="18" t="s">
        <v>66</v>
      </c>
      <c r="O39" s="20">
        <f>2013-Table1[[#This Row],[Startup Year]]</f>
        <v>13</v>
      </c>
      <c r="P39" s="20"/>
      <c r="Q39" s="20">
        <f>VLOOKUP(E39,'Int. Pa.'!$B$3:$C$58,2,FALSE)</f>
        <v>1</v>
      </c>
      <c r="R39" s="20">
        <f>VLOOKUP(F39,'Int. Pa.'!$B$3:$C$58,2,FALSE)</f>
        <v>10</v>
      </c>
      <c r="S39" s="20">
        <f>VLOOKUP(G39,'Int. Pa.'!$B$3:$C$58,2,FALSE)</f>
        <v>0</v>
      </c>
      <c r="T39" s="20">
        <f>VLOOKUP(H39,'Int. Pa.'!$B$3:$C$58,2,FALSE)</f>
        <v>1</v>
      </c>
      <c r="U39" s="20">
        <f>VLOOKUP(I39,'Int. Pa.'!$B$3:$C$58,2,FALSE)</f>
        <v>0</v>
      </c>
      <c r="V39" s="20">
        <f>VLOOKUP(J39,'Int. Pa.'!$B$3:$C$58,2,FALSE)</f>
        <v>10</v>
      </c>
      <c r="W39" s="20">
        <f>VLOOKUP(K39,'Int. Pa.'!$B$3:$C$58,2,FALSE)</f>
        <v>1</v>
      </c>
      <c r="X39" s="20">
        <f>VLOOKUP(L39,'Int. Pa.'!$B$3:$C$58,2,FALSE)</f>
        <v>1</v>
      </c>
      <c r="Y39" s="20">
        <f>VLOOKUP(M39,'Int. Pa.'!$B$3:$C$58,2,FALSE)</f>
        <v>5</v>
      </c>
      <c r="Z39" s="20">
        <f>VLOOKUP(N39,'Int. Pa.'!$B$3:$C$58,2,FALSE)</f>
        <v>6</v>
      </c>
      <c r="AA39" s="20">
        <f t="shared" si="0"/>
        <v>3</v>
      </c>
      <c r="AB39" s="20">
        <f t="shared" si="1"/>
        <v>34.166666666666664</v>
      </c>
    </row>
    <row r="40" spans="1:28">
      <c r="A40" s="80">
        <v>1</v>
      </c>
      <c r="B40" s="81" t="s">
        <v>901</v>
      </c>
      <c r="C40" s="82" t="s">
        <v>604</v>
      </c>
      <c r="D40" s="83">
        <v>2000</v>
      </c>
      <c r="E40" s="18" t="s">
        <v>7</v>
      </c>
      <c r="F40" s="18" t="s">
        <v>2</v>
      </c>
      <c r="G40" s="18" t="s">
        <v>88</v>
      </c>
      <c r="H40" s="18" t="s">
        <v>20</v>
      </c>
      <c r="I40" s="18" t="s">
        <v>24</v>
      </c>
      <c r="J40" s="18" t="s">
        <v>35</v>
      </c>
      <c r="K40" s="18" t="s">
        <v>38</v>
      </c>
      <c r="L40" s="18" t="s">
        <v>42</v>
      </c>
      <c r="M40" s="18" t="s">
        <v>50</v>
      </c>
      <c r="N40" s="18" t="s">
        <v>66</v>
      </c>
      <c r="O40" s="20">
        <f>2013-Table1[[#This Row],[Startup Year]]</f>
        <v>13</v>
      </c>
      <c r="P40" s="20"/>
      <c r="Q40" s="20">
        <f>VLOOKUP(E40,'Int. Pa.'!$B$3:$C$58,2,FALSE)</f>
        <v>1</v>
      </c>
      <c r="R40" s="20">
        <f>VLOOKUP(F40,'Int. Pa.'!$B$3:$C$58,2,FALSE)</f>
        <v>10</v>
      </c>
      <c r="S40" s="20">
        <f>VLOOKUP(G40,'Int. Pa.'!$B$3:$C$58,2,FALSE)</f>
        <v>0</v>
      </c>
      <c r="T40" s="20">
        <f>VLOOKUP(H40,'Int. Pa.'!$B$3:$C$58,2,FALSE)</f>
        <v>1</v>
      </c>
      <c r="U40" s="20">
        <f>VLOOKUP(I40,'Int. Pa.'!$B$3:$C$58,2,FALSE)</f>
        <v>0</v>
      </c>
      <c r="V40" s="20">
        <f>VLOOKUP(J40,'Int. Pa.'!$B$3:$C$58,2,FALSE)</f>
        <v>10</v>
      </c>
      <c r="W40" s="20">
        <f>VLOOKUP(K40,'Int. Pa.'!$B$3:$C$58,2,FALSE)</f>
        <v>1</v>
      </c>
      <c r="X40" s="20">
        <f>VLOOKUP(L40,'Int. Pa.'!$B$3:$C$58,2,FALSE)</f>
        <v>1</v>
      </c>
      <c r="Y40" s="20">
        <f>VLOOKUP(M40,'Int. Pa.'!$B$3:$C$58,2,FALSE)</f>
        <v>5</v>
      </c>
      <c r="Z40" s="20">
        <f>VLOOKUP(N40,'Int. Pa.'!$B$3:$C$58,2,FALSE)</f>
        <v>6</v>
      </c>
      <c r="AA40" s="20">
        <f t="shared" si="0"/>
        <v>3</v>
      </c>
      <c r="AB40" s="20">
        <f t="shared" si="1"/>
        <v>34.166666666666664</v>
      </c>
    </row>
    <row r="41" spans="1:28">
      <c r="A41" s="80">
        <v>1</v>
      </c>
      <c r="B41" s="81" t="s">
        <v>902</v>
      </c>
      <c r="C41" s="82" t="s">
        <v>605</v>
      </c>
      <c r="D41" s="83">
        <v>2000</v>
      </c>
      <c r="E41" s="18" t="s">
        <v>7</v>
      </c>
      <c r="F41" s="18" t="s">
        <v>2</v>
      </c>
      <c r="G41" s="18" t="s">
        <v>88</v>
      </c>
      <c r="H41" s="18" t="s">
        <v>20</v>
      </c>
      <c r="I41" s="18" t="s">
        <v>24</v>
      </c>
      <c r="J41" s="18" t="s">
        <v>35</v>
      </c>
      <c r="K41" s="18" t="s">
        <v>38</v>
      </c>
      <c r="L41" s="18" t="s">
        <v>42</v>
      </c>
      <c r="M41" s="18" t="s">
        <v>50</v>
      </c>
      <c r="N41" s="18" t="s">
        <v>66</v>
      </c>
      <c r="O41" s="20">
        <f>2013-Table1[[#This Row],[Startup Year]]</f>
        <v>13</v>
      </c>
      <c r="P41" s="20"/>
      <c r="Q41" s="20">
        <f>VLOOKUP(E41,'Int. Pa.'!$B$3:$C$58,2,FALSE)</f>
        <v>1</v>
      </c>
      <c r="R41" s="20">
        <f>VLOOKUP(F41,'Int. Pa.'!$B$3:$C$58,2,FALSE)</f>
        <v>10</v>
      </c>
      <c r="S41" s="20">
        <f>VLOOKUP(G41,'Int. Pa.'!$B$3:$C$58,2,FALSE)</f>
        <v>0</v>
      </c>
      <c r="T41" s="20">
        <f>VLOOKUP(H41,'Int. Pa.'!$B$3:$C$58,2,FALSE)</f>
        <v>1</v>
      </c>
      <c r="U41" s="20">
        <f>VLOOKUP(I41,'Int. Pa.'!$B$3:$C$58,2,FALSE)</f>
        <v>0</v>
      </c>
      <c r="V41" s="20">
        <f>VLOOKUP(J41,'Int. Pa.'!$B$3:$C$58,2,FALSE)</f>
        <v>10</v>
      </c>
      <c r="W41" s="20">
        <f>VLOOKUP(K41,'Int. Pa.'!$B$3:$C$58,2,FALSE)</f>
        <v>1</v>
      </c>
      <c r="X41" s="20">
        <f>VLOOKUP(L41,'Int. Pa.'!$B$3:$C$58,2,FALSE)</f>
        <v>1</v>
      </c>
      <c r="Y41" s="20">
        <f>VLOOKUP(M41,'Int. Pa.'!$B$3:$C$58,2,FALSE)</f>
        <v>5</v>
      </c>
      <c r="Z41" s="20">
        <f>VLOOKUP(N41,'Int. Pa.'!$B$3:$C$58,2,FALSE)</f>
        <v>6</v>
      </c>
      <c r="AA41" s="20">
        <f t="shared" si="0"/>
        <v>3</v>
      </c>
      <c r="AB41" s="20">
        <f t="shared" si="1"/>
        <v>34.166666666666664</v>
      </c>
    </row>
    <row r="42" spans="1:28">
      <c r="A42" s="80">
        <v>1</v>
      </c>
      <c r="B42" s="81" t="s">
        <v>903</v>
      </c>
      <c r="C42" s="82" t="s">
        <v>606</v>
      </c>
      <c r="D42" s="83">
        <v>2000</v>
      </c>
      <c r="E42" s="18" t="s">
        <v>7</v>
      </c>
      <c r="F42" s="18" t="s">
        <v>2</v>
      </c>
      <c r="G42" s="18" t="s">
        <v>88</v>
      </c>
      <c r="H42" s="18" t="s">
        <v>20</v>
      </c>
      <c r="I42" s="18" t="s">
        <v>24</v>
      </c>
      <c r="J42" s="18" t="s">
        <v>35</v>
      </c>
      <c r="K42" s="18" t="s">
        <v>38</v>
      </c>
      <c r="L42" s="18" t="s">
        <v>42</v>
      </c>
      <c r="M42" s="18" t="s">
        <v>50</v>
      </c>
      <c r="N42" s="18" t="s">
        <v>66</v>
      </c>
      <c r="O42" s="20">
        <f>2013-Table1[[#This Row],[Startup Year]]</f>
        <v>13</v>
      </c>
      <c r="P42" s="20"/>
      <c r="Q42" s="20">
        <f>VLOOKUP(E42,'Int. Pa.'!$B$3:$C$58,2,FALSE)</f>
        <v>1</v>
      </c>
      <c r="R42" s="20">
        <f>VLOOKUP(F42,'Int. Pa.'!$B$3:$C$58,2,FALSE)</f>
        <v>10</v>
      </c>
      <c r="S42" s="20">
        <f>VLOOKUP(G42,'Int. Pa.'!$B$3:$C$58,2,FALSE)</f>
        <v>0</v>
      </c>
      <c r="T42" s="20">
        <f>VLOOKUP(H42,'Int. Pa.'!$B$3:$C$58,2,FALSE)</f>
        <v>1</v>
      </c>
      <c r="U42" s="20">
        <f>VLOOKUP(I42,'Int. Pa.'!$B$3:$C$58,2,FALSE)</f>
        <v>0</v>
      </c>
      <c r="V42" s="20">
        <f>VLOOKUP(J42,'Int. Pa.'!$B$3:$C$58,2,FALSE)</f>
        <v>10</v>
      </c>
      <c r="W42" s="20">
        <f>VLOOKUP(K42,'Int. Pa.'!$B$3:$C$58,2,FALSE)</f>
        <v>1</v>
      </c>
      <c r="X42" s="20">
        <f>VLOOKUP(L42,'Int. Pa.'!$B$3:$C$58,2,FALSE)</f>
        <v>1</v>
      </c>
      <c r="Y42" s="20">
        <f>VLOOKUP(M42,'Int. Pa.'!$B$3:$C$58,2,FALSE)</f>
        <v>5</v>
      </c>
      <c r="Z42" s="20">
        <f>VLOOKUP(N42,'Int. Pa.'!$B$3:$C$58,2,FALSE)</f>
        <v>6</v>
      </c>
      <c r="AA42" s="20">
        <f t="shared" si="0"/>
        <v>3</v>
      </c>
      <c r="AB42" s="20">
        <f t="shared" si="1"/>
        <v>34.166666666666664</v>
      </c>
    </row>
    <row r="43" spans="1:28">
      <c r="A43" s="80">
        <v>1</v>
      </c>
      <c r="B43" s="81" t="s">
        <v>904</v>
      </c>
      <c r="C43" s="82" t="s">
        <v>607</v>
      </c>
      <c r="D43" s="83">
        <v>2000</v>
      </c>
      <c r="E43" s="18" t="s">
        <v>7</v>
      </c>
      <c r="F43" s="18" t="s">
        <v>2</v>
      </c>
      <c r="G43" s="18" t="s">
        <v>88</v>
      </c>
      <c r="H43" s="18" t="s">
        <v>20</v>
      </c>
      <c r="I43" s="18" t="s">
        <v>24</v>
      </c>
      <c r="J43" s="18" t="s">
        <v>35</v>
      </c>
      <c r="K43" s="18" t="s">
        <v>38</v>
      </c>
      <c r="L43" s="18" t="s">
        <v>42</v>
      </c>
      <c r="M43" s="18" t="s">
        <v>50</v>
      </c>
      <c r="N43" s="18" t="s">
        <v>66</v>
      </c>
      <c r="O43" s="20">
        <f>2013-Table1[[#This Row],[Startup Year]]</f>
        <v>13</v>
      </c>
      <c r="P43" s="20"/>
      <c r="Q43" s="20">
        <f>VLOOKUP(E43,'Int. Pa.'!$B$3:$C$58,2,FALSE)</f>
        <v>1</v>
      </c>
      <c r="R43" s="20">
        <f>VLOOKUP(F43,'Int. Pa.'!$B$3:$C$58,2,FALSE)</f>
        <v>10</v>
      </c>
      <c r="S43" s="20">
        <f>VLOOKUP(G43,'Int. Pa.'!$B$3:$C$58,2,FALSE)</f>
        <v>0</v>
      </c>
      <c r="T43" s="20">
        <f>VLOOKUP(H43,'Int. Pa.'!$B$3:$C$58,2,FALSE)</f>
        <v>1</v>
      </c>
      <c r="U43" s="20">
        <f>VLOOKUP(I43,'Int. Pa.'!$B$3:$C$58,2,FALSE)</f>
        <v>0</v>
      </c>
      <c r="V43" s="20">
        <f>VLOOKUP(J43,'Int. Pa.'!$B$3:$C$58,2,FALSE)</f>
        <v>10</v>
      </c>
      <c r="W43" s="20">
        <f>VLOOKUP(K43,'Int. Pa.'!$B$3:$C$58,2,FALSE)</f>
        <v>1</v>
      </c>
      <c r="X43" s="20">
        <f>VLOOKUP(L43,'Int. Pa.'!$B$3:$C$58,2,FALSE)</f>
        <v>1</v>
      </c>
      <c r="Y43" s="20">
        <f>VLOOKUP(M43,'Int. Pa.'!$B$3:$C$58,2,FALSE)</f>
        <v>5</v>
      </c>
      <c r="Z43" s="20">
        <f>VLOOKUP(N43,'Int. Pa.'!$B$3:$C$58,2,FALSE)</f>
        <v>6</v>
      </c>
      <c r="AA43" s="20">
        <f t="shared" si="0"/>
        <v>3</v>
      </c>
      <c r="AB43" s="20">
        <f t="shared" si="1"/>
        <v>34.166666666666664</v>
      </c>
    </row>
    <row r="44" spans="1:28">
      <c r="A44" s="80">
        <v>1</v>
      </c>
      <c r="B44" s="81">
        <v>631100002</v>
      </c>
      <c r="C44" s="82" t="s">
        <v>574</v>
      </c>
      <c r="D44" s="83">
        <v>2000</v>
      </c>
      <c r="E44" s="18" t="s">
        <v>7</v>
      </c>
      <c r="F44" s="18" t="s">
        <v>2</v>
      </c>
      <c r="G44" s="18" t="s">
        <v>88</v>
      </c>
      <c r="H44" s="18" t="s">
        <v>20</v>
      </c>
      <c r="I44" s="18" t="s">
        <v>24</v>
      </c>
      <c r="J44" s="18" t="s">
        <v>35</v>
      </c>
      <c r="K44" s="18" t="s">
        <v>38</v>
      </c>
      <c r="L44" s="18" t="s">
        <v>42</v>
      </c>
      <c r="M44" s="18" t="s">
        <v>50</v>
      </c>
      <c r="N44" s="18" t="s">
        <v>66</v>
      </c>
      <c r="O44" s="20">
        <f>2013-Table1[[#This Row],[Startup Year]]</f>
        <v>13</v>
      </c>
      <c r="P44" s="20"/>
      <c r="Q44" s="20">
        <f>VLOOKUP(E44,'Int. Pa.'!$B$3:$C$58,2,FALSE)</f>
        <v>1</v>
      </c>
      <c r="R44" s="20">
        <f>VLOOKUP(F44,'Int. Pa.'!$B$3:$C$58,2,FALSE)</f>
        <v>10</v>
      </c>
      <c r="S44" s="20">
        <f>VLOOKUP(G44,'Int. Pa.'!$B$3:$C$58,2,FALSE)</f>
        <v>0</v>
      </c>
      <c r="T44" s="20">
        <f>VLOOKUP(H44,'Int. Pa.'!$B$3:$C$58,2,FALSE)</f>
        <v>1</v>
      </c>
      <c r="U44" s="20">
        <f>VLOOKUP(I44,'Int. Pa.'!$B$3:$C$58,2,FALSE)</f>
        <v>0</v>
      </c>
      <c r="V44" s="20">
        <f>VLOOKUP(J44,'Int. Pa.'!$B$3:$C$58,2,FALSE)</f>
        <v>10</v>
      </c>
      <c r="W44" s="20">
        <f>VLOOKUP(K44,'Int. Pa.'!$B$3:$C$58,2,FALSE)</f>
        <v>1</v>
      </c>
      <c r="X44" s="20">
        <f>VLOOKUP(L44,'Int. Pa.'!$B$3:$C$58,2,FALSE)</f>
        <v>1</v>
      </c>
      <c r="Y44" s="20">
        <f>VLOOKUP(M44,'Int. Pa.'!$B$3:$C$58,2,FALSE)</f>
        <v>5</v>
      </c>
      <c r="Z44" s="20">
        <f>VLOOKUP(N44,'Int. Pa.'!$B$3:$C$58,2,FALSE)</f>
        <v>6</v>
      </c>
      <c r="AA44" s="20">
        <f t="shared" si="0"/>
        <v>3</v>
      </c>
      <c r="AB44" s="20">
        <f t="shared" si="1"/>
        <v>34.166666666666664</v>
      </c>
    </row>
    <row r="45" spans="1:28">
      <c r="A45" s="80">
        <v>1</v>
      </c>
      <c r="B45" s="81">
        <v>631100004</v>
      </c>
      <c r="C45" s="82" t="s">
        <v>571</v>
      </c>
      <c r="D45" s="83">
        <v>2000</v>
      </c>
      <c r="E45" s="18" t="s">
        <v>7</v>
      </c>
      <c r="F45" s="18" t="s">
        <v>2</v>
      </c>
      <c r="G45" s="18" t="s">
        <v>88</v>
      </c>
      <c r="H45" s="18" t="s">
        <v>20</v>
      </c>
      <c r="I45" s="18" t="s">
        <v>24</v>
      </c>
      <c r="J45" s="18" t="s">
        <v>35</v>
      </c>
      <c r="K45" s="18" t="s">
        <v>38</v>
      </c>
      <c r="L45" s="18" t="s">
        <v>42</v>
      </c>
      <c r="M45" s="18" t="s">
        <v>50</v>
      </c>
      <c r="N45" s="18" t="s">
        <v>66</v>
      </c>
      <c r="O45" s="20">
        <f>2013-Table1[[#This Row],[Startup Year]]</f>
        <v>13</v>
      </c>
      <c r="P45" s="20"/>
      <c r="Q45" s="20">
        <f>VLOOKUP(E45,'Int. Pa.'!$B$3:$C$58,2,FALSE)</f>
        <v>1</v>
      </c>
      <c r="R45" s="20">
        <f>VLOOKUP(F45,'Int. Pa.'!$B$3:$C$58,2,FALSE)</f>
        <v>10</v>
      </c>
      <c r="S45" s="20">
        <f>VLOOKUP(G45,'Int. Pa.'!$B$3:$C$58,2,FALSE)</f>
        <v>0</v>
      </c>
      <c r="T45" s="20">
        <f>VLOOKUP(H45,'Int. Pa.'!$B$3:$C$58,2,FALSE)</f>
        <v>1</v>
      </c>
      <c r="U45" s="20">
        <f>VLOOKUP(I45,'Int. Pa.'!$B$3:$C$58,2,FALSE)</f>
        <v>0</v>
      </c>
      <c r="V45" s="20">
        <f>VLOOKUP(J45,'Int. Pa.'!$B$3:$C$58,2,FALSE)</f>
        <v>10</v>
      </c>
      <c r="W45" s="20">
        <f>VLOOKUP(K45,'Int. Pa.'!$B$3:$C$58,2,FALSE)</f>
        <v>1</v>
      </c>
      <c r="X45" s="20">
        <f>VLOOKUP(L45,'Int. Pa.'!$B$3:$C$58,2,FALSE)</f>
        <v>1</v>
      </c>
      <c r="Y45" s="20">
        <f>VLOOKUP(M45,'Int. Pa.'!$B$3:$C$58,2,FALSE)</f>
        <v>5</v>
      </c>
      <c r="Z45" s="20">
        <f>VLOOKUP(N45,'Int. Pa.'!$B$3:$C$58,2,FALSE)</f>
        <v>6</v>
      </c>
      <c r="AA45" s="20">
        <f t="shared" si="0"/>
        <v>3</v>
      </c>
      <c r="AB45" s="20">
        <f t="shared" si="1"/>
        <v>34.166666666666664</v>
      </c>
    </row>
    <row r="46" spans="1:28">
      <c r="A46" s="84">
        <v>1</v>
      </c>
      <c r="B46" s="81">
        <v>6322101</v>
      </c>
      <c r="C46" s="82" t="s">
        <v>239</v>
      </c>
      <c r="D46" s="85">
        <v>2000</v>
      </c>
      <c r="E46" s="18" t="s">
        <v>7</v>
      </c>
      <c r="F46" s="18" t="s">
        <v>2</v>
      </c>
      <c r="G46" s="18" t="s">
        <v>88</v>
      </c>
      <c r="H46" s="18" t="s">
        <v>20</v>
      </c>
      <c r="I46" s="18" t="s">
        <v>24</v>
      </c>
      <c r="J46" s="18" t="s">
        <v>35</v>
      </c>
      <c r="K46" s="18" t="s">
        <v>38</v>
      </c>
      <c r="L46" s="18" t="s">
        <v>42</v>
      </c>
      <c r="M46" s="18" t="s">
        <v>50</v>
      </c>
      <c r="N46" s="18" t="s">
        <v>66</v>
      </c>
      <c r="O46" s="20">
        <f>2013-Table1[[#This Row],[Startup Year]]</f>
        <v>13</v>
      </c>
      <c r="P46" s="20"/>
      <c r="Q46" s="20">
        <f>VLOOKUP(E46,'Int. Pa.'!$B$3:$C$58,2,FALSE)</f>
        <v>1</v>
      </c>
      <c r="R46" s="20">
        <f>VLOOKUP(F46,'Int. Pa.'!$B$3:$C$58,2,FALSE)</f>
        <v>10</v>
      </c>
      <c r="S46" s="20">
        <f>VLOOKUP(G46,'Int. Pa.'!$B$3:$C$58,2,FALSE)</f>
        <v>0</v>
      </c>
      <c r="T46" s="20">
        <f>VLOOKUP(H46,'Int. Pa.'!$B$3:$C$58,2,FALSE)</f>
        <v>1</v>
      </c>
      <c r="U46" s="20">
        <f>VLOOKUP(I46,'Int. Pa.'!$B$3:$C$58,2,FALSE)</f>
        <v>0</v>
      </c>
      <c r="V46" s="20">
        <f>VLOOKUP(J46,'Int. Pa.'!$B$3:$C$58,2,FALSE)</f>
        <v>10</v>
      </c>
      <c r="W46" s="20">
        <f>VLOOKUP(K46,'Int. Pa.'!$B$3:$C$58,2,FALSE)</f>
        <v>1</v>
      </c>
      <c r="X46" s="20">
        <f>VLOOKUP(L46,'Int. Pa.'!$B$3:$C$58,2,FALSE)</f>
        <v>1</v>
      </c>
      <c r="Y46" s="20">
        <f>VLOOKUP(M46,'Int. Pa.'!$B$3:$C$58,2,FALSE)</f>
        <v>5</v>
      </c>
      <c r="Z46" s="20">
        <f>VLOOKUP(N46,'Int. Pa.'!$B$3:$C$58,2,FALSE)</f>
        <v>6</v>
      </c>
      <c r="AA46" s="20">
        <f t="shared" si="0"/>
        <v>3</v>
      </c>
      <c r="AB46" s="20">
        <f t="shared" si="1"/>
        <v>34.166666666666664</v>
      </c>
    </row>
    <row r="47" spans="1:28">
      <c r="A47" s="84">
        <v>1</v>
      </c>
      <c r="B47" s="81">
        <v>6322104</v>
      </c>
      <c r="C47" s="82" t="s">
        <v>240</v>
      </c>
      <c r="D47" s="85">
        <v>2000</v>
      </c>
      <c r="E47" s="18" t="s">
        <v>7</v>
      </c>
      <c r="F47" s="18" t="s">
        <v>2</v>
      </c>
      <c r="G47" s="18" t="s">
        <v>88</v>
      </c>
      <c r="H47" s="18" t="s">
        <v>20</v>
      </c>
      <c r="I47" s="18" t="s">
        <v>24</v>
      </c>
      <c r="J47" s="18" t="s">
        <v>35</v>
      </c>
      <c r="K47" s="18" t="s">
        <v>38</v>
      </c>
      <c r="L47" s="18" t="s">
        <v>42</v>
      </c>
      <c r="M47" s="18" t="s">
        <v>50</v>
      </c>
      <c r="N47" s="18" t="s">
        <v>66</v>
      </c>
      <c r="O47" s="20">
        <f>2013-Table1[[#This Row],[Startup Year]]</f>
        <v>13</v>
      </c>
      <c r="P47" s="20"/>
      <c r="Q47" s="20">
        <f>VLOOKUP(E47,'Int. Pa.'!$B$3:$C$58,2,FALSE)</f>
        <v>1</v>
      </c>
      <c r="R47" s="20">
        <f>VLOOKUP(F47,'Int. Pa.'!$B$3:$C$58,2,FALSE)</f>
        <v>10</v>
      </c>
      <c r="S47" s="20">
        <f>VLOOKUP(G47,'Int. Pa.'!$B$3:$C$58,2,FALSE)</f>
        <v>0</v>
      </c>
      <c r="T47" s="20">
        <f>VLOOKUP(H47,'Int. Pa.'!$B$3:$C$58,2,FALSE)</f>
        <v>1</v>
      </c>
      <c r="U47" s="20">
        <f>VLOOKUP(I47,'Int. Pa.'!$B$3:$C$58,2,FALSE)</f>
        <v>0</v>
      </c>
      <c r="V47" s="20">
        <f>VLOOKUP(J47,'Int. Pa.'!$B$3:$C$58,2,FALSE)</f>
        <v>10</v>
      </c>
      <c r="W47" s="20">
        <f>VLOOKUP(K47,'Int. Pa.'!$B$3:$C$58,2,FALSE)</f>
        <v>1</v>
      </c>
      <c r="X47" s="20">
        <f>VLOOKUP(L47,'Int. Pa.'!$B$3:$C$58,2,FALSE)</f>
        <v>1</v>
      </c>
      <c r="Y47" s="20">
        <f>VLOOKUP(M47,'Int. Pa.'!$B$3:$C$58,2,FALSE)</f>
        <v>5</v>
      </c>
      <c r="Z47" s="20">
        <f>VLOOKUP(N47,'Int. Pa.'!$B$3:$C$58,2,FALSE)</f>
        <v>6</v>
      </c>
      <c r="AA47" s="20">
        <f t="shared" si="0"/>
        <v>3</v>
      </c>
      <c r="AB47" s="20">
        <f t="shared" si="1"/>
        <v>34.166666666666664</v>
      </c>
    </row>
    <row r="48" spans="1:28" ht="25.5">
      <c r="A48" s="84">
        <v>1</v>
      </c>
      <c r="B48" s="81">
        <v>40222012</v>
      </c>
      <c r="C48" s="82" t="s">
        <v>241</v>
      </c>
      <c r="D48" s="85">
        <v>2000</v>
      </c>
      <c r="E48" s="18" t="s">
        <v>7</v>
      </c>
      <c r="F48" s="18" t="s">
        <v>2</v>
      </c>
      <c r="G48" s="18" t="s">
        <v>88</v>
      </c>
      <c r="H48" s="18" t="s">
        <v>20</v>
      </c>
      <c r="I48" s="18" t="s">
        <v>24</v>
      </c>
      <c r="J48" s="18" t="s">
        <v>35</v>
      </c>
      <c r="K48" s="18" t="s">
        <v>38</v>
      </c>
      <c r="L48" s="18" t="s">
        <v>42</v>
      </c>
      <c r="M48" s="18" t="s">
        <v>50</v>
      </c>
      <c r="N48" s="18" t="s">
        <v>66</v>
      </c>
      <c r="O48" s="20">
        <f>2013-Table1[[#This Row],[Startup Year]]</f>
        <v>13</v>
      </c>
      <c r="P48" s="20"/>
      <c r="Q48" s="20">
        <f>VLOOKUP(E48,'Int. Pa.'!$B$3:$C$58,2,FALSE)</f>
        <v>1</v>
      </c>
      <c r="R48" s="20">
        <f>VLOOKUP(F48,'Int. Pa.'!$B$3:$C$58,2,FALSE)</f>
        <v>10</v>
      </c>
      <c r="S48" s="20">
        <f>VLOOKUP(G48,'Int. Pa.'!$B$3:$C$58,2,FALSE)</f>
        <v>0</v>
      </c>
      <c r="T48" s="20">
        <f>VLOOKUP(H48,'Int. Pa.'!$B$3:$C$58,2,FALSE)</f>
        <v>1</v>
      </c>
      <c r="U48" s="20">
        <f>VLOOKUP(I48,'Int. Pa.'!$B$3:$C$58,2,FALSE)</f>
        <v>0</v>
      </c>
      <c r="V48" s="20">
        <f>VLOOKUP(J48,'Int. Pa.'!$B$3:$C$58,2,FALSE)</f>
        <v>10</v>
      </c>
      <c r="W48" s="20">
        <f>VLOOKUP(K48,'Int. Pa.'!$B$3:$C$58,2,FALSE)</f>
        <v>1</v>
      </c>
      <c r="X48" s="20">
        <f>VLOOKUP(L48,'Int. Pa.'!$B$3:$C$58,2,FALSE)</f>
        <v>1</v>
      </c>
      <c r="Y48" s="20">
        <f>VLOOKUP(M48,'Int. Pa.'!$B$3:$C$58,2,FALSE)</f>
        <v>5</v>
      </c>
      <c r="Z48" s="20">
        <f>VLOOKUP(N48,'Int. Pa.'!$B$3:$C$58,2,FALSE)</f>
        <v>6</v>
      </c>
      <c r="AA48" s="20">
        <f t="shared" si="0"/>
        <v>3</v>
      </c>
      <c r="AB48" s="20">
        <f t="shared" si="1"/>
        <v>34.166666666666664</v>
      </c>
    </row>
    <row r="49" spans="1:28">
      <c r="A49" s="84">
        <v>1</v>
      </c>
      <c r="B49" s="81">
        <v>402110001</v>
      </c>
      <c r="C49" s="82" t="s">
        <v>242</v>
      </c>
      <c r="D49" s="85">
        <v>1989</v>
      </c>
      <c r="E49" s="18" t="s">
        <v>7</v>
      </c>
      <c r="F49" s="18" t="s">
        <v>2</v>
      </c>
      <c r="G49" s="18" t="s">
        <v>88</v>
      </c>
      <c r="H49" s="18" t="s">
        <v>20</v>
      </c>
      <c r="I49" s="18" t="s">
        <v>24</v>
      </c>
      <c r="J49" s="18" t="s">
        <v>35</v>
      </c>
      <c r="K49" s="18" t="s">
        <v>38</v>
      </c>
      <c r="L49" s="18" t="s">
        <v>42</v>
      </c>
      <c r="M49" s="18" t="s">
        <v>50</v>
      </c>
      <c r="N49" s="18" t="s">
        <v>66</v>
      </c>
      <c r="O49" s="20">
        <f>2013-Table1[[#This Row],[Startup Year]]</f>
        <v>24</v>
      </c>
      <c r="P49" s="20"/>
      <c r="Q49" s="20">
        <f>VLOOKUP(E49,'Int. Pa.'!$B$3:$C$58,2,FALSE)</f>
        <v>1</v>
      </c>
      <c r="R49" s="20">
        <f>VLOOKUP(F49,'Int. Pa.'!$B$3:$C$58,2,FALSE)</f>
        <v>10</v>
      </c>
      <c r="S49" s="20">
        <f>VLOOKUP(G49,'Int. Pa.'!$B$3:$C$58,2,FALSE)</f>
        <v>0</v>
      </c>
      <c r="T49" s="20">
        <f>VLOOKUP(H49,'Int. Pa.'!$B$3:$C$58,2,FALSE)</f>
        <v>1</v>
      </c>
      <c r="U49" s="20">
        <f>VLOOKUP(I49,'Int. Pa.'!$B$3:$C$58,2,FALSE)</f>
        <v>0</v>
      </c>
      <c r="V49" s="20">
        <f>VLOOKUP(J49,'Int. Pa.'!$B$3:$C$58,2,FALSE)</f>
        <v>10</v>
      </c>
      <c r="W49" s="20">
        <f>VLOOKUP(K49,'Int. Pa.'!$B$3:$C$58,2,FALSE)</f>
        <v>1</v>
      </c>
      <c r="X49" s="20">
        <f>VLOOKUP(L49,'Int. Pa.'!$B$3:$C$58,2,FALSE)</f>
        <v>1</v>
      </c>
      <c r="Y49" s="20">
        <f>VLOOKUP(M49,'Int. Pa.'!$B$3:$C$58,2,FALSE)</f>
        <v>5</v>
      </c>
      <c r="Z49" s="20">
        <f>VLOOKUP(N49,'Int. Pa.'!$B$3:$C$58,2,FALSE)</f>
        <v>6</v>
      </c>
      <c r="AA49" s="20">
        <f t="shared" si="0"/>
        <v>6</v>
      </c>
      <c r="AB49" s="20">
        <f t="shared" si="1"/>
        <v>34.999999999999993</v>
      </c>
    </row>
    <row r="50" spans="1:28">
      <c r="A50" s="84">
        <v>1</v>
      </c>
      <c r="B50" s="81">
        <v>402210001</v>
      </c>
      <c r="C50" s="82" t="s">
        <v>243</v>
      </c>
      <c r="D50" s="85">
        <v>2000</v>
      </c>
      <c r="E50" s="18" t="s">
        <v>7</v>
      </c>
      <c r="F50" s="18" t="s">
        <v>2</v>
      </c>
      <c r="G50" s="18" t="s">
        <v>88</v>
      </c>
      <c r="H50" s="18" t="s">
        <v>20</v>
      </c>
      <c r="I50" s="18" t="s">
        <v>24</v>
      </c>
      <c r="J50" s="18" t="s">
        <v>35</v>
      </c>
      <c r="K50" s="18" t="s">
        <v>38</v>
      </c>
      <c r="L50" s="18" t="s">
        <v>42</v>
      </c>
      <c r="M50" s="18" t="s">
        <v>50</v>
      </c>
      <c r="N50" s="18" t="s">
        <v>66</v>
      </c>
      <c r="O50" s="20">
        <f>2013-Table1[[#This Row],[Startup Year]]</f>
        <v>13</v>
      </c>
      <c r="P50" s="20"/>
      <c r="Q50" s="20">
        <f>VLOOKUP(E50,'Int. Pa.'!$B$3:$C$58,2,FALSE)</f>
        <v>1</v>
      </c>
      <c r="R50" s="20">
        <f>VLOOKUP(F50,'Int. Pa.'!$B$3:$C$58,2,FALSE)</f>
        <v>10</v>
      </c>
      <c r="S50" s="20">
        <f>VLOOKUP(G50,'Int. Pa.'!$B$3:$C$58,2,FALSE)</f>
        <v>0</v>
      </c>
      <c r="T50" s="20">
        <f>VLOOKUP(H50,'Int. Pa.'!$B$3:$C$58,2,FALSE)</f>
        <v>1</v>
      </c>
      <c r="U50" s="20">
        <f>VLOOKUP(I50,'Int. Pa.'!$B$3:$C$58,2,FALSE)</f>
        <v>0</v>
      </c>
      <c r="V50" s="20">
        <f>VLOOKUP(J50,'Int. Pa.'!$B$3:$C$58,2,FALSE)</f>
        <v>10</v>
      </c>
      <c r="W50" s="20">
        <f>VLOOKUP(K50,'Int. Pa.'!$B$3:$C$58,2,FALSE)</f>
        <v>1</v>
      </c>
      <c r="X50" s="20">
        <f>VLOOKUP(L50,'Int. Pa.'!$B$3:$C$58,2,FALSE)</f>
        <v>1</v>
      </c>
      <c r="Y50" s="20">
        <f>VLOOKUP(M50,'Int. Pa.'!$B$3:$C$58,2,FALSE)</f>
        <v>5</v>
      </c>
      <c r="Z50" s="20">
        <f>VLOOKUP(N50,'Int. Pa.'!$B$3:$C$58,2,FALSE)</f>
        <v>6</v>
      </c>
      <c r="AA50" s="20">
        <f t="shared" si="0"/>
        <v>3</v>
      </c>
      <c r="AB50" s="20">
        <f t="shared" si="1"/>
        <v>34.166666666666664</v>
      </c>
    </row>
    <row r="51" spans="1:28">
      <c r="A51" s="84">
        <v>1</v>
      </c>
      <c r="B51" s="81">
        <v>402210003</v>
      </c>
      <c r="C51" s="82" t="s">
        <v>244</v>
      </c>
      <c r="D51" s="85">
        <v>2000</v>
      </c>
      <c r="E51" s="18" t="s">
        <v>7</v>
      </c>
      <c r="F51" s="18" t="s">
        <v>2</v>
      </c>
      <c r="G51" s="18" t="s">
        <v>88</v>
      </c>
      <c r="H51" s="18" t="s">
        <v>20</v>
      </c>
      <c r="I51" s="18" t="s">
        <v>24</v>
      </c>
      <c r="J51" s="18" t="s">
        <v>35</v>
      </c>
      <c r="K51" s="18" t="s">
        <v>38</v>
      </c>
      <c r="L51" s="18" t="s">
        <v>42</v>
      </c>
      <c r="M51" s="18" t="s">
        <v>50</v>
      </c>
      <c r="N51" s="18" t="s">
        <v>66</v>
      </c>
      <c r="O51" s="20">
        <f>2013-Table1[[#This Row],[Startup Year]]</f>
        <v>13</v>
      </c>
      <c r="P51" s="20"/>
      <c r="Q51" s="20">
        <f>VLOOKUP(E51,'Int. Pa.'!$B$3:$C$58,2,FALSE)</f>
        <v>1</v>
      </c>
      <c r="R51" s="20">
        <f>VLOOKUP(F51,'Int. Pa.'!$B$3:$C$58,2,FALSE)</f>
        <v>10</v>
      </c>
      <c r="S51" s="20">
        <f>VLOOKUP(G51,'Int. Pa.'!$B$3:$C$58,2,FALSE)</f>
        <v>0</v>
      </c>
      <c r="T51" s="20">
        <f>VLOOKUP(H51,'Int. Pa.'!$B$3:$C$58,2,FALSE)</f>
        <v>1</v>
      </c>
      <c r="U51" s="20">
        <f>VLOOKUP(I51,'Int. Pa.'!$B$3:$C$58,2,FALSE)</f>
        <v>0</v>
      </c>
      <c r="V51" s="20">
        <f>VLOOKUP(J51,'Int. Pa.'!$B$3:$C$58,2,FALSE)</f>
        <v>10</v>
      </c>
      <c r="W51" s="20">
        <f>VLOOKUP(K51,'Int. Pa.'!$B$3:$C$58,2,FALSE)</f>
        <v>1</v>
      </c>
      <c r="X51" s="20">
        <f>VLOOKUP(L51,'Int. Pa.'!$B$3:$C$58,2,FALSE)</f>
        <v>1</v>
      </c>
      <c r="Y51" s="20">
        <f>VLOOKUP(M51,'Int. Pa.'!$B$3:$C$58,2,FALSE)</f>
        <v>5</v>
      </c>
      <c r="Z51" s="20">
        <f>VLOOKUP(N51,'Int. Pa.'!$B$3:$C$58,2,FALSE)</f>
        <v>6</v>
      </c>
      <c r="AA51" s="20">
        <f t="shared" si="0"/>
        <v>3</v>
      </c>
      <c r="AB51" s="20">
        <f t="shared" si="1"/>
        <v>34.166666666666664</v>
      </c>
    </row>
    <row r="52" spans="1:28">
      <c r="A52" s="80">
        <v>1</v>
      </c>
      <c r="B52" s="81">
        <v>4030301</v>
      </c>
      <c r="C52" s="82" t="s">
        <v>578</v>
      </c>
      <c r="D52" s="83">
        <v>2000</v>
      </c>
      <c r="E52" s="18" t="s">
        <v>7</v>
      </c>
      <c r="F52" s="18" t="s">
        <v>2</v>
      </c>
      <c r="G52" s="18" t="s">
        <v>88</v>
      </c>
      <c r="H52" s="18" t="s">
        <v>20</v>
      </c>
      <c r="I52" s="18" t="s">
        <v>24</v>
      </c>
      <c r="J52" s="18" t="s">
        <v>35</v>
      </c>
      <c r="K52" s="18" t="s">
        <v>38</v>
      </c>
      <c r="L52" s="18" t="s">
        <v>42</v>
      </c>
      <c r="M52" s="18" t="s">
        <v>50</v>
      </c>
      <c r="N52" s="18" t="s">
        <v>66</v>
      </c>
      <c r="O52" s="20">
        <f>2013-Table1[[#This Row],[Startup Year]]</f>
        <v>13</v>
      </c>
      <c r="P52" s="20"/>
      <c r="Q52" s="20">
        <f>VLOOKUP(E52,'Int. Pa.'!$B$3:$C$58,2,FALSE)</f>
        <v>1</v>
      </c>
      <c r="R52" s="20">
        <f>VLOOKUP(F52,'Int. Pa.'!$B$3:$C$58,2,FALSE)</f>
        <v>10</v>
      </c>
      <c r="S52" s="20">
        <f>VLOOKUP(G52,'Int. Pa.'!$B$3:$C$58,2,FALSE)</f>
        <v>0</v>
      </c>
      <c r="T52" s="20">
        <f>VLOOKUP(H52,'Int. Pa.'!$B$3:$C$58,2,FALSE)</f>
        <v>1</v>
      </c>
      <c r="U52" s="20">
        <f>VLOOKUP(I52,'Int. Pa.'!$B$3:$C$58,2,FALSE)</f>
        <v>0</v>
      </c>
      <c r="V52" s="20">
        <f>VLOOKUP(J52,'Int. Pa.'!$B$3:$C$58,2,FALSE)</f>
        <v>10</v>
      </c>
      <c r="W52" s="20">
        <f>VLOOKUP(K52,'Int. Pa.'!$B$3:$C$58,2,FALSE)</f>
        <v>1</v>
      </c>
      <c r="X52" s="20">
        <f>VLOOKUP(L52,'Int. Pa.'!$B$3:$C$58,2,FALSE)</f>
        <v>1</v>
      </c>
      <c r="Y52" s="20">
        <f>VLOOKUP(M52,'Int. Pa.'!$B$3:$C$58,2,FALSE)</f>
        <v>5</v>
      </c>
      <c r="Z52" s="20">
        <f>VLOOKUP(N52,'Int. Pa.'!$B$3:$C$58,2,FALSE)</f>
        <v>6</v>
      </c>
      <c r="AA52" s="20">
        <f t="shared" si="0"/>
        <v>3</v>
      </c>
      <c r="AB52" s="20">
        <f t="shared" si="1"/>
        <v>34.166666666666664</v>
      </c>
    </row>
    <row r="53" spans="1:28" ht="25.5">
      <c r="A53" s="84">
        <v>1</v>
      </c>
      <c r="B53" s="81">
        <v>405110101</v>
      </c>
      <c r="C53" s="82" t="s">
        <v>245</v>
      </c>
      <c r="D53" s="85">
        <v>2000</v>
      </c>
      <c r="E53" s="18" t="s">
        <v>7</v>
      </c>
      <c r="F53" s="18" t="s">
        <v>2</v>
      </c>
      <c r="G53" s="18" t="s">
        <v>88</v>
      </c>
      <c r="H53" s="18" t="s">
        <v>20</v>
      </c>
      <c r="I53" s="18" t="s">
        <v>24</v>
      </c>
      <c r="J53" s="18" t="s">
        <v>35</v>
      </c>
      <c r="K53" s="18" t="s">
        <v>38</v>
      </c>
      <c r="L53" s="18" t="s">
        <v>42</v>
      </c>
      <c r="M53" s="18" t="s">
        <v>50</v>
      </c>
      <c r="N53" s="18" t="s">
        <v>66</v>
      </c>
      <c r="O53" s="20">
        <f>2013-Table1[[#This Row],[Startup Year]]</f>
        <v>13</v>
      </c>
      <c r="P53" s="20"/>
      <c r="Q53" s="20">
        <f>VLOOKUP(E53,'Int. Pa.'!$B$3:$C$58,2,FALSE)</f>
        <v>1</v>
      </c>
      <c r="R53" s="20">
        <f>VLOOKUP(F53,'Int. Pa.'!$B$3:$C$58,2,FALSE)</f>
        <v>10</v>
      </c>
      <c r="S53" s="20">
        <f>VLOOKUP(G53,'Int. Pa.'!$B$3:$C$58,2,FALSE)</f>
        <v>0</v>
      </c>
      <c r="T53" s="20">
        <f>VLOOKUP(H53,'Int. Pa.'!$B$3:$C$58,2,FALSE)</f>
        <v>1</v>
      </c>
      <c r="U53" s="20">
        <f>VLOOKUP(I53,'Int. Pa.'!$B$3:$C$58,2,FALSE)</f>
        <v>0</v>
      </c>
      <c r="V53" s="20">
        <f>VLOOKUP(J53,'Int. Pa.'!$B$3:$C$58,2,FALSE)</f>
        <v>10</v>
      </c>
      <c r="W53" s="20">
        <f>VLOOKUP(K53,'Int. Pa.'!$B$3:$C$58,2,FALSE)</f>
        <v>1</v>
      </c>
      <c r="X53" s="20">
        <f>VLOOKUP(L53,'Int. Pa.'!$B$3:$C$58,2,FALSE)</f>
        <v>1</v>
      </c>
      <c r="Y53" s="20">
        <f>VLOOKUP(M53,'Int. Pa.'!$B$3:$C$58,2,FALSE)</f>
        <v>5</v>
      </c>
      <c r="Z53" s="20">
        <f>VLOOKUP(N53,'Int. Pa.'!$B$3:$C$58,2,FALSE)</f>
        <v>6</v>
      </c>
      <c r="AA53" s="20">
        <f t="shared" si="0"/>
        <v>3</v>
      </c>
      <c r="AB53" s="20">
        <f t="shared" si="1"/>
        <v>34.166666666666664</v>
      </c>
    </row>
    <row r="54" spans="1:28">
      <c r="A54" s="80">
        <v>1</v>
      </c>
      <c r="B54" s="81">
        <v>4052</v>
      </c>
      <c r="C54" s="82" t="s">
        <v>611</v>
      </c>
      <c r="D54" s="83">
        <v>2000</v>
      </c>
      <c r="E54" s="18" t="s">
        <v>7</v>
      </c>
      <c r="F54" s="18" t="s">
        <v>2</v>
      </c>
      <c r="G54" s="18" t="s">
        <v>88</v>
      </c>
      <c r="H54" s="18" t="s">
        <v>20</v>
      </c>
      <c r="I54" s="18" t="s">
        <v>24</v>
      </c>
      <c r="J54" s="18" t="s">
        <v>35</v>
      </c>
      <c r="K54" s="18" t="s">
        <v>38</v>
      </c>
      <c r="L54" s="18" t="s">
        <v>42</v>
      </c>
      <c r="M54" s="18" t="s">
        <v>50</v>
      </c>
      <c r="N54" s="18" t="s">
        <v>66</v>
      </c>
      <c r="O54" s="20">
        <f>2013-Table1[[#This Row],[Startup Year]]</f>
        <v>13</v>
      </c>
      <c r="P54" s="20"/>
      <c r="Q54" s="20">
        <f>VLOOKUP(E54,'Int. Pa.'!$B$3:$C$58,2,FALSE)</f>
        <v>1</v>
      </c>
      <c r="R54" s="20">
        <f>VLOOKUP(F54,'Int. Pa.'!$B$3:$C$58,2,FALSE)</f>
        <v>10</v>
      </c>
      <c r="S54" s="20">
        <f>VLOOKUP(G54,'Int. Pa.'!$B$3:$C$58,2,FALSE)</f>
        <v>0</v>
      </c>
      <c r="T54" s="20">
        <f>VLOOKUP(H54,'Int. Pa.'!$B$3:$C$58,2,FALSE)</f>
        <v>1</v>
      </c>
      <c r="U54" s="20">
        <f>VLOOKUP(I54,'Int. Pa.'!$B$3:$C$58,2,FALSE)</f>
        <v>0</v>
      </c>
      <c r="V54" s="20">
        <f>VLOOKUP(J54,'Int. Pa.'!$B$3:$C$58,2,FALSE)</f>
        <v>10</v>
      </c>
      <c r="W54" s="20">
        <f>VLOOKUP(K54,'Int. Pa.'!$B$3:$C$58,2,FALSE)</f>
        <v>1</v>
      </c>
      <c r="X54" s="20">
        <f>VLOOKUP(L54,'Int. Pa.'!$B$3:$C$58,2,FALSE)</f>
        <v>1</v>
      </c>
      <c r="Y54" s="20">
        <f>VLOOKUP(M54,'Int. Pa.'!$B$3:$C$58,2,FALSE)</f>
        <v>5</v>
      </c>
      <c r="Z54" s="20">
        <f>VLOOKUP(N54,'Int. Pa.'!$B$3:$C$58,2,FALSE)</f>
        <v>6</v>
      </c>
      <c r="AA54" s="20">
        <f t="shared" si="0"/>
        <v>3</v>
      </c>
      <c r="AB54" s="20">
        <f t="shared" si="1"/>
        <v>34.166666666666664</v>
      </c>
    </row>
    <row r="55" spans="1:28">
      <c r="A55" s="80">
        <v>1</v>
      </c>
      <c r="B55" s="81">
        <v>44021001</v>
      </c>
      <c r="C55" s="82" t="s">
        <v>563</v>
      </c>
      <c r="D55" s="83">
        <v>2000</v>
      </c>
      <c r="E55" s="18" t="s">
        <v>7</v>
      </c>
      <c r="F55" s="18" t="s">
        <v>2</v>
      </c>
      <c r="G55" s="18" t="s">
        <v>88</v>
      </c>
      <c r="H55" s="18" t="s">
        <v>20</v>
      </c>
      <c r="I55" s="18" t="s">
        <v>24</v>
      </c>
      <c r="J55" s="18" t="s">
        <v>35</v>
      </c>
      <c r="K55" s="18" t="s">
        <v>38</v>
      </c>
      <c r="L55" s="18" t="s">
        <v>42</v>
      </c>
      <c r="M55" s="18" t="s">
        <v>50</v>
      </c>
      <c r="N55" s="18" t="s">
        <v>66</v>
      </c>
      <c r="O55" s="20">
        <f>2013-Table1[[#This Row],[Startup Year]]</f>
        <v>13</v>
      </c>
      <c r="P55" s="20"/>
      <c r="Q55" s="20">
        <f>VLOOKUP(E55,'Int. Pa.'!$B$3:$C$58,2,FALSE)</f>
        <v>1</v>
      </c>
      <c r="R55" s="20">
        <f>VLOOKUP(F55,'Int. Pa.'!$B$3:$C$58,2,FALSE)</f>
        <v>10</v>
      </c>
      <c r="S55" s="20">
        <f>VLOOKUP(G55,'Int. Pa.'!$B$3:$C$58,2,FALSE)</f>
        <v>0</v>
      </c>
      <c r="T55" s="20">
        <f>VLOOKUP(H55,'Int. Pa.'!$B$3:$C$58,2,FALSE)</f>
        <v>1</v>
      </c>
      <c r="U55" s="20">
        <f>VLOOKUP(I55,'Int. Pa.'!$B$3:$C$58,2,FALSE)</f>
        <v>0</v>
      </c>
      <c r="V55" s="20">
        <f>VLOOKUP(J55,'Int. Pa.'!$B$3:$C$58,2,FALSE)</f>
        <v>10</v>
      </c>
      <c r="W55" s="20">
        <f>VLOOKUP(K55,'Int. Pa.'!$B$3:$C$58,2,FALSE)</f>
        <v>1</v>
      </c>
      <c r="X55" s="20">
        <f>VLOOKUP(L55,'Int. Pa.'!$B$3:$C$58,2,FALSE)</f>
        <v>1</v>
      </c>
      <c r="Y55" s="20">
        <f>VLOOKUP(M55,'Int. Pa.'!$B$3:$C$58,2,FALSE)</f>
        <v>5</v>
      </c>
      <c r="Z55" s="20">
        <f>VLOOKUP(N55,'Int. Pa.'!$B$3:$C$58,2,FALSE)</f>
        <v>6</v>
      </c>
      <c r="AA55" s="20">
        <f t="shared" si="0"/>
        <v>3</v>
      </c>
      <c r="AB55" s="20">
        <f t="shared" si="1"/>
        <v>34.166666666666664</v>
      </c>
    </row>
    <row r="56" spans="1:28">
      <c r="A56" s="84">
        <v>1</v>
      </c>
      <c r="B56" s="81">
        <v>440210002</v>
      </c>
      <c r="C56" s="82" t="s">
        <v>246</v>
      </c>
      <c r="D56" s="85">
        <v>2000</v>
      </c>
      <c r="E56" s="18" t="s">
        <v>7</v>
      </c>
      <c r="F56" s="18" t="s">
        <v>2</v>
      </c>
      <c r="G56" s="18" t="s">
        <v>88</v>
      </c>
      <c r="H56" s="18" t="s">
        <v>20</v>
      </c>
      <c r="I56" s="18" t="s">
        <v>24</v>
      </c>
      <c r="J56" s="18" t="s">
        <v>35</v>
      </c>
      <c r="K56" s="18" t="s">
        <v>38</v>
      </c>
      <c r="L56" s="18" t="s">
        <v>42</v>
      </c>
      <c r="M56" s="18" t="s">
        <v>50</v>
      </c>
      <c r="N56" s="18" t="s">
        <v>66</v>
      </c>
      <c r="O56" s="20">
        <f>2013-Table1[[#This Row],[Startup Year]]</f>
        <v>13</v>
      </c>
      <c r="P56" s="20"/>
      <c r="Q56" s="20">
        <f>VLOOKUP(E56,'Int. Pa.'!$B$3:$C$58,2,FALSE)</f>
        <v>1</v>
      </c>
      <c r="R56" s="20">
        <f>VLOOKUP(F56,'Int. Pa.'!$B$3:$C$58,2,FALSE)</f>
        <v>10</v>
      </c>
      <c r="S56" s="20">
        <f>VLOOKUP(G56,'Int. Pa.'!$B$3:$C$58,2,FALSE)</f>
        <v>0</v>
      </c>
      <c r="T56" s="20">
        <f>VLOOKUP(H56,'Int. Pa.'!$B$3:$C$58,2,FALSE)</f>
        <v>1</v>
      </c>
      <c r="U56" s="20">
        <f>VLOOKUP(I56,'Int. Pa.'!$B$3:$C$58,2,FALSE)</f>
        <v>0</v>
      </c>
      <c r="V56" s="20">
        <f>VLOOKUP(J56,'Int. Pa.'!$B$3:$C$58,2,FALSE)</f>
        <v>10</v>
      </c>
      <c r="W56" s="20">
        <f>VLOOKUP(K56,'Int. Pa.'!$B$3:$C$58,2,FALSE)</f>
        <v>1</v>
      </c>
      <c r="X56" s="20">
        <f>VLOOKUP(L56,'Int. Pa.'!$B$3:$C$58,2,FALSE)</f>
        <v>1</v>
      </c>
      <c r="Y56" s="20">
        <f>VLOOKUP(M56,'Int. Pa.'!$B$3:$C$58,2,FALSE)</f>
        <v>5</v>
      </c>
      <c r="Z56" s="20">
        <f>VLOOKUP(N56,'Int. Pa.'!$B$3:$C$58,2,FALSE)</f>
        <v>6</v>
      </c>
      <c r="AA56" s="20">
        <f t="shared" si="0"/>
        <v>3</v>
      </c>
      <c r="AB56" s="20">
        <f t="shared" si="1"/>
        <v>34.166666666666664</v>
      </c>
    </row>
    <row r="57" spans="1:28">
      <c r="A57" s="80">
        <v>1</v>
      </c>
      <c r="B57" s="81">
        <v>440210003</v>
      </c>
      <c r="C57" s="82" t="s">
        <v>565</v>
      </c>
      <c r="D57" s="83">
        <v>2000</v>
      </c>
      <c r="E57" s="18" t="s">
        <v>7</v>
      </c>
      <c r="F57" s="18" t="s">
        <v>2</v>
      </c>
      <c r="G57" s="18" t="s">
        <v>88</v>
      </c>
      <c r="H57" s="18" t="s">
        <v>20</v>
      </c>
      <c r="I57" s="18" t="s">
        <v>24</v>
      </c>
      <c r="J57" s="18" t="s">
        <v>35</v>
      </c>
      <c r="K57" s="18" t="s">
        <v>38</v>
      </c>
      <c r="L57" s="18" t="s">
        <v>42</v>
      </c>
      <c r="M57" s="18" t="s">
        <v>50</v>
      </c>
      <c r="N57" s="18" t="s">
        <v>66</v>
      </c>
      <c r="O57" s="20">
        <f>2013-Table1[[#This Row],[Startup Year]]</f>
        <v>13</v>
      </c>
      <c r="P57" s="20"/>
      <c r="Q57" s="20">
        <f>VLOOKUP(E57,'Int. Pa.'!$B$3:$C$58,2,FALSE)</f>
        <v>1</v>
      </c>
      <c r="R57" s="20">
        <f>VLOOKUP(F57,'Int. Pa.'!$B$3:$C$58,2,FALSE)</f>
        <v>10</v>
      </c>
      <c r="S57" s="20">
        <f>VLOOKUP(G57,'Int. Pa.'!$B$3:$C$58,2,FALSE)</f>
        <v>0</v>
      </c>
      <c r="T57" s="20">
        <f>VLOOKUP(H57,'Int. Pa.'!$B$3:$C$58,2,FALSE)</f>
        <v>1</v>
      </c>
      <c r="U57" s="20">
        <f>VLOOKUP(I57,'Int. Pa.'!$B$3:$C$58,2,FALSE)</f>
        <v>0</v>
      </c>
      <c r="V57" s="20">
        <f>VLOOKUP(J57,'Int. Pa.'!$B$3:$C$58,2,FALSE)</f>
        <v>10</v>
      </c>
      <c r="W57" s="20">
        <f>VLOOKUP(K57,'Int. Pa.'!$B$3:$C$58,2,FALSE)</f>
        <v>1</v>
      </c>
      <c r="X57" s="20">
        <f>VLOOKUP(L57,'Int. Pa.'!$B$3:$C$58,2,FALSE)</f>
        <v>1</v>
      </c>
      <c r="Y57" s="20">
        <f>VLOOKUP(M57,'Int. Pa.'!$B$3:$C$58,2,FALSE)</f>
        <v>5</v>
      </c>
      <c r="Z57" s="20">
        <f>VLOOKUP(N57,'Int. Pa.'!$B$3:$C$58,2,FALSE)</f>
        <v>6</v>
      </c>
      <c r="AA57" s="20">
        <f t="shared" si="0"/>
        <v>3</v>
      </c>
      <c r="AB57" s="20">
        <f t="shared" si="1"/>
        <v>34.166666666666664</v>
      </c>
    </row>
    <row r="58" spans="1:28">
      <c r="A58" s="80">
        <v>1</v>
      </c>
      <c r="B58" s="81">
        <v>440210004</v>
      </c>
      <c r="C58" s="82" t="s">
        <v>567</v>
      </c>
      <c r="D58" s="83">
        <v>2000</v>
      </c>
      <c r="E58" s="18" t="s">
        <v>7</v>
      </c>
      <c r="F58" s="18" t="s">
        <v>2</v>
      </c>
      <c r="G58" s="18" t="s">
        <v>88</v>
      </c>
      <c r="H58" s="18" t="s">
        <v>20</v>
      </c>
      <c r="I58" s="18" t="s">
        <v>24</v>
      </c>
      <c r="J58" s="18" t="s">
        <v>35</v>
      </c>
      <c r="K58" s="18" t="s">
        <v>38</v>
      </c>
      <c r="L58" s="18" t="s">
        <v>42</v>
      </c>
      <c r="M58" s="18" t="s">
        <v>50</v>
      </c>
      <c r="N58" s="18" t="s">
        <v>66</v>
      </c>
      <c r="O58" s="20">
        <f>2013-Table1[[#This Row],[Startup Year]]</f>
        <v>13</v>
      </c>
      <c r="P58" s="20"/>
      <c r="Q58" s="20">
        <f>VLOOKUP(E58,'Int. Pa.'!$B$3:$C$58,2,FALSE)</f>
        <v>1</v>
      </c>
      <c r="R58" s="20">
        <f>VLOOKUP(F58,'Int. Pa.'!$B$3:$C$58,2,FALSE)</f>
        <v>10</v>
      </c>
      <c r="S58" s="20">
        <f>VLOOKUP(G58,'Int. Pa.'!$B$3:$C$58,2,FALSE)</f>
        <v>0</v>
      </c>
      <c r="T58" s="20">
        <f>VLOOKUP(H58,'Int. Pa.'!$B$3:$C$58,2,FALSE)</f>
        <v>1</v>
      </c>
      <c r="U58" s="20">
        <f>VLOOKUP(I58,'Int. Pa.'!$B$3:$C$58,2,FALSE)</f>
        <v>0</v>
      </c>
      <c r="V58" s="20">
        <f>VLOOKUP(J58,'Int. Pa.'!$B$3:$C$58,2,FALSE)</f>
        <v>10</v>
      </c>
      <c r="W58" s="20">
        <f>VLOOKUP(K58,'Int. Pa.'!$B$3:$C$58,2,FALSE)</f>
        <v>1</v>
      </c>
      <c r="X58" s="20">
        <f>VLOOKUP(L58,'Int. Pa.'!$B$3:$C$58,2,FALSE)</f>
        <v>1</v>
      </c>
      <c r="Y58" s="20">
        <f>VLOOKUP(M58,'Int. Pa.'!$B$3:$C$58,2,FALSE)</f>
        <v>5</v>
      </c>
      <c r="Z58" s="20">
        <f>VLOOKUP(N58,'Int. Pa.'!$B$3:$C$58,2,FALSE)</f>
        <v>6</v>
      </c>
      <c r="AA58" s="20">
        <f t="shared" si="0"/>
        <v>3</v>
      </c>
      <c r="AB58" s="20">
        <f t="shared" si="1"/>
        <v>34.166666666666664</v>
      </c>
    </row>
    <row r="59" spans="1:28">
      <c r="A59" s="84">
        <v>1</v>
      </c>
      <c r="B59" s="81">
        <v>440220001</v>
      </c>
      <c r="C59" s="82" t="s">
        <v>247</v>
      </c>
      <c r="D59" s="85">
        <v>2000</v>
      </c>
      <c r="E59" s="18" t="s">
        <v>7</v>
      </c>
      <c r="F59" s="18" t="s">
        <v>2</v>
      </c>
      <c r="G59" s="18" t="s">
        <v>88</v>
      </c>
      <c r="H59" s="18" t="s">
        <v>20</v>
      </c>
      <c r="I59" s="18" t="s">
        <v>24</v>
      </c>
      <c r="J59" s="18" t="s">
        <v>35</v>
      </c>
      <c r="K59" s="18" t="s">
        <v>38</v>
      </c>
      <c r="L59" s="18" t="s">
        <v>42</v>
      </c>
      <c r="M59" s="18" t="s">
        <v>50</v>
      </c>
      <c r="N59" s="18" t="s">
        <v>66</v>
      </c>
      <c r="O59" s="20">
        <f>2013-Table1[[#This Row],[Startup Year]]</f>
        <v>13</v>
      </c>
      <c r="P59" s="20"/>
      <c r="Q59" s="20">
        <f>VLOOKUP(E59,'Int. Pa.'!$B$3:$C$58,2,FALSE)</f>
        <v>1</v>
      </c>
      <c r="R59" s="20">
        <f>VLOOKUP(F59,'Int. Pa.'!$B$3:$C$58,2,FALSE)</f>
        <v>10</v>
      </c>
      <c r="S59" s="20">
        <f>VLOOKUP(G59,'Int. Pa.'!$B$3:$C$58,2,FALSE)</f>
        <v>0</v>
      </c>
      <c r="T59" s="20">
        <f>VLOOKUP(H59,'Int. Pa.'!$B$3:$C$58,2,FALSE)</f>
        <v>1</v>
      </c>
      <c r="U59" s="20">
        <f>VLOOKUP(I59,'Int. Pa.'!$B$3:$C$58,2,FALSE)</f>
        <v>0</v>
      </c>
      <c r="V59" s="20">
        <f>VLOOKUP(J59,'Int. Pa.'!$B$3:$C$58,2,FALSE)</f>
        <v>10</v>
      </c>
      <c r="W59" s="20">
        <f>VLOOKUP(K59,'Int. Pa.'!$B$3:$C$58,2,FALSE)</f>
        <v>1</v>
      </c>
      <c r="X59" s="20">
        <f>VLOOKUP(L59,'Int. Pa.'!$B$3:$C$58,2,FALSE)</f>
        <v>1</v>
      </c>
      <c r="Y59" s="20">
        <f>VLOOKUP(M59,'Int. Pa.'!$B$3:$C$58,2,FALSE)</f>
        <v>5</v>
      </c>
      <c r="Z59" s="20">
        <f>VLOOKUP(N59,'Int. Pa.'!$B$3:$C$58,2,FALSE)</f>
        <v>6</v>
      </c>
      <c r="AA59" s="20">
        <f t="shared" si="0"/>
        <v>3</v>
      </c>
      <c r="AB59" s="20">
        <f t="shared" si="1"/>
        <v>34.166666666666664</v>
      </c>
    </row>
    <row r="60" spans="1:28">
      <c r="A60" s="84">
        <v>1</v>
      </c>
      <c r="B60" s="81">
        <v>503100001</v>
      </c>
      <c r="C60" s="82" t="s">
        <v>248</v>
      </c>
      <c r="D60" s="85">
        <v>2000</v>
      </c>
      <c r="E60" s="18" t="s">
        <v>7</v>
      </c>
      <c r="F60" s="18" t="s">
        <v>2</v>
      </c>
      <c r="G60" s="18" t="s">
        <v>88</v>
      </c>
      <c r="H60" s="18" t="s">
        <v>20</v>
      </c>
      <c r="I60" s="18" t="s">
        <v>24</v>
      </c>
      <c r="J60" s="18" t="s">
        <v>35</v>
      </c>
      <c r="K60" s="18" t="s">
        <v>38</v>
      </c>
      <c r="L60" s="18" t="s">
        <v>42</v>
      </c>
      <c r="M60" s="18" t="s">
        <v>50</v>
      </c>
      <c r="N60" s="18" t="s">
        <v>66</v>
      </c>
      <c r="O60" s="20">
        <f>2013-Table1[[#This Row],[Startup Year]]</f>
        <v>13</v>
      </c>
      <c r="P60" s="20"/>
      <c r="Q60" s="20">
        <f>VLOOKUP(E60,'Int. Pa.'!$B$3:$C$58,2,FALSE)</f>
        <v>1</v>
      </c>
      <c r="R60" s="20">
        <f>VLOOKUP(F60,'Int. Pa.'!$B$3:$C$58,2,FALSE)</f>
        <v>10</v>
      </c>
      <c r="S60" s="20">
        <f>VLOOKUP(G60,'Int. Pa.'!$B$3:$C$58,2,FALSE)</f>
        <v>0</v>
      </c>
      <c r="T60" s="20">
        <f>VLOOKUP(H60,'Int. Pa.'!$B$3:$C$58,2,FALSE)</f>
        <v>1</v>
      </c>
      <c r="U60" s="20">
        <f>VLOOKUP(I60,'Int. Pa.'!$B$3:$C$58,2,FALSE)</f>
        <v>0</v>
      </c>
      <c r="V60" s="20">
        <f>VLOOKUP(J60,'Int. Pa.'!$B$3:$C$58,2,FALSE)</f>
        <v>10</v>
      </c>
      <c r="W60" s="20">
        <f>VLOOKUP(K60,'Int. Pa.'!$B$3:$C$58,2,FALSE)</f>
        <v>1</v>
      </c>
      <c r="X60" s="20">
        <f>VLOOKUP(L60,'Int. Pa.'!$B$3:$C$58,2,FALSE)</f>
        <v>1</v>
      </c>
      <c r="Y60" s="20">
        <f>VLOOKUP(M60,'Int. Pa.'!$B$3:$C$58,2,FALSE)</f>
        <v>5</v>
      </c>
      <c r="Z60" s="20">
        <f>VLOOKUP(N60,'Int. Pa.'!$B$3:$C$58,2,FALSE)</f>
        <v>6</v>
      </c>
      <c r="AA60" s="20">
        <f t="shared" si="0"/>
        <v>3</v>
      </c>
      <c r="AB60" s="20">
        <f t="shared" si="1"/>
        <v>34.166666666666664</v>
      </c>
    </row>
    <row r="61" spans="1:28">
      <c r="A61" s="80">
        <v>1</v>
      </c>
      <c r="B61" s="81">
        <v>503100002</v>
      </c>
      <c r="C61" s="82" t="s">
        <v>561</v>
      </c>
      <c r="D61" s="83">
        <v>2000</v>
      </c>
      <c r="E61" s="18" t="s">
        <v>7</v>
      </c>
      <c r="F61" s="18" t="s">
        <v>2</v>
      </c>
      <c r="G61" s="18" t="s">
        <v>88</v>
      </c>
      <c r="H61" s="18" t="s">
        <v>20</v>
      </c>
      <c r="I61" s="18" t="s">
        <v>24</v>
      </c>
      <c r="J61" s="18" t="s">
        <v>35</v>
      </c>
      <c r="K61" s="18" t="s">
        <v>38</v>
      </c>
      <c r="L61" s="18" t="s">
        <v>42</v>
      </c>
      <c r="M61" s="18" t="s">
        <v>50</v>
      </c>
      <c r="N61" s="18" t="s">
        <v>66</v>
      </c>
      <c r="O61" s="20">
        <f>2013-Table1[[#This Row],[Startup Year]]</f>
        <v>13</v>
      </c>
      <c r="P61" s="20"/>
      <c r="Q61" s="20">
        <f>VLOOKUP(E61,'Int. Pa.'!$B$3:$C$58,2,FALSE)</f>
        <v>1</v>
      </c>
      <c r="R61" s="20">
        <f>VLOOKUP(F61,'Int. Pa.'!$B$3:$C$58,2,FALSE)</f>
        <v>10</v>
      </c>
      <c r="S61" s="20">
        <f>VLOOKUP(G61,'Int. Pa.'!$B$3:$C$58,2,FALSE)</f>
        <v>0</v>
      </c>
      <c r="T61" s="20">
        <f>VLOOKUP(H61,'Int. Pa.'!$B$3:$C$58,2,FALSE)</f>
        <v>1</v>
      </c>
      <c r="U61" s="20">
        <f>VLOOKUP(I61,'Int. Pa.'!$B$3:$C$58,2,FALSE)</f>
        <v>0</v>
      </c>
      <c r="V61" s="20">
        <f>VLOOKUP(J61,'Int. Pa.'!$B$3:$C$58,2,FALSE)</f>
        <v>10</v>
      </c>
      <c r="W61" s="20">
        <f>VLOOKUP(K61,'Int. Pa.'!$B$3:$C$58,2,FALSE)</f>
        <v>1</v>
      </c>
      <c r="X61" s="20">
        <f>VLOOKUP(L61,'Int. Pa.'!$B$3:$C$58,2,FALSE)</f>
        <v>1</v>
      </c>
      <c r="Y61" s="20">
        <f>VLOOKUP(M61,'Int. Pa.'!$B$3:$C$58,2,FALSE)</f>
        <v>5</v>
      </c>
      <c r="Z61" s="20">
        <f>VLOOKUP(N61,'Int. Pa.'!$B$3:$C$58,2,FALSE)</f>
        <v>6</v>
      </c>
      <c r="AA61" s="20">
        <f t="shared" si="0"/>
        <v>3</v>
      </c>
      <c r="AB61" s="20">
        <f t="shared" si="1"/>
        <v>34.166666666666664</v>
      </c>
    </row>
    <row r="62" spans="1:28">
      <c r="A62" s="80">
        <v>1</v>
      </c>
      <c r="B62" s="81">
        <v>503200001</v>
      </c>
      <c r="C62" s="82" t="s">
        <v>558</v>
      </c>
      <c r="D62" s="83">
        <v>2000</v>
      </c>
      <c r="E62" s="18" t="s">
        <v>7</v>
      </c>
      <c r="F62" s="18" t="s">
        <v>2</v>
      </c>
      <c r="G62" s="18" t="s">
        <v>88</v>
      </c>
      <c r="H62" s="18" t="s">
        <v>20</v>
      </c>
      <c r="I62" s="18" t="s">
        <v>24</v>
      </c>
      <c r="J62" s="18" t="s">
        <v>35</v>
      </c>
      <c r="K62" s="18" t="s">
        <v>38</v>
      </c>
      <c r="L62" s="18" t="s">
        <v>42</v>
      </c>
      <c r="M62" s="18" t="s">
        <v>50</v>
      </c>
      <c r="N62" s="18" t="s">
        <v>66</v>
      </c>
      <c r="O62" s="20">
        <f>2013-Table1[[#This Row],[Startup Year]]</f>
        <v>13</v>
      </c>
      <c r="P62" s="20"/>
      <c r="Q62" s="20">
        <f>VLOOKUP(E62,'Int. Pa.'!$B$3:$C$58,2,FALSE)</f>
        <v>1</v>
      </c>
      <c r="R62" s="20">
        <f>VLOOKUP(F62,'Int. Pa.'!$B$3:$C$58,2,FALSE)</f>
        <v>10</v>
      </c>
      <c r="S62" s="20">
        <f>VLOOKUP(G62,'Int. Pa.'!$B$3:$C$58,2,FALSE)</f>
        <v>0</v>
      </c>
      <c r="T62" s="20">
        <f>VLOOKUP(H62,'Int. Pa.'!$B$3:$C$58,2,FALSE)</f>
        <v>1</v>
      </c>
      <c r="U62" s="20">
        <f>VLOOKUP(I62,'Int. Pa.'!$B$3:$C$58,2,FALSE)</f>
        <v>0</v>
      </c>
      <c r="V62" s="20">
        <f>VLOOKUP(J62,'Int. Pa.'!$B$3:$C$58,2,FALSE)</f>
        <v>10</v>
      </c>
      <c r="W62" s="20">
        <f>VLOOKUP(K62,'Int. Pa.'!$B$3:$C$58,2,FALSE)</f>
        <v>1</v>
      </c>
      <c r="X62" s="20">
        <f>VLOOKUP(L62,'Int. Pa.'!$B$3:$C$58,2,FALSE)</f>
        <v>1</v>
      </c>
      <c r="Y62" s="20">
        <f>VLOOKUP(M62,'Int. Pa.'!$B$3:$C$58,2,FALSE)</f>
        <v>5</v>
      </c>
      <c r="Z62" s="20">
        <f>VLOOKUP(N62,'Int. Pa.'!$B$3:$C$58,2,FALSE)</f>
        <v>6</v>
      </c>
      <c r="AA62" s="20">
        <f t="shared" si="0"/>
        <v>3</v>
      </c>
      <c r="AB62" s="20">
        <f t="shared" si="1"/>
        <v>34.166666666666664</v>
      </c>
    </row>
    <row r="63" spans="1:28">
      <c r="A63" s="80">
        <v>1</v>
      </c>
      <c r="B63" s="81">
        <v>5033</v>
      </c>
      <c r="C63" s="82" t="s">
        <v>559</v>
      </c>
      <c r="D63" s="83">
        <v>2000</v>
      </c>
      <c r="E63" s="18" t="s">
        <v>7</v>
      </c>
      <c r="F63" s="18" t="s">
        <v>2</v>
      </c>
      <c r="G63" s="18" t="s">
        <v>88</v>
      </c>
      <c r="H63" s="18" t="s">
        <v>20</v>
      </c>
      <c r="I63" s="18" t="s">
        <v>24</v>
      </c>
      <c r="J63" s="18" t="s">
        <v>35</v>
      </c>
      <c r="K63" s="18" t="s">
        <v>38</v>
      </c>
      <c r="L63" s="18" t="s">
        <v>42</v>
      </c>
      <c r="M63" s="18" t="s">
        <v>50</v>
      </c>
      <c r="N63" s="18" t="s">
        <v>66</v>
      </c>
      <c r="O63" s="20">
        <f>2013-Table1[[#This Row],[Startup Year]]</f>
        <v>13</v>
      </c>
      <c r="P63" s="20"/>
      <c r="Q63" s="20">
        <f>VLOOKUP(E63,'Int. Pa.'!$B$3:$C$58,2,FALSE)</f>
        <v>1</v>
      </c>
      <c r="R63" s="20">
        <f>VLOOKUP(F63,'Int. Pa.'!$B$3:$C$58,2,FALSE)</f>
        <v>10</v>
      </c>
      <c r="S63" s="20">
        <f>VLOOKUP(G63,'Int. Pa.'!$B$3:$C$58,2,FALSE)</f>
        <v>0</v>
      </c>
      <c r="T63" s="20">
        <f>VLOOKUP(H63,'Int. Pa.'!$B$3:$C$58,2,FALSE)</f>
        <v>1</v>
      </c>
      <c r="U63" s="20">
        <f>VLOOKUP(I63,'Int. Pa.'!$B$3:$C$58,2,FALSE)</f>
        <v>0</v>
      </c>
      <c r="V63" s="20">
        <f>VLOOKUP(J63,'Int. Pa.'!$B$3:$C$58,2,FALSE)</f>
        <v>10</v>
      </c>
      <c r="W63" s="20">
        <f>VLOOKUP(K63,'Int. Pa.'!$B$3:$C$58,2,FALSE)</f>
        <v>1</v>
      </c>
      <c r="X63" s="20">
        <f>VLOOKUP(L63,'Int. Pa.'!$B$3:$C$58,2,FALSE)</f>
        <v>1</v>
      </c>
      <c r="Y63" s="20">
        <f>VLOOKUP(M63,'Int. Pa.'!$B$3:$C$58,2,FALSE)</f>
        <v>5</v>
      </c>
      <c r="Z63" s="20">
        <f>VLOOKUP(N63,'Int. Pa.'!$B$3:$C$58,2,FALSE)</f>
        <v>6</v>
      </c>
      <c r="AA63" s="20">
        <f t="shared" si="0"/>
        <v>3</v>
      </c>
      <c r="AB63" s="20">
        <f t="shared" si="1"/>
        <v>34.166666666666664</v>
      </c>
    </row>
    <row r="64" spans="1:28">
      <c r="A64" s="80">
        <v>1</v>
      </c>
      <c r="B64" s="81">
        <v>5041</v>
      </c>
      <c r="C64" s="82" t="s">
        <v>556</v>
      </c>
      <c r="D64" s="83">
        <v>2000</v>
      </c>
      <c r="E64" s="18" t="s">
        <v>7</v>
      </c>
      <c r="F64" s="18" t="s">
        <v>2</v>
      </c>
      <c r="G64" s="18" t="s">
        <v>88</v>
      </c>
      <c r="H64" s="18" t="s">
        <v>20</v>
      </c>
      <c r="I64" s="18" t="s">
        <v>24</v>
      </c>
      <c r="J64" s="18" t="s">
        <v>35</v>
      </c>
      <c r="K64" s="18" t="s">
        <v>38</v>
      </c>
      <c r="L64" s="18" t="s">
        <v>42</v>
      </c>
      <c r="M64" s="18" t="s">
        <v>50</v>
      </c>
      <c r="N64" s="18" t="s">
        <v>66</v>
      </c>
      <c r="O64" s="20">
        <f>2013-Table1[[#This Row],[Startup Year]]</f>
        <v>13</v>
      </c>
      <c r="P64" s="20"/>
      <c r="Q64" s="20">
        <f>VLOOKUP(E64,'Int. Pa.'!$B$3:$C$58,2,FALSE)</f>
        <v>1</v>
      </c>
      <c r="R64" s="20">
        <f>VLOOKUP(F64,'Int. Pa.'!$B$3:$C$58,2,FALSE)</f>
        <v>10</v>
      </c>
      <c r="S64" s="20">
        <f>VLOOKUP(G64,'Int. Pa.'!$B$3:$C$58,2,FALSE)</f>
        <v>0</v>
      </c>
      <c r="T64" s="20">
        <f>VLOOKUP(H64,'Int. Pa.'!$B$3:$C$58,2,FALSE)</f>
        <v>1</v>
      </c>
      <c r="U64" s="20">
        <f>VLOOKUP(I64,'Int. Pa.'!$B$3:$C$58,2,FALSE)</f>
        <v>0</v>
      </c>
      <c r="V64" s="20">
        <f>VLOOKUP(J64,'Int. Pa.'!$B$3:$C$58,2,FALSE)</f>
        <v>10</v>
      </c>
      <c r="W64" s="20">
        <f>VLOOKUP(K64,'Int. Pa.'!$B$3:$C$58,2,FALSE)</f>
        <v>1</v>
      </c>
      <c r="X64" s="20">
        <f>VLOOKUP(L64,'Int. Pa.'!$B$3:$C$58,2,FALSE)</f>
        <v>1</v>
      </c>
      <c r="Y64" s="20">
        <f>VLOOKUP(M64,'Int. Pa.'!$B$3:$C$58,2,FALSE)</f>
        <v>5</v>
      </c>
      <c r="Z64" s="20">
        <f>VLOOKUP(N64,'Int. Pa.'!$B$3:$C$58,2,FALSE)</f>
        <v>6</v>
      </c>
      <c r="AA64" s="20">
        <f t="shared" si="0"/>
        <v>3</v>
      </c>
      <c r="AB64" s="20">
        <f t="shared" si="1"/>
        <v>34.166666666666664</v>
      </c>
    </row>
    <row r="65" spans="1:28">
      <c r="A65" s="80">
        <v>1</v>
      </c>
      <c r="B65" s="81">
        <v>504200001</v>
      </c>
      <c r="C65" s="82" t="s">
        <v>552</v>
      </c>
      <c r="D65" s="83">
        <v>2000</v>
      </c>
      <c r="E65" s="18" t="s">
        <v>7</v>
      </c>
      <c r="F65" s="18" t="s">
        <v>2</v>
      </c>
      <c r="G65" s="18" t="s">
        <v>88</v>
      </c>
      <c r="H65" s="18" t="s">
        <v>20</v>
      </c>
      <c r="I65" s="18" t="s">
        <v>24</v>
      </c>
      <c r="J65" s="18" t="s">
        <v>35</v>
      </c>
      <c r="K65" s="18" t="s">
        <v>38</v>
      </c>
      <c r="L65" s="18" t="s">
        <v>42</v>
      </c>
      <c r="M65" s="18" t="s">
        <v>50</v>
      </c>
      <c r="N65" s="18" t="s">
        <v>66</v>
      </c>
      <c r="O65" s="20">
        <f>2013-Table1[[#This Row],[Startup Year]]</f>
        <v>13</v>
      </c>
      <c r="P65" s="20"/>
      <c r="Q65" s="20">
        <f>VLOOKUP(E65,'Int. Pa.'!$B$3:$C$58,2,FALSE)</f>
        <v>1</v>
      </c>
      <c r="R65" s="20">
        <f>VLOOKUP(F65,'Int. Pa.'!$B$3:$C$58,2,FALSE)</f>
        <v>10</v>
      </c>
      <c r="S65" s="20">
        <f>VLOOKUP(G65,'Int. Pa.'!$B$3:$C$58,2,FALSE)</f>
        <v>0</v>
      </c>
      <c r="T65" s="20">
        <f>VLOOKUP(H65,'Int. Pa.'!$B$3:$C$58,2,FALSE)</f>
        <v>1</v>
      </c>
      <c r="U65" s="20">
        <f>VLOOKUP(I65,'Int. Pa.'!$B$3:$C$58,2,FALSE)</f>
        <v>0</v>
      </c>
      <c r="V65" s="20">
        <f>VLOOKUP(J65,'Int. Pa.'!$B$3:$C$58,2,FALSE)</f>
        <v>10</v>
      </c>
      <c r="W65" s="20">
        <f>VLOOKUP(K65,'Int. Pa.'!$B$3:$C$58,2,FALSE)</f>
        <v>1</v>
      </c>
      <c r="X65" s="20">
        <f>VLOOKUP(L65,'Int. Pa.'!$B$3:$C$58,2,FALSE)</f>
        <v>1</v>
      </c>
      <c r="Y65" s="20">
        <f>VLOOKUP(M65,'Int. Pa.'!$B$3:$C$58,2,FALSE)</f>
        <v>5</v>
      </c>
      <c r="Z65" s="20">
        <f>VLOOKUP(N65,'Int. Pa.'!$B$3:$C$58,2,FALSE)</f>
        <v>6</v>
      </c>
      <c r="AA65" s="20">
        <f t="shared" si="0"/>
        <v>3</v>
      </c>
      <c r="AB65" s="20">
        <f t="shared" si="1"/>
        <v>34.166666666666664</v>
      </c>
    </row>
    <row r="66" spans="1:28">
      <c r="A66" s="80">
        <v>1</v>
      </c>
      <c r="B66" s="81">
        <v>504300001</v>
      </c>
      <c r="C66" s="82" t="s">
        <v>554</v>
      </c>
      <c r="D66" s="83">
        <v>2000</v>
      </c>
      <c r="E66" s="18" t="s">
        <v>7</v>
      </c>
      <c r="F66" s="18" t="s">
        <v>2</v>
      </c>
      <c r="G66" s="18" t="s">
        <v>88</v>
      </c>
      <c r="H66" s="18" t="s">
        <v>20</v>
      </c>
      <c r="I66" s="18" t="s">
        <v>24</v>
      </c>
      <c r="J66" s="18" t="s">
        <v>35</v>
      </c>
      <c r="K66" s="18" t="s">
        <v>38</v>
      </c>
      <c r="L66" s="18" t="s">
        <v>42</v>
      </c>
      <c r="M66" s="18" t="s">
        <v>50</v>
      </c>
      <c r="N66" s="18" t="s">
        <v>66</v>
      </c>
      <c r="O66" s="20">
        <f>2013-Table1[[#This Row],[Startup Year]]</f>
        <v>13</v>
      </c>
      <c r="P66" s="20"/>
      <c r="Q66" s="20">
        <f>VLOOKUP(E66,'Int. Pa.'!$B$3:$C$58,2,FALSE)</f>
        <v>1</v>
      </c>
      <c r="R66" s="20">
        <f>VLOOKUP(F66,'Int. Pa.'!$B$3:$C$58,2,FALSE)</f>
        <v>10</v>
      </c>
      <c r="S66" s="20">
        <f>VLOOKUP(G66,'Int. Pa.'!$B$3:$C$58,2,FALSE)</f>
        <v>0</v>
      </c>
      <c r="T66" s="20">
        <f>VLOOKUP(H66,'Int. Pa.'!$B$3:$C$58,2,FALSE)</f>
        <v>1</v>
      </c>
      <c r="U66" s="20">
        <f>VLOOKUP(I66,'Int. Pa.'!$B$3:$C$58,2,FALSE)</f>
        <v>0</v>
      </c>
      <c r="V66" s="20">
        <f>VLOOKUP(J66,'Int. Pa.'!$B$3:$C$58,2,FALSE)</f>
        <v>10</v>
      </c>
      <c r="W66" s="20">
        <f>VLOOKUP(K66,'Int. Pa.'!$B$3:$C$58,2,FALSE)</f>
        <v>1</v>
      </c>
      <c r="X66" s="20">
        <f>VLOOKUP(L66,'Int. Pa.'!$B$3:$C$58,2,FALSE)</f>
        <v>1</v>
      </c>
      <c r="Y66" s="20">
        <f>VLOOKUP(M66,'Int. Pa.'!$B$3:$C$58,2,FALSE)</f>
        <v>5</v>
      </c>
      <c r="Z66" s="20">
        <f>VLOOKUP(N66,'Int. Pa.'!$B$3:$C$58,2,FALSE)</f>
        <v>6</v>
      </c>
      <c r="AA66" s="20">
        <f t="shared" si="0"/>
        <v>3</v>
      </c>
      <c r="AB66" s="20">
        <f t="shared" si="1"/>
        <v>34.166666666666664</v>
      </c>
    </row>
    <row r="67" spans="1:28">
      <c r="A67" s="80">
        <v>1</v>
      </c>
      <c r="B67" s="81">
        <v>505100001</v>
      </c>
      <c r="C67" s="82" t="s">
        <v>550</v>
      </c>
      <c r="D67" s="83">
        <v>2000</v>
      </c>
      <c r="E67" s="18" t="s">
        <v>7</v>
      </c>
      <c r="F67" s="18" t="s">
        <v>2</v>
      </c>
      <c r="G67" s="18" t="s">
        <v>88</v>
      </c>
      <c r="H67" s="18" t="s">
        <v>20</v>
      </c>
      <c r="I67" s="18" t="s">
        <v>24</v>
      </c>
      <c r="J67" s="18" t="s">
        <v>35</v>
      </c>
      <c r="K67" s="18" t="s">
        <v>38</v>
      </c>
      <c r="L67" s="18" t="s">
        <v>42</v>
      </c>
      <c r="M67" s="18" t="s">
        <v>50</v>
      </c>
      <c r="N67" s="18" t="s">
        <v>66</v>
      </c>
      <c r="O67" s="20">
        <f>2013-Table1[[#This Row],[Startup Year]]</f>
        <v>13</v>
      </c>
      <c r="P67" s="20"/>
      <c r="Q67" s="20">
        <f>VLOOKUP(E67,'Int. Pa.'!$B$3:$C$58,2,FALSE)</f>
        <v>1</v>
      </c>
      <c r="R67" s="20">
        <f>VLOOKUP(F67,'Int. Pa.'!$B$3:$C$58,2,FALSE)</f>
        <v>10</v>
      </c>
      <c r="S67" s="20">
        <f>VLOOKUP(G67,'Int. Pa.'!$B$3:$C$58,2,FALSE)</f>
        <v>0</v>
      </c>
      <c r="T67" s="20">
        <f>VLOOKUP(H67,'Int. Pa.'!$B$3:$C$58,2,FALSE)</f>
        <v>1</v>
      </c>
      <c r="U67" s="20">
        <f>VLOOKUP(I67,'Int. Pa.'!$B$3:$C$58,2,FALSE)</f>
        <v>0</v>
      </c>
      <c r="V67" s="20">
        <f>VLOOKUP(J67,'Int. Pa.'!$B$3:$C$58,2,FALSE)</f>
        <v>10</v>
      </c>
      <c r="W67" s="20">
        <f>VLOOKUP(K67,'Int. Pa.'!$B$3:$C$58,2,FALSE)</f>
        <v>1</v>
      </c>
      <c r="X67" s="20">
        <f>VLOOKUP(L67,'Int. Pa.'!$B$3:$C$58,2,FALSE)</f>
        <v>1</v>
      </c>
      <c r="Y67" s="20">
        <f>VLOOKUP(M67,'Int. Pa.'!$B$3:$C$58,2,FALSE)</f>
        <v>5</v>
      </c>
      <c r="Z67" s="20">
        <f>VLOOKUP(N67,'Int. Pa.'!$B$3:$C$58,2,FALSE)</f>
        <v>6</v>
      </c>
      <c r="AA67" s="20">
        <f t="shared" si="0"/>
        <v>3</v>
      </c>
      <c r="AB67" s="20">
        <f t="shared" si="1"/>
        <v>34.166666666666664</v>
      </c>
    </row>
    <row r="68" spans="1:28">
      <c r="A68" s="80">
        <v>1</v>
      </c>
      <c r="B68" s="81">
        <v>56051101</v>
      </c>
      <c r="C68" s="82" t="s">
        <v>576</v>
      </c>
      <c r="D68" s="83">
        <v>2000</v>
      </c>
      <c r="E68" s="18" t="s">
        <v>7</v>
      </c>
      <c r="F68" s="18" t="s">
        <v>2</v>
      </c>
      <c r="G68" s="18" t="s">
        <v>88</v>
      </c>
      <c r="H68" s="18" t="s">
        <v>20</v>
      </c>
      <c r="I68" s="18" t="s">
        <v>24</v>
      </c>
      <c r="J68" s="18" t="s">
        <v>35</v>
      </c>
      <c r="K68" s="18" t="s">
        <v>38</v>
      </c>
      <c r="L68" s="18" t="s">
        <v>42</v>
      </c>
      <c r="M68" s="18" t="s">
        <v>50</v>
      </c>
      <c r="N68" s="18" t="s">
        <v>66</v>
      </c>
      <c r="O68" s="20">
        <f>2013-Table1[[#This Row],[Startup Year]]</f>
        <v>13</v>
      </c>
      <c r="P68" s="20"/>
      <c r="Q68" s="20">
        <f>VLOOKUP(E68,'Int. Pa.'!$B$3:$C$58,2,FALSE)</f>
        <v>1</v>
      </c>
      <c r="R68" s="20">
        <f>VLOOKUP(F68,'Int. Pa.'!$B$3:$C$58,2,FALSE)</f>
        <v>10</v>
      </c>
      <c r="S68" s="20">
        <f>VLOOKUP(G68,'Int. Pa.'!$B$3:$C$58,2,FALSE)</f>
        <v>0</v>
      </c>
      <c r="T68" s="20">
        <f>VLOOKUP(H68,'Int. Pa.'!$B$3:$C$58,2,FALSE)</f>
        <v>1</v>
      </c>
      <c r="U68" s="20">
        <f>VLOOKUP(I68,'Int. Pa.'!$B$3:$C$58,2,FALSE)</f>
        <v>0</v>
      </c>
      <c r="V68" s="20">
        <f>VLOOKUP(J68,'Int. Pa.'!$B$3:$C$58,2,FALSE)</f>
        <v>10</v>
      </c>
      <c r="W68" s="20">
        <f>VLOOKUP(K68,'Int. Pa.'!$B$3:$C$58,2,FALSE)</f>
        <v>1</v>
      </c>
      <c r="X68" s="20">
        <f>VLOOKUP(L68,'Int. Pa.'!$B$3:$C$58,2,FALSE)</f>
        <v>1</v>
      </c>
      <c r="Y68" s="20">
        <f>VLOOKUP(M68,'Int. Pa.'!$B$3:$C$58,2,FALSE)</f>
        <v>5</v>
      </c>
      <c r="Z68" s="20">
        <f>VLOOKUP(N68,'Int. Pa.'!$B$3:$C$58,2,FALSE)</f>
        <v>6</v>
      </c>
      <c r="AA68" s="20">
        <f t="shared" si="0"/>
        <v>3</v>
      </c>
      <c r="AB68" s="20">
        <f t="shared" si="1"/>
        <v>34.166666666666664</v>
      </c>
    </row>
    <row r="69" spans="1:28">
      <c r="A69" s="84">
        <v>2</v>
      </c>
      <c r="B69" s="81">
        <v>674</v>
      </c>
      <c r="C69" s="82" t="s">
        <v>249</v>
      </c>
      <c r="D69" s="85">
        <v>2013</v>
      </c>
      <c r="E69" s="18" t="s">
        <v>7</v>
      </c>
      <c r="F69" s="18" t="s">
        <v>2</v>
      </c>
      <c r="G69" s="18" t="s">
        <v>88</v>
      </c>
      <c r="H69" s="18" t="s">
        <v>20</v>
      </c>
      <c r="I69" s="18" t="s">
        <v>24</v>
      </c>
      <c r="J69" s="18" t="s">
        <v>35</v>
      </c>
      <c r="K69" s="18" t="s">
        <v>38</v>
      </c>
      <c r="L69" s="18" t="s">
        <v>42</v>
      </c>
      <c r="M69" s="18" t="s">
        <v>50</v>
      </c>
      <c r="N69" s="18" t="s">
        <v>66</v>
      </c>
      <c r="O69" s="20">
        <f>2013-Table1[[#This Row],[Startup Year]]</f>
        <v>0</v>
      </c>
      <c r="P69" s="20"/>
      <c r="Q69" s="20">
        <f>VLOOKUP(E69,'Int. Pa.'!$B$3:$C$58,2,FALSE)</f>
        <v>1</v>
      </c>
      <c r="R69" s="20">
        <f>VLOOKUP(F69,'Int. Pa.'!$B$3:$C$58,2,FALSE)</f>
        <v>10</v>
      </c>
      <c r="S69" s="20">
        <f>VLOOKUP(G69,'Int. Pa.'!$B$3:$C$58,2,FALSE)</f>
        <v>0</v>
      </c>
      <c r="T69" s="20">
        <f>VLOOKUP(H69,'Int. Pa.'!$B$3:$C$58,2,FALSE)</f>
        <v>1</v>
      </c>
      <c r="U69" s="20">
        <f>VLOOKUP(I69,'Int. Pa.'!$B$3:$C$58,2,FALSE)</f>
        <v>0</v>
      </c>
      <c r="V69" s="20">
        <f>VLOOKUP(J69,'Int. Pa.'!$B$3:$C$58,2,FALSE)</f>
        <v>10</v>
      </c>
      <c r="W69" s="20">
        <f>VLOOKUP(K69,'Int. Pa.'!$B$3:$C$58,2,FALSE)</f>
        <v>1</v>
      </c>
      <c r="X69" s="20">
        <f>VLOOKUP(L69,'Int. Pa.'!$B$3:$C$58,2,FALSE)</f>
        <v>1</v>
      </c>
      <c r="Y69" s="20">
        <f>VLOOKUP(M69,'Int. Pa.'!$B$3:$C$58,2,FALSE)</f>
        <v>5</v>
      </c>
      <c r="Z69" s="20">
        <f>VLOOKUP(N69,'Int. Pa.'!$B$3:$C$58,2,FALSE)</f>
        <v>6</v>
      </c>
      <c r="AA69" s="20">
        <f t="shared" si="0"/>
        <v>0</v>
      </c>
      <c r="AB69" s="20">
        <f t="shared" si="1"/>
        <v>33.333333333333329</v>
      </c>
    </row>
    <row r="70" spans="1:28">
      <c r="A70" s="80">
        <v>2</v>
      </c>
      <c r="B70" s="81">
        <v>6611</v>
      </c>
      <c r="C70" s="82"/>
      <c r="D70" s="83">
        <v>2000</v>
      </c>
      <c r="E70" s="18" t="s">
        <v>7</v>
      </c>
      <c r="F70" s="18" t="s">
        <v>2</v>
      </c>
      <c r="G70" s="18" t="s">
        <v>88</v>
      </c>
      <c r="H70" s="18" t="s">
        <v>20</v>
      </c>
      <c r="I70" s="18" t="s">
        <v>24</v>
      </c>
      <c r="J70" s="18" t="s">
        <v>35</v>
      </c>
      <c r="K70" s="18" t="s">
        <v>38</v>
      </c>
      <c r="L70" s="18" t="s">
        <v>42</v>
      </c>
      <c r="M70" s="18" t="s">
        <v>50</v>
      </c>
      <c r="N70" s="18" t="s">
        <v>66</v>
      </c>
      <c r="O70" s="20">
        <f>2013-Table1[[#This Row],[Startup Year]]</f>
        <v>13</v>
      </c>
      <c r="P70" s="20"/>
      <c r="Q70" s="20">
        <f>VLOOKUP(E70,'Int. Pa.'!$B$3:$C$58,2,FALSE)</f>
        <v>1</v>
      </c>
      <c r="R70" s="20">
        <f>VLOOKUP(F70,'Int. Pa.'!$B$3:$C$58,2,FALSE)</f>
        <v>10</v>
      </c>
      <c r="S70" s="20">
        <f>VLOOKUP(G70,'Int. Pa.'!$B$3:$C$58,2,FALSE)</f>
        <v>0</v>
      </c>
      <c r="T70" s="20">
        <f>VLOOKUP(H70,'Int. Pa.'!$B$3:$C$58,2,FALSE)</f>
        <v>1</v>
      </c>
      <c r="U70" s="20">
        <f>VLOOKUP(I70,'Int. Pa.'!$B$3:$C$58,2,FALSE)</f>
        <v>0</v>
      </c>
      <c r="V70" s="20">
        <f>VLOOKUP(J70,'Int. Pa.'!$B$3:$C$58,2,FALSE)</f>
        <v>10</v>
      </c>
      <c r="W70" s="20">
        <f>VLOOKUP(K70,'Int. Pa.'!$B$3:$C$58,2,FALSE)</f>
        <v>1</v>
      </c>
      <c r="X70" s="20">
        <f>VLOOKUP(L70,'Int. Pa.'!$B$3:$C$58,2,FALSE)</f>
        <v>1</v>
      </c>
      <c r="Y70" s="20">
        <f>VLOOKUP(M70,'Int. Pa.'!$B$3:$C$58,2,FALSE)</f>
        <v>5</v>
      </c>
      <c r="Z70" s="20">
        <f>VLOOKUP(N70,'Int. Pa.'!$B$3:$C$58,2,FALSE)</f>
        <v>6</v>
      </c>
      <c r="AA70" s="20">
        <f t="shared" si="0"/>
        <v>3</v>
      </c>
      <c r="AB70" s="20">
        <f t="shared" si="1"/>
        <v>34.166666666666664</v>
      </c>
    </row>
    <row r="71" spans="1:28">
      <c r="A71" s="80">
        <v>2</v>
      </c>
      <c r="B71" s="81">
        <v>661301</v>
      </c>
      <c r="C71" s="82" t="s">
        <v>617</v>
      </c>
      <c r="D71" s="83">
        <v>2000</v>
      </c>
      <c r="E71" s="18" t="s">
        <v>7</v>
      </c>
      <c r="F71" s="18" t="s">
        <v>2</v>
      </c>
      <c r="G71" s="18" t="s">
        <v>88</v>
      </c>
      <c r="H71" s="18" t="s">
        <v>20</v>
      </c>
      <c r="I71" s="18" t="s">
        <v>24</v>
      </c>
      <c r="J71" s="18" t="s">
        <v>35</v>
      </c>
      <c r="K71" s="18" t="s">
        <v>38</v>
      </c>
      <c r="L71" s="18" t="s">
        <v>42</v>
      </c>
      <c r="M71" s="18" t="s">
        <v>50</v>
      </c>
      <c r="N71" s="18" t="s">
        <v>66</v>
      </c>
      <c r="O71" s="20">
        <f>2013-Table1[[#This Row],[Startup Year]]</f>
        <v>13</v>
      </c>
      <c r="P71" s="20"/>
      <c r="Q71" s="20">
        <f>VLOOKUP(E71,'Int. Pa.'!$B$3:$C$58,2,FALSE)</f>
        <v>1</v>
      </c>
      <c r="R71" s="20">
        <f>VLOOKUP(F71,'Int. Pa.'!$B$3:$C$58,2,FALSE)</f>
        <v>10</v>
      </c>
      <c r="S71" s="20">
        <f>VLOOKUP(G71,'Int. Pa.'!$B$3:$C$58,2,FALSE)</f>
        <v>0</v>
      </c>
      <c r="T71" s="20">
        <f>VLOOKUP(H71,'Int. Pa.'!$B$3:$C$58,2,FALSE)</f>
        <v>1</v>
      </c>
      <c r="U71" s="20">
        <f>VLOOKUP(I71,'Int. Pa.'!$B$3:$C$58,2,FALSE)</f>
        <v>0</v>
      </c>
      <c r="V71" s="20">
        <f>VLOOKUP(J71,'Int. Pa.'!$B$3:$C$58,2,FALSE)</f>
        <v>10</v>
      </c>
      <c r="W71" s="20">
        <f>VLOOKUP(K71,'Int. Pa.'!$B$3:$C$58,2,FALSE)</f>
        <v>1</v>
      </c>
      <c r="X71" s="20">
        <f>VLOOKUP(L71,'Int. Pa.'!$B$3:$C$58,2,FALSE)</f>
        <v>1</v>
      </c>
      <c r="Y71" s="20">
        <f>VLOOKUP(M71,'Int. Pa.'!$B$3:$C$58,2,FALSE)</f>
        <v>5</v>
      </c>
      <c r="Z71" s="20">
        <f>VLOOKUP(N71,'Int. Pa.'!$B$3:$C$58,2,FALSE)</f>
        <v>6</v>
      </c>
      <c r="AA71" s="20">
        <f t="shared" si="0"/>
        <v>3</v>
      </c>
      <c r="AB71" s="20">
        <f t="shared" si="1"/>
        <v>34.166666666666664</v>
      </c>
    </row>
    <row r="72" spans="1:28">
      <c r="A72" s="80">
        <v>2</v>
      </c>
      <c r="B72" s="81">
        <v>6614</v>
      </c>
      <c r="C72" s="82"/>
      <c r="D72" s="83">
        <v>2000</v>
      </c>
      <c r="E72" s="18" t="s">
        <v>7</v>
      </c>
      <c r="F72" s="18" t="s">
        <v>2</v>
      </c>
      <c r="G72" s="18" t="s">
        <v>88</v>
      </c>
      <c r="H72" s="18" t="s">
        <v>20</v>
      </c>
      <c r="I72" s="18" t="s">
        <v>24</v>
      </c>
      <c r="J72" s="18" t="s">
        <v>35</v>
      </c>
      <c r="K72" s="18" t="s">
        <v>38</v>
      </c>
      <c r="L72" s="18" t="s">
        <v>42</v>
      </c>
      <c r="M72" s="18" t="s">
        <v>50</v>
      </c>
      <c r="N72" s="18" t="s">
        <v>66</v>
      </c>
      <c r="O72" s="20">
        <f>2013-Table1[[#This Row],[Startup Year]]</f>
        <v>13</v>
      </c>
      <c r="P72" s="20"/>
      <c r="Q72" s="20">
        <f>VLOOKUP(E72,'Int. Pa.'!$B$3:$C$58,2,FALSE)</f>
        <v>1</v>
      </c>
      <c r="R72" s="20">
        <f>VLOOKUP(F72,'Int. Pa.'!$B$3:$C$58,2,FALSE)</f>
        <v>10</v>
      </c>
      <c r="S72" s="20">
        <f>VLOOKUP(G72,'Int. Pa.'!$B$3:$C$58,2,FALSE)</f>
        <v>0</v>
      </c>
      <c r="T72" s="20">
        <f>VLOOKUP(H72,'Int. Pa.'!$B$3:$C$58,2,FALSE)</f>
        <v>1</v>
      </c>
      <c r="U72" s="20">
        <f>VLOOKUP(I72,'Int. Pa.'!$B$3:$C$58,2,FALSE)</f>
        <v>0</v>
      </c>
      <c r="V72" s="20">
        <f>VLOOKUP(J72,'Int. Pa.'!$B$3:$C$58,2,FALSE)</f>
        <v>10</v>
      </c>
      <c r="W72" s="20">
        <f>VLOOKUP(K72,'Int. Pa.'!$B$3:$C$58,2,FALSE)</f>
        <v>1</v>
      </c>
      <c r="X72" s="20">
        <f>VLOOKUP(L72,'Int. Pa.'!$B$3:$C$58,2,FALSE)</f>
        <v>1</v>
      </c>
      <c r="Y72" s="20">
        <f>VLOOKUP(M72,'Int. Pa.'!$B$3:$C$58,2,FALSE)</f>
        <v>5</v>
      </c>
      <c r="Z72" s="20">
        <f>VLOOKUP(N72,'Int. Pa.'!$B$3:$C$58,2,FALSE)</f>
        <v>6</v>
      </c>
      <c r="AA72" s="20">
        <f t="shared" si="0"/>
        <v>3</v>
      </c>
      <c r="AB72" s="20">
        <f t="shared" si="1"/>
        <v>34.166666666666664</v>
      </c>
    </row>
    <row r="73" spans="1:28">
      <c r="A73" s="84">
        <v>2</v>
      </c>
      <c r="B73" s="81">
        <v>6731</v>
      </c>
      <c r="C73" s="82" t="s">
        <v>251</v>
      </c>
      <c r="D73" s="85">
        <v>2000</v>
      </c>
      <c r="E73" s="18" t="s">
        <v>7</v>
      </c>
      <c r="F73" s="18" t="s">
        <v>2</v>
      </c>
      <c r="G73" s="18" t="s">
        <v>88</v>
      </c>
      <c r="H73" s="18" t="s">
        <v>20</v>
      </c>
      <c r="I73" s="18" t="s">
        <v>24</v>
      </c>
      <c r="J73" s="18" t="s">
        <v>35</v>
      </c>
      <c r="K73" s="18" t="s">
        <v>38</v>
      </c>
      <c r="L73" s="18" t="s">
        <v>42</v>
      </c>
      <c r="M73" s="18" t="s">
        <v>50</v>
      </c>
      <c r="N73" s="18" t="s">
        <v>66</v>
      </c>
      <c r="O73" s="20">
        <f>2013-Table1[[#This Row],[Startup Year]]</f>
        <v>13</v>
      </c>
      <c r="P73" s="20"/>
      <c r="Q73" s="20">
        <f>VLOOKUP(E73,'Int. Pa.'!$B$3:$C$58,2,FALSE)</f>
        <v>1</v>
      </c>
      <c r="R73" s="20">
        <f>VLOOKUP(F73,'Int. Pa.'!$B$3:$C$58,2,FALSE)</f>
        <v>10</v>
      </c>
      <c r="S73" s="20">
        <f>VLOOKUP(G73,'Int. Pa.'!$B$3:$C$58,2,FALSE)</f>
        <v>0</v>
      </c>
      <c r="T73" s="20">
        <f>VLOOKUP(H73,'Int. Pa.'!$B$3:$C$58,2,FALSE)</f>
        <v>1</v>
      </c>
      <c r="U73" s="20">
        <f>VLOOKUP(I73,'Int. Pa.'!$B$3:$C$58,2,FALSE)</f>
        <v>0</v>
      </c>
      <c r="V73" s="20">
        <f>VLOOKUP(J73,'Int. Pa.'!$B$3:$C$58,2,FALSE)</f>
        <v>10</v>
      </c>
      <c r="W73" s="20">
        <f>VLOOKUP(K73,'Int. Pa.'!$B$3:$C$58,2,FALSE)</f>
        <v>1</v>
      </c>
      <c r="X73" s="20">
        <f>VLOOKUP(L73,'Int. Pa.'!$B$3:$C$58,2,FALSE)</f>
        <v>1</v>
      </c>
      <c r="Y73" s="20">
        <f>VLOOKUP(M73,'Int. Pa.'!$B$3:$C$58,2,FALSE)</f>
        <v>5</v>
      </c>
      <c r="Z73" s="20">
        <f>VLOOKUP(N73,'Int. Pa.'!$B$3:$C$58,2,FALSE)</f>
        <v>6</v>
      </c>
      <c r="AA73" s="20">
        <f t="shared" ref="AA73:AA136" si="2">IF(O73&gt;40,10,ROUND((O73/4),0))</f>
        <v>3</v>
      </c>
      <c r="AB73" s="20">
        <f t="shared" ref="AB73:AB136" si="3">($E$1*Q73+$F$1*R73+$G$1*S73+$H$1*T73+$I$1*U73+$J$1*V73+$K$1*W73+$L$1*X73+$M$1*Y73+$N$1*Z73+$O$1*AA73)</f>
        <v>34.166666666666664</v>
      </c>
    </row>
    <row r="74" spans="1:28">
      <c r="A74" s="84">
        <v>2</v>
      </c>
      <c r="B74" s="81">
        <v>6732</v>
      </c>
      <c r="C74" s="82" t="s">
        <v>252</v>
      </c>
      <c r="D74" s="85">
        <v>2013</v>
      </c>
      <c r="E74" s="18" t="s">
        <v>7</v>
      </c>
      <c r="F74" s="18" t="s">
        <v>2</v>
      </c>
      <c r="G74" s="18" t="s">
        <v>88</v>
      </c>
      <c r="H74" s="18" t="s">
        <v>20</v>
      </c>
      <c r="I74" s="18" t="s">
        <v>24</v>
      </c>
      <c r="J74" s="18" t="s">
        <v>35</v>
      </c>
      <c r="K74" s="18" t="s">
        <v>38</v>
      </c>
      <c r="L74" s="18" t="s">
        <v>42</v>
      </c>
      <c r="M74" s="18" t="s">
        <v>50</v>
      </c>
      <c r="N74" s="18" t="s">
        <v>66</v>
      </c>
      <c r="O74" s="20">
        <f>2013-Table1[[#This Row],[Startup Year]]</f>
        <v>0</v>
      </c>
      <c r="P74" s="20"/>
      <c r="Q74" s="20">
        <f>VLOOKUP(E74,'Int. Pa.'!$B$3:$C$58,2,FALSE)</f>
        <v>1</v>
      </c>
      <c r="R74" s="20">
        <f>VLOOKUP(F74,'Int. Pa.'!$B$3:$C$58,2,FALSE)</f>
        <v>10</v>
      </c>
      <c r="S74" s="20">
        <f>VLOOKUP(G74,'Int. Pa.'!$B$3:$C$58,2,FALSE)</f>
        <v>0</v>
      </c>
      <c r="T74" s="20">
        <f>VLOOKUP(H74,'Int. Pa.'!$B$3:$C$58,2,FALSE)</f>
        <v>1</v>
      </c>
      <c r="U74" s="20">
        <f>VLOOKUP(I74,'Int. Pa.'!$B$3:$C$58,2,FALSE)</f>
        <v>0</v>
      </c>
      <c r="V74" s="20">
        <f>VLOOKUP(J74,'Int. Pa.'!$B$3:$C$58,2,FALSE)</f>
        <v>10</v>
      </c>
      <c r="W74" s="20">
        <f>VLOOKUP(K74,'Int. Pa.'!$B$3:$C$58,2,FALSE)</f>
        <v>1</v>
      </c>
      <c r="X74" s="20">
        <f>VLOOKUP(L74,'Int. Pa.'!$B$3:$C$58,2,FALSE)</f>
        <v>1</v>
      </c>
      <c r="Y74" s="20">
        <f>VLOOKUP(M74,'Int. Pa.'!$B$3:$C$58,2,FALSE)</f>
        <v>5</v>
      </c>
      <c r="Z74" s="20">
        <f>VLOOKUP(N74,'Int. Pa.'!$B$3:$C$58,2,FALSE)</f>
        <v>6</v>
      </c>
      <c r="AA74" s="20">
        <f t="shared" si="2"/>
        <v>0</v>
      </c>
      <c r="AB74" s="20">
        <f t="shared" si="3"/>
        <v>33.333333333333329</v>
      </c>
    </row>
    <row r="75" spans="1:28">
      <c r="A75" s="84">
        <v>2</v>
      </c>
      <c r="B75" s="81">
        <v>6734</v>
      </c>
      <c r="C75" s="82" t="s">
        <v>253</v>
      </c>
      <c r="D75" s="85">
        <v>1998</v>
      </c>
      <c r="E75" s="18" t="s">
        <v>7</v>
      </c>
      <c r="F75" s="18" t="s">
        <v>2</v>
      </c>
      <c r="G75" s="18" t="s">
        <v>88</v>
      </c>
      <c r="H75" s="18" t="s">
        <v>20</v>
      </c>
      <c r="I75" s="18" t="s">
        <v>24</v>
      </c>
      <c r="J75" s="18" t="s">
        <v>35</v>
      </c>
      <c r="K75" s="18" t="s">
        <v>38</v>
      </c>
      <c r="L75" s="18" t="s">
        <v>42</v>
      </c>
      <c r="M75" s="18" t="s">
        <v>50</v>
      </c>
      <c r="N75" s="18" t="s">
        <v>66</v>
      </c>
      <c r="O75" s="20">
        <f>2013-Table1[[#This Row],[Startup Year]]</f>
        <v>15</v>
      </c>
      <c r="P75" s="20"/>
      <c r="Q75" s="20">
        <f>VLOOKUP(E75,'Int. Pa.'!$B$3:$C$58,2,FALSE)</f>
        <v>1</v>
      </c>
      <c r="R75" s="20">
        <f>VLOOKUP(F75,'Int. Pa.'!$B$3:$C$58,2,FALSE)</f>
        <v>10</v>
      </c>
      <c r="S75" s="20">
        <f>VLOOKUP(G75,'Int. Pa.'!$B$3:$C$58,2,FALSE)</f>
        <v>0</v>
      </c>
      <c r="T75" s="20">
        <f>VLOOKUP(H75,'Int. Pa.'!$B$3:$C$58,2,FALSE)</f>
        <v>1</v>
      </c>
      <c r="U75" s="20">
        <f>VLOOKUP(I75,'Int. Pa.'!$B$3:$C$58,2,FALSE)</f>
        <v>0</v>
      </c>
      <c r="V75" s="20">
        <f>VLOOKUP(J75,'Int. Pa.'!$B$3:$C$58,2,FALSE)</f>
        <v>10</v>
      </c>
      <c r="W75" s="20">
        <f>VLOOKUP(K75,'Int. Pa.'!$B$3:$C$58,2,FALSE)</f>
        <v>1</v>
      </c>
      <c r="X75" s="20">
        <f>VLOOKUP(L75,'Int. Pa.'!$B$3:$C$58,2,FALSE)</f>
        <v>1</v>
      </c>
      <c r="Y75" s="20">
        <f>VLOOKUP(M75,'Int. Pa.'!$B$3:$C$58,2,FALSE)</f>
        <v>5</v>
      </c>
      <c r="Z75" s="20">
        <f>VLOOKUP(N75,'Int. Pa.'!$B$3:$C$58,2,FALSE)</f>
        <v>6</v>
      </c>
      <c r="AA75" s="20">
        <f t="shared" si="2"/>
        <v>4</v>
      </c>
      <c r="AB75" s="20">
        <f t="shared" si="3"/>
        <v>34.444444444444443</v>
      </c>
    </row>
    <row r="76" spans="1:28">
      <c r="A76" s="80">
        <v>2</v>
      </c>
      <c r="B76" s="81">
        <v>63601</v>
      </c>
      <c r="C76" s="82"/>
      <c r="D76" s="83">
        <v>2000</v>
      </c>
      <c r="E76" s="18" t="s">
        <v>7</v>
      </c>
      <c r="F76" s="18" t="s">
        <v>2</v>
      </c>
      <c r="G76" s="18" t="s">
        <v>88</v>
      </c>
      <c r="H76" s="18" t="s">
        <v>20</v>
      </c>
      <c r="I76" s="18" t="s">
        <v>24</v>
      </c>
      <c r="J76" s="18" t="s">
        <v>35</v>
      </c>
      <c r="K76" s="18" t="s">
        <v>38</v>
      </c>
      <c r="L76" s="18" t="s">
        <v>42</v>
      </c>
      <c r="M76" s="18" t="s">
        <v>50</v>
      </c>
      <c r="N76" s="18" t="s">
        <v>66</v>
      </c>
      <c r="O76" s="20">
        <f>2013-Table1[[#This Row],[Startup Year]]</f>
        <v>13</v>
      </c>
      <c r="P76" s="20"/>
      <c r="Q76" s="20">
        <f>VLOOKUP(E76,'Int. Pa.'!$B$3:$C$58,2,FALSE)</f>
        <v>1</v>
      </c>
      <c r="R76" s="20">
        <f>VLOOKUP(F76,'Int. Pa.'!$B$3:$C$58,2,FALSE)</f>
        <v>10</v>
      </c>
      <c r="S76" s="20">
        <f>VLOOKUP(G76,'Int. Pa.'!$B$3:$C$58,2,FALSE)</f>
        <v>0</v>
      </c>
      <c r="T76" s="20">
        <f>VLOOKUP(H76,'Int. Pa.'!$B$3:$C$58,2,FALSE)</f>
        <v>1</v>
      </c>
      <c r="U76" s="20">
        <f>VLOOKUP(I76,'Int. Pa.'!$B$3:$C$58,2,FALSE)</f>
        <v>0</v>
      </c>
      <c r="V76" s="20">
        <f>VLOOKUP(J76,'Int. Pa.'!$B$3:$C$58,2,FALSE)</f>
        <v>10</v>
      </c>
      <c r="W76" s="20">
        <f>VLOOKUP(K76,'Int. Pa.'!$B$3:$C$58,2,FALSE)</f>
        <v>1</v>
      </c>
      <c r="X76" s="20">
        <f>VLOOKUP(L76,'Int. Pa.'!$B$3:$C$58,2,FALSE)</f>
        <v>1</v>
      </c>
      <c r="Y76" s="20">
        <f>VLOOKUP(M76,'Int. Pa.'!$B$3:$C$58,2,FALSE)</f>
        <v>5</v>
      </c>
      <c r="Z76" s="20">
        <f>VLOOKUP(N76,'Int. Pa.'!$B$3:$C$58,2,FALSE)</f>
        <v>6</v>
      </c>
      <c r="AA76" s="20">
        <f t="shared" si="2"/>
        <v>3</v>
      </c>
      <c r="AB76" s="20">
        <f t="shared" si="3"/>
        <v>34.166666666666664</v>
      </c>
    </row>
    <row r="77" spans="1:28">
      <c r="A77" s="84">
        <v>2</v>
      </c>
      <c r="B77" s="81">
        <v>63602</v>
      </c>
      <c r="C77" s="82" t="s">
        <v>254</v>
      </c>
      <c r="D77" s="85">
        <v>2005</v>
      </c>
      <c r="E77" s="18" t="s">
        <v>7</v>
      </c>
      <c r="F77" s="18" t="s">
        <v>2</v>
      </c>
      <c r="G77" s="18" t="s">
        <v>88</v>
      </c>
      <c r="H77" s="18" t="s">
        <v>20</v>
      </c>
      <c r="I77" s="18" t="s">
        <v>24</v>
      </c>
      <c r="J77" s="18" t="s">
        <v>35</v>
      </c>
      <c r="K77" s="18" t="s">
        <v>38</v>
      </c>
      <c r="L77" s="18" t="s">
        <v>42</v>
      </c>
      <c r="M77" s="18" t="s">
        <v>50</v>
      </c>
      <c r="N77" s="18" t="s">
        <v>66</v>
      </c>
      <c r="O77" s="20">
        <f>2013-Table1[[#This Row],[Startup Year]]</f>
        <v>8</v>
      </c>
      <c r="P77" s="20"/>
      <c r="Q77" s="20">
        <f>VLOOKUP(E77,'Int. Pa.'!$B$3:$C$58,2,FALSE)</f>
        <v>1</v>
      </c>
      <c r="R77" s="20">
        <f>VLOOKUP(F77,'Int. Pa.'!$B$3:$C$58,2,FALSE)</f>
        <v>10</v>
      </c>
      <c r="S77" s="20">
        <f>VLOOKUP(G77,'Int. Pa.'!$B$3:$C$58,2,FALSE)</f>
        <v>0</v>
      </c>
      <c r="T77" s="20">
        <f>VLOOKUP(H77,'Int. Pa.'!$B$3:$C$58,2,FALSE)</f>
        <v>1</v>
      </c>
      <c r="U77" s="20">
        <f>VLOOKUP(I77,'Int. Pa.'!$B$3:$C$58,2,FALSE)</f>
        <v>0</v>
      </c>
      <c r="V77" s="20">
        <f>VLOOKUP(J77,'Int. Pa.'!$B$3:$C$58,2,FALSE)</f>
        <v>10</v>
      </c>
      <c r="W77" s="20">
        <f>VLOOKUP(K77,'Int. Pa.'!$B$3:$C$58,2,FALSE)</f>
        <v>1</v>
      </c>
      <c r="X77" s="20">
        <f>VLOOKUP(L77,'Int. Pa.'!$B$3:$C$58,2,FALSE)</f>
        <v>1</v>
      </c>
      <c r="Y77" s="20">
        <f>VLOOKUP(M77,'Int. Pa.'!$B$3:$C$58,2,FALSE)</f>
        <v>5</v>
      </c>
      <c r="Z77" s="20">
        <f>VLOOKUP(N77,'Int. Pa.'!$B$3:$C$58,2,FALSE)</f>
        <v>6</v>
      </c>
      <c r="AA77" s="20">
        <f t="shared" si="2"/>
        <v>2</v>
      </c>
      <c r="AB77" s="20">
        <f t="shared" si="3"/>
        <v>33.888888888888886</v>
      </c>
    </row>
    <row r="78" spans="1:28">
      <c r="A78" s="84">
        <v>2</v>
      </c>
      <c r="B78" s="81">
        <v>65820</v>
      </c>
      <c r="C78" s="82" t="s">
        <v>255</v>
      </c>
      <c r="D78" s="85">
        <v>2006</v>
      </c>
      <c r="E78" s="18" t="s">
        <v>7</v>
      </c>
      <c r="F78" s="18" t="s">
        <v>2</v>
      </c>
      <c r="G78" s="18" t="s">
        <v>88</v>
      </c>
      <c r="H78" s="18" t="s">
        <v>20</v>
      </c>
      <c r="I78" s="18" t="s">
        <v>24</v>
      </c>
      <c r="J78" s="18" t="s">
        <v>35</v>
      </c>
      <c r="K78" s="18" t="s">
        <v>38</v>
      </c>
      <c r="L78" s="18" t="s">
        <v>42</v>
      </c>
      <c r="M78" s="18" t="s">
        <v>50</v>
      </c>
      <c r="N78" s="18" t="s">
        <v>66</v>
      </c>
      <c r="O78" s="20">
        <f>2013-Table1[[#This Row],[Startup Year]]</f>
        <v>7</v>
      </c>
      <c r="P78" s="20"/>
      <c r="Q78" s="20">
        <f>VLOOKUP(E78,'Int. Pa.'!$B$3:$C$58,2,FALSE)</f>
        <v>1</v>
      </c>
      <c r="R78" s="20">
        <f>VLOOKUP(F78,'Int. Pa.'!$B$3:$C$58,2,FALSE)</f>
        <v>10</v>
      </c>
      <c r="S78" s="20">
        <f>VLOOKUP(G78,'Int. Pa.'!$B$3:$C$58,2,FALSE)</f>
        <v>0</v>
      </c>
      <c r="T78" s="20">
        <f>VLOOKUP(H78,'Int. Pa.'!$B$3:$C$58,2,FALSE)</f>
        <v>1</v>
      </c>
      <c r="U78" s="20">
        <f>VLOOKUP(I78,'Int. Pa.'!$B$3:$C$58,2,FALSE)</f>
        <v>0</v>
      </c>
      <c r="V78" s="20">
        <f>VLOOKUP(J78,'Int. Pa.'!$B$3:$C$58,2,FALSE)</f>
        <v>10</v>
      </c>
      <c r="W78" s="20">
        <f>VLOOKUP(K78,'Int. Pa.'!$B$3:$C$58,2,FALSE)</f>
        <v>1</v>
      </c>
      <c r="X78" s="20">
        <f>VLOOKUP(L78,'Int. Pa.'!$B$3:$C$58,2,FALSE)</f>
        <v>1</v>
      </c>
      <c r="Y78" s="20">
        <f>VLOOKUP(M78,'Int. Pa.'!$B$3:$C$58,2,FALSE)</f>
        <v>5</v>
      </c>
      <c r="Z78" s="20">
        <f>VLOOKUP(N78,'Int. Pa.'!$B$3:$C$58,2,FALSE)</f>
        <v>6</v>
      </c>
      <c r="AA78" s="20">
        <f t="shared" si="2"/>
        <v>2</v>
      </c>
      <c r="AB78" s="20">
        <f t="shared" si="3"/>
        <v>33.888888888888886</v>
      </c>
    </row>
    <row r="79" spans="1:28">
      <c r="A79" s="84">
        <v>2</v>
      </c>
      <c r="B79" s="81">
        <v>66111</v>
      </c>
      <c r="C79" s="82" t="s">
        <v>256</v>
      </c>
      <c r="D79" s="85">
        <v>2000</v>
      </c>
      <c r="E79" s="18" t="s">
        <v>7</v>
      </c>
      <c r="F79" s="18" t="s">
        <v>2</v>
      </c>
      <c r="G79" s="18" t="s">
        <v>88</v>
      </c>
      <c r="H79" s="18" t="s">
        <v>20</v>
      </c>
      <c r="I79" s="18" t="s">
        <v>24</v>
      </c>
      <c r="J79" s="18" t="s">
        <v>35</v>
      </c>
      <c r="K79" s="18" t="s">
        <v>38</v>
      </c>
      <c r="L79" s="18" t="s">
        <v>42</v>
      </c>
      <c r="M79" s="18" t="s">
        <v>50</v>
      </c>
      <c r="N79" s="18" t="s">
        <v>66</v>
      </c>
      <c r="O79" s="20">
        <f>2013-Table1[[#This Row],[Startup Year]]</f>
        <v>13</v>
      </c>
      <c r="P79" s="20"/>
      <c r="Q79" s="20">
        <f>VLOOKUP(E79,'Int. Pa.'!$B$3:$C$58,2,FALSE)</f>
        <v>1</v>
      </c>
      <c r="R79" s="20">
        <f>VLOOKUP(F79,'Int. Pa.'!$B$3:$C$58,2,FALSE)</f>
        <v>10</v>
      </c>
      <c r="S79" s="20">
        <f>VLOOKUP(G79,'Int. Pa.'!$B$3:$C$58,2,FALSE)</f>
        <v>0</v>
      </c>
      <c r="T79" s="20">
        <f>VLOOKUP(H79,'Int. Pa.'!$B$3:$C$58,2,FALSE)</f>
        <v>1</v>
      </c>
      <c r="U79" s="20">
        <f>VLOOKUP(I79,'Int. Pa.'!$B$3:$C$58,2,FALSE)</f>
        <v>0</v>
      </c>
      <c r="V79" s="20">
        <f>VLOOKUP(J79,'Int. Pa.'!$B$3:$C$58,2,FALSE)</f>
        <v>10</v>
      </c>
      <c r="W79" s="20">
        <f>VLOOKUP(K79,'Int. Pa.'!$B$3:$C$58,2,FALSE)</f>
        <v>1</v>
      </c>
      <c r="X79" s="20">
        <f>VLOOKUP(L79,'Int. Pa.'!$B$3:$C$58,2,FALSE)</f>
        <v>1</v>
      </c>
      <c r="Y79" s="20">
        <f>VLOOKUP(M79,'Int. Pa.'!$B$3:$C$58,2,FALSE)</f>
        <v>5</v>
      </c>
      <c r="Z79" s="20">
        <f>VLOOKUP(N79,'Int. Pa.'!$B$3:$C$58,2,FALSE)</f>
        <v>6</v>
      </c>
      <c r="AA79" s="20">
        <f t="shared" si="2"/>
        <v>3</v>
      </c>
      <c r="AB79" s="20">
        <f t="shared" si="3"/>
        <v>34.166666666666664</v>
      </c>
    </row>
    <row r="80" spans="1:28">
      <c r="A80" s="80">
        <v>2</v>
      </c>
      <c r="B80" s="81">
        <v>6611102</v>
      </c>
      <c r="C80" s="82"/>
      <c r="D80" s="83">
        <v>2000</v>
      </c>
      <c r="E80" s="18" t="s">
        <v>7</v>
      </c>
      <c r="F80" s="18" t="s">
        <v>2</v>
      </c>
      <c r="G80" s="18" t="s">
        <v>88</v>
      </c>
      <c r="H80" s="18" t="s">
        <v>20</v>
      </c>
      <c r="I80" s="18" t="s">
        <v>24</v>
      </c>
      <c r="J80" s="18" t="s">
        <v>35</v>
      </c>
      <c r="K80" s="18" t="s">
        <v>38</v>
      </c>
      <c r="L80" s="18" t="s">
        <v>42</v>
      </c>
      <c r="M80" s="18" t="s">
        <v>50</v>
      </c>
      <c r="N80" s="18" t="s">
        <v>66</v>
      </c>
      <c r="O80" s="20">
        <f>2013-Table1[[#This Row],[Startup Year]]</f>
        <v>13</v>
      </c>
      <c r="P80" s="20"/>
      <c r="Q80" s="20">
        <f>VLOOKUP(E80,'Int. Pa.'!$B$3:$C$58,2,FALSE)</f>
        <v>1</v>
      </c>
      <c r="R80" s="20">
        <f>VLOOKUP(F80,'Int. Pa.'!$B$3:$C$58,2,FALSE)</f>
        <v>10</v>
      </c>
      <c r="S80" s="20">
        <f>VLOOKUP(G80,'Int. Pa.'!$B$3:$C$58,2,FALSE)</f>
        <v>0</v>
      </c>
      <c r="T80" s="20">
        <f>VLOOKUP(H80,'Int. Pa.'!$B$3:$C$58,2,FALSE)</f>
        <v>1</v>
      </c>
      <c r="U80" s="20">
        <f>VLOOKUP(I80,'Int. Pa.'!$B$3:$C$58,2,FALSE)</f>
        <v>0</v>
      </c>
      <c r="V80" s="20">
        <f>VLOOKUP(J80,'Int. Pa.'!$B$3:$C$58,2,FALSE)</f>
        <v>10</v>
      </c>
      <c r="W80" s="20">
        <f>VLOOKUP(K80,'Int. Pa.'!$B$3:$C$58,2,FALSE)</f>
        <v>1</v>
      </c>
      <c r="X80" s="20">
        <f>VLOOKUP(L80,'Int. Pa.'!$B$3:$C$58,2,FALSE)</f>
        <v>1</v>
      </c>
      <c r="Y80" s="20">
        <f>VLOOKUP(M80,'Int. Pa.'!$B$3:$C$58,2,FALSE)</f>
        <v>5</v>
      </c>
      <c r="Z80" s="20">
        <f>VLOOKUP(N80,'Int. Pa.'!$B$3:$C$58,2,FALSE)</f>
        <v>6</v>
      </c>
      <c r="AA80" s="20">
        <f t="shared" si="2"/>
        <v>3</v>
      </c>
      <c r="AB80" s="20">
        <f t="shared" si="3"/>
        <v>34.166666666666664</v>
      </c>
    </row>
    <row r="81" spans="1:28">
      <c r="A81" s="87">
        <v>2</v>
      </c>
      <c r="B81" s="88">
        <v>661110201</v>
      </c>
      <c r="C81" s="89" t="s">
        <v>711</v>
      </c>
      <c r="D81" s="90">
        <v>2000</v>
      </c>
      <c r="E81" s="18" t="s">
        <v>7</v>
      </c>
      <c r="F81" s="18" t="s">
        <v>2</v>
      </c>
      <c r="G81" s="18" t="s">
        <v>88</v>
      </c>
      <c r="H81" s="18" t="s">
        <v>20</v>
      </c>
      <c r="I81" s="18" t="s">
        <v>24</v>
      </c>
      <c r="J81" s="18" t="s">
        <v>35</v>
      </c>
      <c r="K81" s="18" t="s">
        <v>38</v>
      </c>
      <c r="L81" s="18" t="s">
        <v>42</v>
      </c>
      <c r="M81" s="18" t="s">
        <v>50</v>
      </c>
      <c r="N81" s="18" t="s">
        <v>66</v>
      </c>
      <c r="O81" s="20">
        <f>2013-Table1[[#This Row],[Startup Year]]</f>
        <v>13</v>
      </c>
      <c r="P81" s="20"/>
      <c r="Q81" s="20">
        <f>VLOOKUP(E81,'Int. Pa.'!$B$3:$C$58,2,FALSE)</f>
        <v>1</v>
      </c>
      <c r="R81" s="20">
        <f>VLOOKUP(F81,'Int. Pa.'!$B$3:$C$58,2,FALSE)</f>
        <v>10</v>
      </c>
      <c r="S81" s="20">
        <f>VLOOKUP(G81,'Int. Pa.'!$B$3:$C$58,2,FALSE)</f>
        <v>0</v>
      </c>
      <c r="T81" s="20">
        <f>VLOOKUP(H81,'Int. Pa.'!$B$3:$C$58,2,FALSE)</f>
        <v>1</v>
      </c>
      <c r="U81" s="20">
        <f>VLOOKUP(I81,'Int. Pa.'!$B$3:$C$58,2,FALSE)</f>
        <v>0</v>
      </c>
      <c r="V81" s="20">
        <f>VLOOKUP(J81,'Int. Pa.'!$B$3:$C$58,2,FALSE)</f>
        <v>10</v>
      </c>
      <c r="W81" s="20">
        <f>VLOOKUP(K81,'Int. Pa.'!$B$3:$C$58,2,FALSE)</f>
        <v>1</v>
      </c>
      <c r="X81" s="20">
        <f>VLOOKUP(L81,'Int. Pa.'!$B$3:$C$58,2,FALSE)</f>
        <v>1</v>
      </c>
      <c r="Y81" s="20">
        <f>VLOOKUP(M81,'Int. Pa.'!$B$3:$C$58,2,FALSE)</f>
        <v>5</v>
      </c>
      <c r="Z81" s="20">
        <f>VLOOKUP(N81,'Int. Pa.'!$B$3:$C$58,2,FALSE)</f>
        <v>6</v>
      </c>
      <c r="AA81" s="20">
        <f t="shared" si="2"/>
        <v>3</v>
      </c>
      <c r="AB81" s="20">
        <f t="shared" si="3"/>
        <v>34.166666666666664</v>
      </c>
    </row>
    <row r="82" spans="1:28">
      <c r="A82" s="80">
        <v>2</v>
      </c>
      <c r="B82" s="81">
        <v>661110202</v>
      </c>
      <c r="C82" s="82"/>
      <c r="D82" s="83">
        <v>2000</v>
      </c>
      <c r="E82" s="18" t="s">
        <v>7</v>
      </c>
      <c r="F82" s="18" t="s">
        <v>2</v>
      </c>
      <c r="G82" s="18" t="s">
        <v>88</v>
      </c>
      <c r="H82" s="18" t="s">
        <v>20</v>
      </c>
      <c r="I82" s="18" t="s">
        <v>24</v>
      </c>
      <c r="J82" s="18" t="s">
        <v>35</v>
      </c>
      <c r="K82" s="18" t="s">
        <v>38</v>
      </c>
      <c r="L82" s="18" t="s">
        <v>42</v>
      </c>
      <c r="M82" s="18" t="s">
        <v>50</v>
      </c>
      <c r="N82" s="18" t="s">
        <v>66</v>
      </c>
      <c r="O82" s="20">
        <f>2013-Table1[[#This Row],[Startup Year]]</f>
        <v>13</v>
      </c>
      <c r="P82" s="20"/>
      <c r="Q82" s="20">
        <f>VLOOKUP(E82,'Int. Pa.'!$B$3:$C$58,2,FALSE)</f>
        <v>1</v>
      </c>
      <c r="R82" s="20">
        <f>VLOOKUP(F82,'Int. Pa.'!$B$3:$C$58,2,FALSE)</f>
        <v>10</v>
      </c>
      <c r="S82" s="20">
        <f>VLOOKUP(G82,'Int. Pa.'!$B$3:$C$58,2,FALSE)</f>
        <v>0</v>
      </c>
      <c r="T82" s="20">
        <f>VLOOKUP(H82,'Int. Pa.'!$B$3:$C$58,2,FALSE)</f>
        <v>1</v>
      </c>
      <c r="U82" s="20">
        <f>VLOOKUP(I82,'Int. Pa.'!$B$3:$C$58,2,FALSE)</f>
        <v>0</v>
      </c>
      <c r="V82" s="20">
        <f>VLOOKUP(J82,'Int. Pa.'!$B$3:$C$58,2,FALSE)</f>
        <v>10</v>
      </c>
      <c r="W82" s="20">
        <f>VLOOKUP(K82,'Int. Pa.'!$B$3:$C$58,2,FALSE)</f>
        <v>1</v>
      </c>
      <c r="X82" s="20">
        <f>VLOOKUP(L82,'Int. Pa.'!$B$3:$C$58,2,FALSE)</f>
        <v>1</v>
      </c>
      <c r="Y82" s="20">
        <f>VLOOKUP(M82,'Int. Pa.'!$B$3:$C$58,2,FALSE)</f>
        <v>5</v>
      </c>
      <c r="Z82" s="20">
        <f>VLOOKUP(N82,'Int. Pa.'!$B$3:$C$58,2,FALSE)</f>
        <v>6</v>
      </c>
      <c r="AA82" s="20">
        <f t="shared" si="2"/>
        <v>3</v>
      </c>
      <c r="AB82" s="20">
        <f t="shared" si="3"/>
        <v>34.166666666666664</v>
      </c>
    </row>
    <row r="83" spans="1:28">
      <c r="A83" s="80">
        <v>2</v>
      </c>
      <c r="B83" s="81">
        <v>661110203</v>
      </c>
      <c r="C83" s="82"/>
      <c r="D83" s="83">
        <v>2000</v>
      </c>
      <c r="E83" s="18" t="s">
        <v>7</v>
      </c>
      <c r="F83" s="18" t="s">
        <v>2</v>
      </c>
      <c r="G83" s="18" t="s">
        <v>88</v>
      </c>
      <c r="H83" s="18" t="s">
        <v>20</v>
      </c>
      <c r="I83" s="18" t="s">
        <v>24</v>
      </c>
      <c r="J83" s="18" t="s">
        <v>35</v>
      </c>
      <c r="K83" s="18" t="s">
        <v>38</v>
      </c>
      <c r="L83" s="18" t="s">
        <v>42</v>
      </c>
      <c r="M83" s="18" t="s">
        <v>50</v>
      </c>
      <c r="N83" s="18" t="s">
        <v>66</v>
      </c>
      <c r="O83" s="20">
        <f>2013-Table1[[#This Row],[Startup Year]]</f>
        <v>13</v>
      </c>
      <c r="P83" s="20"/>
      <c r="Q83" s="20">
        <f>VLOOKUP(E83,'Int. Pa.'!$B$3:$C$58,2,FALSE)</f>
        <v>1</v>
      </c>
      <c r="R83" s="20">
        <f>VLOOKUP(F83,'Int. Pa.'!$B$3:$C$58,2,FALSE)</f>
        <v>10</v>
      </c>
      <c r="S83" s="20">
        <f>VLOOKUP(G83,'Int. Pa.'!$B$3:$C$58,2,FALSE)</f>
        <v>0</v>
      </c>
      <c r="T83" s="20">
        <f>VLOOKUP(H83,'Int. Pa.'!$B$3:$C$58,2,FALSE)</f>
        <v>1</v>
      </c>
      <c r="U83" s="20">
        <f>VLOOKUP(I83,'Int. Pa.'!$B$3:$C$58,2,FALSE)</f>
        <v>0</v>
      </c>
      <c r="V83" s="20">
        <f>VLOOKUP(J83,'Int. Pa.'!$B$3:$C$58,2,FALSE)</f>
        <v>10</v>
      </c>
      <c r="W83" s="20">
        <f>VLOOKUP(K83,'Int. Pa.'!$B$3:$C$58,2,FALSE)</f>
        <v>1</v>
      </c>
      <c r="X83" s="20">
        <f>VLOOKUP(L83,'Int. Pa.'!$B$3:$C$58,2,FALSE)</f>
        <v>1</v>
      </c>
      <c r="Y83" s="20">
        <f>VLOOKUP(M83,'Int. Pa.'!$B$3:$C$58,2,FALSE)</f>
        <v>5</v>
      </c>
      <c r="Z83" s="20">
        <f>VLOOKUP(N83,'Int. Pa.'!$B$3:$C$58,2,FALSE)</f>
        <v>6</v>
      </c>
      <c r="AA83" s="20">
        <f t="shared" si="2"/>
        <v>3</v>
      </c>
      <c r="AB83" s="20">
        <f t="shared" si="3"/>
        <v>34.166666666666664</v>
      </c>
    </row>
    <row r="84" spans="1:28">
      <c r="A84" s="84">
        <v>2</v>
      </c>
      <c r="B84" s="81">
        <v>66112</v>
      </c>
      <c r="C84" s="82" t="s">
        <v>257</v>
      </c>
      <c r="D84" s="85">
        <v>2000</v>
      </c>
      <c r="E84" s="18" t="s">
        <v>7</v>
      </c>
      <c r="F84" s="18" t="s">
        <v>2</v>
      </c>
      <c r="G84" s="18" t="s">
        <v>88</v>
      </c>
      <c r="H84" s="18" t="s">
        <v>20</v>
      </c>
      <c r="I84" s="18" t="s">
        <v>24</v>
      </c>
      <c r="J84" s="18" t="s">
        <v>35</v>
      </c>
      <c r="K84" s="18" t="s">
        <v>38</v>
      </c>
      <c r="L84" s="18" t="s">
        <v>42</v>
      </c>
      <c r="M84" s="18" t="s">
        <v>50</v>
      </c>
      <c r="N84" s="18" t="s">
        <v>66</v>
      </c>
      <c r="O84" s="20">
        <f>2013-Table1[[#This Row],[Startup Year]]</f>
        <v>13</v>
      </c>
      <c r="P84" s="20"/>
      <c r="Q84" s="20">
        <f>VLOOKUP(E84,'Int. Pa.'!$B$3:$C$58,2,FALSE)</f>
        <v>1</v>
      </c>
      <c r="R84" s="20">
        <f>VLOOKUP(F84,'Int. Pa.'!$B$3:$C$58,2,FALSE)</f>
        <v>10</v>
      </c>
      <c r="S84" s="20">
        <f>VLOOKUP(G84,'Int. Pa.'!$B$3:$C$58,2,FALSE)</f>
        <v>0</v>
      </c>
      <c r="T84" s="20">
        <f>VLOOKUP(H84,'Int. Pa.'!$B$3:$C$58,2,FALSE)</f>
        <v>1</v>
      </c>
      <c r="U84" s="20">
        <f>VLOOKUP(I84,'Int. Pa.'!$B$3:$C$58,2,FALSE)</f>
        <v>0</v>
      </c>
      <c r="V84" s="20">
        <f>VLOOKUP(J84,'Int. Pa.'!$B$3:$C$58,2,FALSE)</f>
        <v>10</v>
      </c>
      <c r="W84" s="20">
        <f>VLOOKUP(K84,'Int. Pa.'!$B$3:$C$58,2,FALSE)</f>
        <v>1</v>
      </c>
      <c r="X84" s="20">
        <f>VLOOKUP(L84,'Int. Pa.'!$B$3:$C$58,2,FALSE)</f>
        <v>1</v>
      </c>
      <c r="Y84" s="20">
        <f>VLOOKUP(M84,'Int. Pa.'!$B$3:$C$58,2,FALSE)</f>
        <v>5</v>
      </c>
      <c r="Z84" s="20">
        <f>VLOOKUP(N84,'Int. Pa.'!$B$3:$C$58,2,FALSE)</f>
        <v>6</v>
      </c>
      <c r="AA84" s="20">
        <f t="shared" si="2"/>
        <v>3</v>
      </c>
      <c r="AB84" s="20">
        <f t="shared" si="3"/>
        <v>34.166666666666664</v>
      </c>
    </row>
    <row r="85" spans="1:28">
      <c r="A85" s="84">
        <v>2</v>
      </c>
      <c r="B85" s="81">
        <v>66203</v>
      </c>
      <c r="C85" s="82" t="s">
        <v>258</v>
      </c>
      <c r="D85" s="85">
        <v>2009</v>
      </c>
      <c r="E85" s="18" t="s">
        <v>7</v>
      </c>
      <c r="F85" s="18" t="s">
        <v>2</v>
      </c>
      <c r="G85" s="18" t="s">
        <v>88</v>
      </c>
      <c r="H85" s="18" t="s">
        <v>20</v>
      </c>
      <c r="I85" s="18" t="s">
        <v>24</v>
      </c>
      <c r="J85" s="18" t="s">
        <v>35</v>
      </c>
      <c r="K85" s="18" t="s">
        <v>38</v>
      </c>
      <c r="L85" s="18" t="s">
        <v>42</v>
      </c>
      <c r="M85" s="18" t="s">
        <v>50</v>
      </c>
      <c r="N85" s="18" t="s">
        <v>66</v>
      </c>
      <c r="O85" s="20">
        <f>2013-Table1[[#This Row],[Startup Year]]</f>
        <v>4</v>
      </c>
      <c r="P85" s="20"/>
      <c r="Q85" s="20">
        <f>VLOOKUP(E85,'Int. Pa.'!$B$3:$C$58,2,FALSE)</f>
        <v>1</v>
      </c>
      <c r="R85" s="20">
        <f>VLOOKUP(F85,'Int. Pa.'!$B$3:$C$58,2,FALSE)</f>
        <v>10</v>
      </c>
      <c r="S85" s="20">
        <f>VLOOKUP(G85,'Int. Pa.'!$B$3:$C$58,2,FALSE)</f>
        <v>0</v>
      </c>
      <c r="T85" s="20">
        <f>VLOOKUP(H85,'Int. Pa.'!$B$3:$C$58,2,FALSE)</f>
        <v>1</v>
      </c>
      <c r="U85" s="20">
        <f>VLOOKUP(I85,'Int. Pa.'!$B$3:$C$58,2,FALSE)</f>
        <v>0</v>
      </c>
      <c r="V85" s="20">
        <f>VLOOKUP(J85,'Int. Pa.'!$B$3:$C$58,2,FALSE)</f>
        <v>10</v>
      </c>
      <c r="W85" s="20">
        <f>VLOOKUP(K85,'Int. Pa.'!$B$3:$C$58,2,FALSE)</f>
        <v>1</v>
      </c>
      <c r="X85" s="20">
        <f>VLOOKUP(L85,'Int. Pa.'!$B$3:$C$58,2,FALSE)</f>
        <v>1</v>
      </c>
      <c r="Y85" s="20">
        <f>VLOOKUP(M85,'Int. Pa.'!$B$3:$C$58,2,FALSE)</f>
        <v>5</v>
      </c>
      <c r="Z85" s="20">
        <f>VLOOKUP(N85,'Int. Pa.'!$B$3:$C$58,2,FALSE)</f>
        <v>6</v>
      </c>
      <c r="AA85" s="20">
        <f t="shared" si="2"/>
        <v>1</v>
      </c>
      <c r="AB85" s="20">
        <f t="shared" si="3"/>
        <v>33.611111111111107</v>
      </c>
    </row>
    <row r="86" spans="1:28">
      <c r="A86" s="80">
        <v>2</v>
      </c>
      <c r="B86" s="81">
        <v>662100001</v>
      </c>
      <c r="C86" s="82" t="s">
        <v>709</v>
      </c>
      <c r="D86" s="83">
        <v>2000</v>
      </c>
      <c r="E86" s="18" t="s">
        <v>7</v>
      </c>
      <c r="F86" s="18" t="s">
        <v>2</v>
      </c>
      <c r="G86" s="18" t="s">
        <v>88</v>
      </c>
      <c r="H86" s="18" t="s">
        <v>20</v>
      </c>
      <c r="I86" s="18" t="s">
        <v>24</v>
      </c>
      <c r="J86" s="18" t="s">
        <v>35</v>
      </c>
      <c r="K86" s="18" t="s">
        <v>38</v>
      </c>
      <c r="L86" s="18" t="s">
        <v>42</v>
      </c>
      <c r="M86" s="18" t="s">
        <v>50</v>
      </c>
      <c r="N86" s="18" t="s">
        <v>66</v>
      </c>
      <c r="O86" s="20">
        <f>2013-Table1[[#This Row],[Startup Year]]</f>
        <v>13</v>
      </c>
      <c r="P86" s="20"/>
      <c r="Q86" s="20">
        <f>VLOOKUP(E86,'Int. Pa.'!$B$3:$C$58,2,FALSE)</f>
        <v>1</v>
      </c>
      <c r="R86" s="20">
        <f>VLOOKUP(F86,'Int. Pa.'!$B$3:$C$58,2,FALSE)</f>
        <v>10</v>
      </c>
      <c r="S86" s="20">
        <f>VLOOKUP(G86,'Int. Pa.'!$B$3:$C$58,2,FALSE)</f>
        <v>0</v>
      </c>
      <c r="T86" s="20">
        <f>VLOOKUP(H86,'Int. Pa.'!$B$3:$C$58,2,FALSE)</f>
        <v>1</v>
      </c>
      <c r="U86" s="20">
        <f>VLOOKUP(I86,'Int. Pa.'!$B$3:$C$58,2,FALSE)</f>
        <v>0</v>
      </c>
      <c r="V86" s="20">
        <f>VLOOKUP(J86,'Int. Pa.'!$B$3:$C$58,2,FALSE)</f>
        <v>10</v>
      </c>
      <c r="W86" s="20">
        <f>VLOOKUP(K86,'Int. Pa.'!$B$3:$C$58,2,FALSE)</f>
        <v>1</v>
      </c>
      <c r="X86" s="20">
        <f>VLOOKUP(L86,'Int. Pa.'!$B$3:$C$58,2,FALSE)</f>
        <v>1</v>
      </c>
      <c r="Y86" s="20">
        <f>VLOOKUP(M86,'Int. Pa.'!$B$3:$C$58,2,FALSE)</f>
        <v>5</v>
      </c>
      <c r="Z86" s="20">
        <f>VLOOKUP(N86,'Int. Pa.'!$B$3:$C$58,2,FALSE)</f>
        <v>6</v>
      </c>
      <c r="AA86" s="20">
        <f t="shared" si="2"/>
        <v>3</v>
      </c>
      <c r="AB86" s="20">
        <f t="shared" si="3"/>
        <v>34.166666666666664</v>
      </c>
    </row>
    <row r="87" spans="1:28">
      <c r="A87" s="80">
        <v>2</v>
      </c>
      <c r="B87" s="81">
        <v>66401001</v>
      </c>
      <c r="C87" s="82"/>
      <c r="D87" s="83">
        <v>2000</v>
      </c>
      <c r="E87" s="18" t="s">
        <v>7</v>
      </c>
      <c r="F87" s="18" t="s">
        <v>2</v>
      </c>
      <c r="G87" s="18" t="s">
        <v>88</v>
      </c>
      <c r="H87" s="18" t="s">
        <v>20</v>
      </c>
      <c r="I87" s="18" t="s">
        <v>24</v>
      </c>
      <c r="J87" s="18" t="s">
        <v>35</v>
      </c>
      <c r="K87" s="18" t="s">
        <v>38</v>
      </c>
      <c r="L87" s="18" t="s">
        <v>42</v>
      </c>
      <c r="M87" s="18" t="s">
        <v>50</v>
      </c>
      <c r="N87" s="18" t="s">
        <v>66</v>
      </c>
      <c r="O87" s="20">
        <f>2013-Table1[[#This Row],[Startup Year]]</f>
        <v>13</v>
      </c>
      <c r="P87" s="20"/>
      <c r="Q87" s="20">
        <f>VLOOKUP(E87,'Int. Pa.'!$B$3:$C$58,2,FALSE)</f>
        <v>1</v>
      </c>
      <c r="R87" s="20">
        <f>VLOOKUP(F87,'Int. Pa.'!$B$3:$C$58,2,FALSE)</f>
        <v>10</v>
      </c>
      <c r="S87" s="20">
        <f>VLOOKUP(G87,'Int. Pa.'!$B$3:$C$58,2,FALSE)</f>
        <v>0</v>
      </c>
      <c r="T87" s="20">
        <f>VLOOKUP(H87,'Int. Pa.'!$B$3:$C$58,2,FALSE)</f>
        <v>1</v>
      </c>
      <c r="U87" s="20">
        <f>VLOOKUP(I87,'Int. Pa.'!$B$3:$C$58,2,FALSE)</f>
        <v>0</v>
      </c>
      <c r="V87" s="20">
        <f>VLOOKUP(J87,'Int. Pa.'!$B$3:$C$58,2,FALSE)</f>
        <v>10</v>
      </c>
      <c r="W87" s="20">
        <f>VLOOKUP(K87,'Int. Pa.'!$B$3:$C$58,2,FALSE)</f>
        <v>1</v>
      </c>
      <c r="X87" s="20">
        <f>VLOOKUP(L87,'Int. Pa.'!$B$3:$C$58,2,FALSE)</f>
        <v>1</v>
      </c>
      <c r="Y87" s="20">
        <f>VLOOKUP(M87,'Int. Pa.'!$B$3:$C$58,2,FALSE)</f>
        <v>5</v>
      </c>
      <c r="Z87" s="20">
        <f>VLOOKUP(N87,'Int. Pa.'!$B$3:$C$58,2,FALSE)</f>
        <v>6</v>
      </c>
      <c r="AA87" s="20">
        <f t="shared" si="2"/>
        <v>3</v>
      </c>
      <c r="AB87" s="20">
        <f t="shared" si="3"/>
        <v>34.166666666666664</v>
      </c>
    </row>
    <row r="88" spans="1:28">
      <c r="A88" s="80">
        <v>2</v>
      </c>
      <c r="B88" s="81">
        <v>66401002</v>
      </c>
      <c r="C88" s="82" t="s">
        <v>706</v>
      </c>
      <c r="D88" s="83">
        <v>2000</v>
      </c>
      <c r="E88" s="18" t="s">
        <v>7</v>
      </c>
      <c r="F88" s="18" t="s">
        <v>2</v>
      </c>
      <c r="G88" s="18" t="s">
        <v>88</v>
      </c>
      <c r="H88" s="18" t="s">
        <v>20</v>
      </c>
      <c r="I88" s="18" t="s">
        <v>24</v>
      </c>
      <c r="J88" s="18" t="s">
        <v>35</v>
      </c>
      <c r="K88" s="18" t="s">
        <v>38</v>
      </c>
      <c r="L88" s="18" t="s">
        <v>42</v>
      </c>
      <c r="M88" s="18" t="s">
        <v>50</v>
      </c>
      <c r="N88" s="18" t="s">
        <v>66</v>
      </c>
      <c r="O88" s="20">
        <f>2013-Table1[[#This Row],[Startup Year]]</f>
        <v>13</v>
      </c>
      <c r="P88" s="20"/>
      <c r="Q88" s="20">
        <f>VLOOKUP(E88,'Int. Pa.'!$B$3:$C$58,2,FALSE)</f>
        <v>1</v>
      </c>
      <c r="R88" s="20">
        <f>VLOOKUP(F88,'Int. Pa.'!$B$3:$C$58,2,FALSE)</f>
        <v>10</v>
      </c>
      <c r="S88" s="20">
        <f>VLOOKUP(G88,'Int. Pa.'!$B$3:$C$58,2,FALSE)</f>
        <v>0</v>
      </c>
      <c r="T88" s="20">
        <f>VLOOKUP(H88,'Int. Pa.'!$B$3:$C$58,2,FALSE)</f>
        <v>1</v>
      </c>
      <c r="U88" s="20">
        <f>VLOOKUP(I88,'Int. Pa.'!$B$3:$C$58,2,FALSE)</f>
        <v>0</v>
      </c>
      <c r="V88" s="20">
        <f>VLOOKUP(J88,'Int. Pa.'!$B$3:$C$58,2,FALSE)</f>
        <v>10</v>
      </c>
      <c r="W88" s="20">
        <f>VLOOKUP(K88,'Int. Pa.'!$B$3:$C$58,2,FALSE)</f>
        <v>1</v>
      </c>
      <c r="X88" s="20">
        <f>VLOOKUP(L88,'Int. Pa.'!$B$3:$C$58,2,FALSE)</f>
        <v>1</v>
      </c>
      <c r="Y88" s="20">
        <f>VLOOKUP(M88,'Int. Pa.'!$B$3:$C$58,2,FALSE)</f>
        <v>5</v>
      </c>
      <c r="Z88" s="20">
        <f>VLOOKUP(N88,'Int. Pa.'!$B$3:$C$58,2,FALSE)</f>
        <v>6</v>
      </c>
      <c r="AA88" s="20">
        <f t="shared" si="2"/>
        <v>3</v>
      </c>
      <c r="AB88" s="20">
        <f t="shared" si="3"/>
        <v>34.166666666666664</v>
      </c>
    </row>
    <row r="89" spans="1:28">
      <c r="A89" s="80">
        <v>2</v>
      </c>
      <c r="B89" s="81">
        <v>6711</v>
      </c>
      <c r="C89" s="82"/>
      <c r="D89" s="83">
        <v>2000</v>
      </c>
      <c r="E89" s="18" t="s">
        <v>7</v>
      </c>
      <c r="F89" s="18" t="s">
        <v>2</v>
      </c>
      <c r="G89" s="18" t="s">
        <v>88</v>
      </c>
      <c r="H89" s="18" t="s">
        <v>20</v>
      </c>
      <c r="I89" s="18" t="s">
        <v>24</v>
      </c>
      <c r="J89" s="18" t="s">
        <v>35</v>
      </c>
      <c r="K89" s="18" t="s">
        <v>38</v>
      </c>
      <c r="L89" s="18" t="s">
        <v>42</v>
      </c>
      <c r="M89" s="18" t="s">
        <v>50</v>
      </c>
      <c r="N89" s="18" t="s">
        <v>66</v>
      </c>
      <c r="O89" s="20">
        <f>2013-Table1[[#This Row],[Startup Year]]</f>
        <v>13</v>
      </c>
      <c r="P89" s="20"/>
      <c r="Q89" s="20">
        <f>VLOOKUP(E89,'Int. Pa.'!$B$3:$C$58,2,FALSE)</f>
        <v>1</v>
      </c>
      <c r="R89" s="20">
        <f>VLOOKUP(F89,'Int. Pa.'!$B$3:$C$58,2,FALSE)</f>
        <v>10</v>
      </c>
      <c r="S89" s="20">
        <f>VLOOKUP(G89,'Int. Pa.'!$B$3:$C$58,2,FALSE)</f>
        <v>0</v>
      </c>
      <c r="T89" s="20">
        <f>VLOOKUP(H89,'Int. Pa.'!$B$3:$C$58,2,FALSE)</f>
        <v>1</v>
      </c>
      <c r="U89" s="20">
        <f>VLOOKUP(I89,'Int. Pa.'!$B$3:$C$58,2,FALSE)</f>
        <v>0</v>
      </c>
      <c r="V89" s="20">
        <f>VLOOKUP(J89,'Int. Pa.'!$B$3:$C$58,2,FALSE)</f>
        <v>10</v>
      </c>
      <c r="W89" s="20">
        <f>VLOOKUP(K89,'Int. Pa.'!$B$3:$C$58,2,FALSE)</f>
        <v>1</v>
      </c>
      <c r="X89" s="20">
        <f>VLOOKUP(L89,'Int. Pa.'!$B$3:$C$58,2,FALSE)</f>
        <v>1</v>
      </c>
      <c r="Y89" s="20">
        <f>VLOOKUP(M89,'Int. Pa.'!$B$3:$C$58,2,FALSE)</f>
        <v>5</v>
      </c>
      <c r="Z89" s="20">
        <f>VLOOKUP(N89,'Int. Pa.'!$B$3:$C$58,2,FALSE)</f>
        <v>6</v>
      </c>
      <c r="AA89" s="20">
        <f t="shared" si="2"/>
        <v>3</v>
      </c>
      <c r="AB89" s="20">
        <f t="shared" si="3"/>
        <v>34.166666666666664</v>
      </c>
    </row>
    <row r="90" spans="1:28">
      <c r="A90" s="80">
        <v>2</v>
      </c>
      <c r="B90" s="81"/>
      <c r="C90" s="82" t="s">
        <v>680</v>
      </c>
      <c r="D90" s="83">
        <v>2000</v>
      </c>
      <c r="E90" s="18" t="s">
        <v>7</v>
      </c>
      <c r="F90" s="18" t="s">
        <v>2</v>
      </c>
      <c r="G90" s="18" t="s">
        <v>88</v>
      </c>
      <c r="H90" s="18" t="s">
        <v>20</v>
      </c>
      <c r="I90" s="18" t="s">
        <v>24</v>
      </c>
      <c r="J90" s="18" t="s">
        <v>35</v>
      </c>
      <c r="K90" s="18" t="s">
        <v>38</v>
      </c>
      <c r="L90" s="18" t="s">
        <v>42</v>
      </c>
      <c r="M90" s="18" t="s">
        <v>50</v>
      </c>
      <c r="N90" s="18" t="s">
        <v>66</v>
      </c>
      <c r="O90" s="20">
        <f>2013-Table1[[#This Row],[Startup Year]]</f>
        <v>13</v>
      </c>
      <c r="P90" s="20"/>
      <c r="Q90" s="20">
        <f>VLOOKUP(E90,'Int. Pa.'!$B$3:$C$58,2,FALSE)</f>
        <v>1</v>
      </c>
      <c r="R90" s="20">
        <f>VLOOKUP(F90,'Int. Pa.'!$B$3:$C$58,2,FALSE)</f>
        <v>10</v>
      </c>
      <c r="S90" s="20">
        <f>VLOOKUP(G90,'Int. Pa.'!$B$3:$C$58,2,FALSE)</f>
        <v>0</v>
      </c>
      <c r="T90" s="20">
        <f>VLOOKUP(H90,'Int. Pa.'!$B$3:$C$58,2,FALSE)</f>
        <v>1</v>
      </c>
      <c r="U90" s="20">
        <f>VLOOKUP(I90,'Int. Pa.'!$B$3:$C$58,2,FALSE)</f>
        <v>0</v>
      </c>
      <c r="V90" s="20">
        <f>VLOOKUP(J90,'Int. Pa.'!$B$3:$C$58,2,FALSE)</f>
        <v>10</v>
      </c>
      <c r="W90" s="20">
        <f>VLOOKUP(K90,'Int. Pa.'!$B$3:$C$58,2,FALSE)</f>
        <v>1</v>
      </c>
      <c r="X90" s="20">
        <f>VLOOKUP(L90,'Int. Pa.'!$B$3:$C$58,2,FALSE)</f>
        <v>1</v>
      </c>
      <c r="Y90" s="20">
        <f>VLOOKUP(M90,'Int. Pa.'!$B$3:$C$58,2,FALSE)</f>
        <v>5</v>
      </c>
      <c r="Z90" s="20">
        <f>VLOOKUP(N90,'Int. Pa.'!$B$3:$C$58,2,FALSE)</f>
        <v>6</v>
      </c>
      <c r="AA90" s="20">
        <f t="shared" si="2"/>
        <v>3</v>
      </c>
      <c r="AB90" s="20">
        <f t="shared" si="3"/>
        <v>34.166666666666664</v>
      </c>
    </row>
    <row r="91" spans="1:28">
      <c r="A91" s="80">
        <v>2</v>
      </c>
      <c r="B91" s="81">
        <v>67111002</v>
      </c>
      <c r="C91" s="82" t="s">
        <v>682</v>
      </c>
      <c r="D91" s="83">
        <v>2000</v>
      </c>
      <c r="E91" s="18" t="s">
        <v>7</v>
      </c>
      <c r="F91" s="18" t="s">
        <v>2</v>
      </c>
      <c r="G91" s="18" t="s">
        <v>88</v>
      </c>
      <c r="H91" s="18" t="s">
        <v>20</v>
      </c>
      <c r="I91" s="18" t="s">
        <v>24</v>
      </c>
      <c r="J91" s="18" t="s">
        <v>35</v>
      </c>
      <c r="K91" s="18" t="s">
        <v>38</v>
      </c>
      <c r="L91" s="18" t="s">
        <v>42</v>
      </c>
      <c r="M91" s="18" t="s">
        <v>50</v>
      </c>
      <c r="N91" s="18" t="s">
        <v>66</v>
      </c>
      <c r="O91" s="20">
        <f>2013-Table1[[#This Row],[Startup Year]]</f>
        <v>13</v>
      </c>
      <c r="P91" s="20"/>
      <c r="Q91" s="20">
        <f>VLOOKUP(E91,'Int. Pa.'!$B$3:$C$58,2,FALSE)</f>
        <v>1</v>
      </c>
      <c r="R91" s="20">
        <f>VLOOKUP(F91,'Int. Pa.'!$B$3:$C$58,2,FALSE)</f>
        <v>10</v>
      </c>
      <c r="S91" s="20">
        <f>VLOOKUP(G91,'Int. Pa.'!$B$3:$C$58,2,FALSE)</f>
        <v>0</v>
      </c>
      <c r="T91" s="20">
        <f>VLOOKUP(H91,'Int. Pa.'!$B$3:$C$58,2,FALSE)</f>
        <v>1</v>
      </c>
      <c r="U91" s="20">
        <f>VLOOKUP(I91,'Int. Pa.'!$B$3:$C$58,2,FALSE)</f>
        <v>0</v>
      </c>
      <c r="V91" s="20">
        <f>VLOOKUP(J91,'Int. Pa.'!$B$3:$C$58,2,FALSE)</f>
        <v>10</v>
      </c>
      <c r="W91" s="20">
        <f>VLOOKUP(K91,'Int. Pa.'!$B$3:$C$58,2,FALSE)</f>
        <v>1</v>
      </c>
      <c r="X91" s="20">
        <f>VLOOKUP(L91,'Int. Pa.'!$B$3:$C$58,2,FALSE)</f>
        <v>1</v>
      </c>
      <c r="Y91" s="20">
        <f>VLOOKUP(M91,'Int. Pa.'!$B$3:$C$58,2,FALSE)</f>
        <v>5</v>
      </c>
      <c r="Z91" s="20">
        <f>VLOOKUP(N91,'Int. Pa.'!$B$3:$C$58,2,FALSE)</f>
        <v>6</v>
      </c>
      <c r="AA91" s="20">
        <f t="shared" si="2"/>
        <v>3</v>
      </c>
      <c r="AB91" s="20">
        <f t="shared" si="3"/>
        <v>34.166666666666664</v>
      </c>
    </row>
    <row r="92" spans="1:28">
      <c r="A92" s="80">
        <v>2</v>
      </c>
      <c r="B92" s="81">
        <v>67111003</v>
      </c>
      <c r="C92" s="82" t="s">
        <v>684</v>
      </c>
      <c r="D92" s="83">
        <v>2000</v>
      </c>
      <c r="E92" s="18" t="s">
        <v>7</v>
      </c>
      <c r="F92" s="18" t="s">
        <v>2</v>
      </c>
      <c r="G92" s="18" t="s">
        <v>88</v>
      </c>
      <c r="H92" s="18" t="s">
        <v>20</v>
      </c>
      <c r="I92" s="18" t="s">
        <v>24</v>
      </c>
      <c r="J92" s="18" t="s">
        <v>35</v>
      </c>
      <c r="K92" s="18" t="s">
        <v>38</v>
      </c>
      <c r="L92" s="18" t="s">
        <v>42</v>
      </c>
      <c r="M92" s="18" t="s">
        <v>50</v>
      </c>
      <c r="N92" s="18" t="s">
        <v>66</v>
      </c>
      <c r="O92" s="20">
        <f>2013-Table1[[#This Row],[Startup Year]]</f>
        <v>13</v>
      </c>
      <c r="P92" s="20"/>
      <c r="Q92" s="20">
        <f>VLOOKUP(E92,'Int. Pa.'!$B$3:$C$58,2,FALSE)</f>
        <v>1</v>
      </c>
      <c r="R92" s="20">
        <f>VLOOKUP(F92,'Int. Pa.'!$B$3:$C$58,2,FALSE)</f>
        <v>10</v>
      </c>
      <c r="S92" s="20">
        <f>VLOOKUP(G92,'Int. Pa.'!$B$3:$C$58,2,FALSE)</f>
        <v>0</v>
      </c>
      <c r="T92" s="20">
        <f>VLOOKUP(H92,'Int. Pa.'!$B$3:$C$58,2,FALSE)</f>
        <v>1</v>
      </c>
      <c r="U92" s="20">
        <f>VLOOKUP(I92,'Int. Pa.'!$B$3:$C$58,2,FALSE)</f>
        <v>0</v>
      </c>
      <c r="V92" s="20">
        <f>VLOOKUP(J92,'Int. Pa.'!$B$3:$C$58,2,FALSE)</f>
        <v>10</v>
      </c>
      <c r="W92" s="20">
        <f>VLOOKUP(K92,'Int. Pa.'!$B$3:$C$58,2,FALSE)</f>
        <v>1</v>
      </c>
      <c r="X92" s="20">
        <f>VLOOKUP(L92,'Int. Pa.'!$B$3:$C$58,2,FALSE)</f>
        <v>1</v>
      </c>
      <c r="Y92" s="20">
        <f>VLOOKUP(M92,'Int. Pa.'!$B$3:$C$58,2,FALSE)</f>
        <v>5</v>
      </c>
      <c r="Z92" s="20">
        <f>VLOOKUP(N92,'Int. Pa.'!$B$3:$C$58,2,FALSE)</f>
        <v>6</v>
      </c>
      <c r="AA92" s="20">
        <f t="shared" si="2"/>
        <v>3</v>
      </c>
      <c r="AB92" s="20">
        <f t="shared" si="3"/>
        <v>34.166666666666664</v>
      </c>
    </row>
    <row r="93" spans="1:28">
      <c r="A93" s="80">
        <v>2</v>
      </c>
      <c r="B93" s="81">
        <v>67111004</v>
      </c>
      <c r="C93" s="82" t="s">
        <v>686</v>
      </c>
      <c r="D93" s="83">
        <v>2000</v>
      </c>
      <c r="E93" s="18" t="s">
        <v>7</v>
      </c>
      <c r="F93" s="18" t="s">
        <v>2</v>
      </c>
      <c r="G93" s="18" t="s">
        <v>88</v>
      </c>
      <c r="H93" s="18" t="s">
        <v>20</v>
      </c>
      <c r="I93" s="18" t="s">
        <v>24</v>
      </c>
      <c r="J93" s="18" t="s">
        <v>35</v>
      </c>
      <c r="K93" s="18" t="s">
        <v>38</v>
      </c>
      <c r="L93" s="18" t="s">
        <v>42</v>
      </c>
      <c r="M93" s="18" t="s">
        <v>50</v>
      </c>
      <c r="N93" s="18" t="s">
        <v>66</v>
      </c>
      <c r="O93" s="20">
        <f>2013-Table1[[#This Row],[Startup Year]]</f>
        <v>13</v>
      </c>
      <c r="P93" s="20"/>
      <c r="Q93" s="20">
        <f>VLOOKUP(E93,'Int. Pa.'!$B$3:$C$58,2,FALSE)</f>
        <v>1</v>
      </c>
      <c r="R93" s="20">
        <f>VLOOKUP(F93,'Int. Pa.'!$B$3:$C$58,2,FALSE)</f>
        <v>10</v>
      </c>
      <c r="S93" s="20">
        <f>VLOOKUP(G93,'Int. Pa.'!$B$3:$C$58,2,FALSE)</f>
        <v>0</v>
      </c>
      <c r="T93" s="20">
        <f>VLOOKUP(H93,'Int. Pa.'!$B$3:$C$58,2,FALSE)</f>
        <v>1</v>
      </c>
      <c r="U93" s="20">
        <f>VLOOKUP(I93,'Int. Pa.'!$B$3:$C$58,2,FALSE)</f>
        <v>0</v>
      </c>
      <c r="V93" s="20">
        <f>VLOOKUP(J93,'Int. Pa.'!$B$3:$C$58,2,FALSE)</f>
        <v>10</v>
      </c>
      <c r="W93" s="20">
        <f>VLOOKUP(K93,'Int. Pa.'!$B$3:$C$58,2,FALSE)</f>
        <v>1</v>
      </c>
      <c r="X93" s="20">
        <f>VLOOKUP(L93,'Int. Pa.'!$B$3:$C$58,2,FALSE)</f>
        <v>1</v>
      </c>
      <c r="Y93" s="20">
        <f>VLOOKUP(M93,'Int. Pa.'!$B$3:$C$58,2,FALSE)</f>
        <v>5</v>
      </c>
      <c r="Z93" s="20">
        <f>VLOOKUP(N93,'Int. Pa.'!$B$3:$C$58,2,FALSE)</f>
        <v>6</v>
      </c>
      <c r="AA93" s="20">
        <f t="shared" si="2"/>
        <v>3</v>
      </c>
      <c r="AB93" s="20">
        <f t="shared" si="3"/>
        <v>34.166666666666664</v>
      </c>
    </row>
    <row r="94" spans="1:28">
      <c r="A94" s="80">
        <v>2</v>
      </c>
      <c r="B94" s="81">
        <v>6712</v>
      </c>
      <c r="C94" s="82" t="s">
        <v>668</v>
      </c>
      <c r="D94" s="83">
        <v>2000</v>
      </c>
      <c r="E94" s="18" t="s">
        <v>7</v>
      </c>
      <c r="F94" s="18" t="s">
        <v>2</v>
      </c>
      <c r="G94" s="18" t="s">
        <v>88</v>
      </c>
      <c r="H94" s="18" t="s">
        <v>20</v>
      </c>
      <c r="I94" s="18" t="s">
        <v>24</v>
      </c>
      <c r="J94" s="18" t="s">
        <v>35</v>
      </c>
      <c r="K94" s="18" t="s">
        <v>38</v>
      </c>
      <c r="L94" s="18" t="s">
        <v>42</v>
      </c>
      <c r="M94" s="18" t="s">
        <v>50</v>
      </c>
      <c r="N94" s="18" t="s">
        <v>66</v>
      </c>
      <c r="O94" s="20">
        <f>2013-Table1[[#This Row],[Startup Year]]</f>
        <v>13</v>
      </c>
      <c r="P94" s="20"/>
      <c r="Q94" s="20">
        <f>VLOOKUP(E94,'Int. Pa.'!$B$3:$C$58,2,FALSE)</f>
        <v>1</v>
      </c>
      <c r="R94" s="20">
        <f>VLOOKUP(F94,'Int. Pa.'!$B$3:$C$58,2,FALSE)</f>
        <v>10</v>
      </c>
      <c r="S94" s="20">
        <f>VLOOKUP(G94,'Int. Pa.'!$B$3:$C$58,2,FALSE)</f>
        <v>0</v>
      </c>
      <c r="T94" s="20">
        <f>VLOOKUP(H94,'Int. Pa.'!$B$3:$C$58,2,FALSE)</f>
        <v>1</v>
      </c>
      <c r="U94" s="20">
        <f>VLOOKUP(I94,'Int. Pa.'!$B$3:$C$58,2,FALSE)</f>
        <v>0</v>
      </c>
      <c r="V94" s="20">
        <f>VLOOKUP(J94,'Int. Pa.'!$B$3:$C$58,2,FALSE)</f>
        <v>10</v>
      </c>
      <c r="W94" s="20">
        <f>VLOOKUP(K94,'Int. Pa.'!$B$3:$C$58,2,FALSE)</f>
        <v>1</v>
      </c>
      <c r="X94" s="20">
        <f>VLOOKUP(L94,'Int. Pa.'!$B$3:$C$58,2,FALSE)</f>
        <v>1</v>
      </c>
      <c r="Y94" s="20">
        <f>VLOOKUP(M94,'Int. Pa.'!$B$3:$C$58,2,FALSE)</f>
        <v>5</v>
      </c>
      <c r="Z94" s="20">
        <f>VLOOKUP(N94,'Int. Pa.'!$B$3:$C$58,2,FALSE)</f>
        <v>6</v>
      </c>
      <c r="AA94" s="20">
        <f t="shared" si="2"/>
        <v>3</v>
      </c>
      <c r="AB94" s="20">
        <f t="shared" si="3"/>
        <v>34.166666666666664</v>
      </c>
    </row>
    <row r="95" spans="1:28">
      <c r="A95" s="84">
        <v>2</v>
      </c>
      <c r="B95" s="81">
        <v>67111</v>
      </c>
      <c r="C95" s="82" t="s">
        <v>259</v>
      </c>
      <c r="D95" s="85">
        <v>2013</v>
      </c>
      <c r="E95" s="18" t="s">
        <v>7</v>
      </c>
      <c r="F95" s="18" t="s">
        <v>2</v>
      </c>
      <c r="G95" s="18" t="s">
        <v>88</v>
      </c>
      <c r="H95" s="18" t="s">
        <v>20</v>
      </c>
      <c r="I95" s="18" t="s">
        <v>24</v>
      </c>
      <c r="J95" s="18" t="s">
        <v>35</v>
      </c>
      <c r="K95" s="18" t="s">
        <v>38</v>
      </c>
      <c r="L95" s="18" t="s">
        <v>42</v>
      </c>
      <c r="M95" s="18" t="s">
        <v>50</v>
      </c>
      <c r="N95" s="18" t="s">
        <v>66</v>
      </c>
      <c r="O95" s="20">
        <f>2013-Table1[[#This Row],[Startup Year]]</f>
        <v>0</v>
      </c>
      <c r="P95" s="20"/>
      <c r="Q95" s="20">
        <f>VLOOKUP(E95,'Int. Pa.'!$B$3:$C$58,2,FALSE)</f>
        <v>1</v>
      </c>
      <c r="R95" s="20">
        <f>VLOOKUP(F95,'Int. Pa.'!$B$3:$C$58,2,FALSE)</f>
        <v>10</v>
      </c>
      <c r="S95" s="20">
        <f>VLOOKUP(G95,'Int. Pa.'!$B$3:$C$58,2,FALSE)</f>
        <v>0</v>
      </c>
      <c r="T95" s="20">
        <f>VLOOKUP(H95,'Int. Pa.'!$B$3:$C$58,2,FALSE)</f>
        <v>1</v>
      </c>
      <c r="U95" s="20">
        <f>VLOOKUP(I95,'Int. Pa.'!$B$3:$C$58,2,FALSE)</f>
        <v>0</v>
      </c>
      <c r="V95" s="20">
        <f>VLOOKUP(J95,'Int. Pa.'!$B$3:$C$58,2,FALSE)</f>
        <v>10</v>
      </c>
      <c r="W95" s="20">
        <f>VLOOKUP(K95,'Int. Pa.'!$B$3:$C$58,2,FALSE)</f>
        <v>1</v>
      </c>
      <c r="X95" s="20">
        <f>VLOOKUP(L95,'Int. Pa.'!$B$3:$C$58,2,FALSE)</f>
        <v>1</v>
      </c>
      <c r="Y95" s="20">
        <f>VLOOKUP(M95,'Int. Pa.'!$B$3:$C$58,2,FALSE)</f>
        <v>5</v>
      </c>
      <c r="Z95" s="20">
        <f>VLOOKUP(N95,'Int. Pa.'!$B$3:$C$58,2,FALSE)</f>
        <v>6</v>
      </c>
      <c r="AA95" s="20">
        <f t="shared" si="2"/>
        <v>0</v>
      </c>
      <c r="AB95" s="20">
        <f t="shared" si="3"/>
        <v>33.333333333333329</v>
      </c>
    </row>
    <row r="96" spans="1:28">
      <c r="A96" s="84">
        <v>2</v>
      </c>
      <c r="B96" s="81">
        <v>67121</v>
      </c>
      <c r="C96" s="82" t="s">
        <v>260</v>
      </c>
      <c r="D96" s="85">
        <v>2013</v>
      </c>
      <c r="E96" s="18" t="s">
        <v>7</v>
      </c>
      <c r="F96" s="18" t="s">
        <v>2</v>
      </c>
      <c r="G96" s="18" t="s">
        <v>88</v>
      </c>
      <c r="H96" s="18" t="s">
        <v>20</v>
      </c>
      <c r="I96" s="18" t="s">
        <v>24</v>
      </c>
      <c r="J96" s="18" t="s">
        <v>35</v>
      </c>
      <c r="K96" s="18" t="s">
        <v>38</v>
      </c>
      <c r="L96" s="18" t="s">
        <v>42</v>
      </c>
      <c r="M96" s="18" t="s">
        <v>50</v>
      </c>
      <c r="N96" s="18" t="s">
        <v>66</v>
      </c>
      <c r="O96" s="20">
        <f>2013-Table1[[#This Row],[Startup Year]]</f>
        <v>0</v>
      </c>
      <c r="P96" s="20"/>
      <c r="Q96" s="20">
        <f>VLOOKUP(E96,'Int. Pa.'!$B$3:$C$58,2,FALSE)</f>
        <v>1</v>
      </c>
      <c r="R96" s="20">
        <f>VLOOKUP(F96,'Int. Pa.'!$B$3:$C$58,2,FALSE)</f>
        <v>10</v>
      </c>
      <c r="S96" s="20">
        <f>VLOOKUP(G96,'Int. Pa.'!$B$3:$C$58,2,FALSE)</f>
        <v>0</v>
      </c>
      <c r="T96" s="20">
        <f>VLOOKUP(H96,'Int. Pa.'!$B$3:$C$58,2,FALSE)</f>
        <v>1</v>
      </c>
      <c r="U96" s="20">
        <f>VLOOKUP(I96,'Int. Pa.'!$B$3:$C$58,2,FALSE)</f>
        <v>0</v>
      </c>
      <c r="V96" s="20">
        <f>VLOOKUP(J96,'Int. Pa.'!$B$3:$C$58,2,FALSE)</f>
        <v>10</v>
      </c>
      <c r="W96" s="20">
        <f>VLOOKUP(K96,'Int. Pa.'!$B$3:$C$58,2,FALSE)</f>
        <v>1</v>
      </c>
      <c r="X96" s="20">
        <f>VLOOKUP(L96,'Int. Pa.'!$B$3:$C$58,2,FALSE)</f>
        <v>1</v>
      </c>
      <c r="Y96" s="20">
        <f>VLOOKUP(M96,'Int. Pa.'!$B$3:$C$58,2,FALSE)</f>
        <v>5</v>
      </c>
      <c r="Z96" s="20">
        <f>VLOOKUP(N96,'Int. Pa.'!$B$3:$C$58,2,FALSE)</f>
        <v>6</v>
      </c>
      <c r="AA96" s="20">
        <f t="shared" si="2"/>
        <v>0</v>
      </c>
      <c r="AB96" s="20">
        <f t="shared" si="3"/>
        <v>33.333333333333329</v>
      </c>
    </row>
    <row r="97" spans="1:28">
      <c r="A97" s="84">
        <v>2</v>
      </c>
      <c r="B97" s="81">
        <v>67121</v>
      </c>
      <c r="C97" s="82" t="s">
        <v>669</v>
      </c>
      <c r="D97" s="83">
        <v>2000</v>
      </c>
      <c r="E97" s="18" t="s">
        <v>7</v>
      </c>
      <c r="F97" s="18" t="s">
        <v>2</v>
      </c>
      <c r="G97" s="18" t="s">
        <v>88</v>
      </c>
      <c r="H97" s="18" t="s">
        <v>20</v>
      </c>
      <c r="I97" s="18" t="s">
        <v>24</v>
      </c>
      <c r="J97" s="18" t="s">
        <v>35</v>
      </c>
      <c r="K97" s="18" t="s">
        <v>38</v>
      </c>
      <c r="L97" s="18" t="s">
        <v>42</v>
      </c>
      <c r="M97" s="18" t="s">
        <v>50</v>
      </c>
      <c r="N97" s="18" t="s">
        <v>66</v>
      </c>
      <c r="O97" s="20">
        <f>2013-Table1[[#This Row],[Startup Year]]</f>
        <v>13</v>
      </c>
      <c r="P97" s="20"/>
      <c r="Q97" s="20">
        <f>VLOOKUP(E97,'Int. Pa.'!$B$3:$C$58,2,FALSE)</f>
        <v>1</v>
      </c>
      <c r="R97" s="20">
        <f>VLOOKUP(F97,'Int. Pa.'!$B$3:$C$58,2,FALSE)</f>
        <v>10</v>
      </c>
      <c r="S97" s="20">
        <f>VLOOKUP(G97,'Int. Pa.'!$B$3:$C$58,2,FALSE)</f>
        <v>0</v>
      </c>
      <c r="T97" s="20">
        <f>VLOOKUP(H97,'Int. Pa.'!$B$3:$C$58,2,FALSE)</f>
        <v>1</v>
      </c>
      <c r="U97" s="20">
        <f>VLOOKUP(I97,'Int. Pa.'!$B$3:$C$58,2,FALSE)</f>
        <v>0</v>
      </c>
      <c r="V97" s="20">
        <f>VLOOKUP(J97,'Int. Pa.'!$B$3:$C$58,2,FALSE)</f>
        <v>10</v>
      </c>
      <c r="W97" s="20">
        <f>VLOOKUP(K97,'Int. Pa.'!$B$3:$C$58,2,FALSE)</f>
        <v>1</v>
      </c>
      <c r="X97" s="20">
        <f>VLOOKUP(L97,'Int. Pa.'!$B$3:$C$58,2,FALSE)</f>
        <v>1</v>
      </c>
      <c r="Y97" s="20">
        <f>VLOOKUP(M97,'Int. Pa.'!$B$3:$C$58,2,FALSE)</f>
        <v>5</v>
      </c>
      <c r="Z97" s="20">
        <f>VLOOKUP(N97,'Int. Pa.'!$B$3:$C$58,2,FALSE)</f>
        <v>6</v>
      </c>
      <c r="AA97" s="20">
        <f t="shared" si="2"/>
        <v>3</v>
      </c>
      <c r="AB97" s="20">
        <f t="shared" si="3"/>
        <v>34.166666666666664</v>
      </c>
    </row>
    <row r="98" spans="1:28">
      <c r="A98" s="84">
        <v>2</v>
      </c>
      <c r="B98" s="81">
        <v>67121</v>
      </c>
      <c r="C98" s="82" t="s">
        <v>670</v>
      </c>
      <c r="D98" s="83">
        <v>2000</v>
      </c>
      <c r="E98" s="18" t="s">
        <v>7</v>
      </c>
      <c r="F98" s="18" t="s">
        <v>2</v>
      </c>
      <c r="G98" s="18" t="s">
        <v>88</v>
      </c>
      <c r="H98" s="18" t="s">
        <v>20</v>
      </c>
      <c r="I98" s="18" t="s">
        <v>24</v>
      </c>
      <c r="J98" s="18" t="s">
        <v>35</v>
      </c>
      <c r="K98" s="18" t="s">
        <v>38</v>
      </c>
      <c r="L98" s="18" t="s">
        <v>42</v>
      </c>
      <c r="M98" s="18" t="s">
        <v>50</v>
      </c>
      <c r="N98" s="18" t="s">
        <v>66</v>
      </c>
      <c r="O98" s="20">
        <f>2013-Table1[[#This Row],[Startup Year]]</f>
        <v>13</v>
      </c>
      <c r="P98" s="20"/>
      <c r="Q98" s="20">
        <f>VLOOKUP(E98,'Int. Pa.'!$B$3:$C$58,2,FALSE)</f>
        <v>1</v>
      </c>
      <c r="R98" s="20">
        <f>VLOOKUP(F98,'Int. Pa.'!$B$3:$C$58,2,FALSE)</f>
        <v>10</v>
      </c>
      <c r="S98" s="20">
        <f>VLOOKUP(G98,'Int. Pa.'!$B$3:$C$58,2,FALSE)</f>
        <v>0</v>
      </c>
      <c r="T98" s="20">
        <f>VLOOKUP(H98,'Int. Pa.'!$B$3:$C$58,2,FALSE)</f>
        <v>1</v>
      </c>
      <c r="U98" s="20">
        <f>VLOOKUP(I98,'Int. Pa.'!$B$3:$C$58,2,FALSE)</f>
        <v>0</v>
      </c>
      <c r="V98" s="20">
        <f>VLOOKUP(J98,'Int. Pa.'!$B$3:$C$58,2,FALSE)</f>
        <v>10</v>
      </c>
      <c r="W98" s="20">
        <f>VLOOKUP(K98,'Int. Pa.'!$B$3:$C$58,2,FALSE)</f>
        <v>1</v>
      </c>
      <c r="X98" s="20">
        <f>VLOOKUP(L98,'Int. Pa.'!$B$3:$C$58,2,FALSE)</f>
        <v>1</v>
      </c>
      <c r="Y98" s="20">
        <f>VLOOKUP(M98,'Int. Pa.'!$B$3:$C$58,2,FALSE)</f>
        <v>5</v>
      </c>
      <c r="Z98" s="20">
        <f>VLOOKUP(N98,'Int. Pa.'!$B$3:$C$58,2,FALSE)</f>
        <v>6</v>
      </c>
      <c r="AA98" s="20">
        <f t="shared" si="2"/>
        <v>3</v>
      </c>
      <c r="AB98" s="20">
        <f t="shared" si="3"/>
        <v>34.166666666666664</v>
      </c>
    </row>
    <row r="99" spans="1:28">
      <c r="A99" s="80">
        <v>2</v>
      </c>
      <c r="B99" s="81">
        <v>6712101</v>
      </c>
      <c r="C99" s="82" t="s">
        <v>674</v>
      </c>
      <c r="D99" s="83">
        <v>2000</v>
      </c>
      <c r="E99" s="18" t="s">
        <v>7</v>
      </c>
      <c r="F99" s="18" t="s">
        <v>2</v>
      </c>
      <c r="G99" s="18" t="s">
        <v>88</v>
      </c>
      <c r="H99" s="18" t="s">
        <v>20</v>
      </c>
      <c r="I99" s="18" t="s">
        <v>24</v>
      </c>
      <c r="J99" s="18" t="s">
        <v>35</v>
      </c>
      <c r="K99" s="18" t="s">
        <v>38</v>
      </c>
      <c r="L99" s="18" t="s">
        <v>42</v>
      </c>
      <c r="M99" s="18" t="s">
        <v>50</v>
      </c>
      <c r="N99" s="18" t="s">
        <v>66</v>
      </c>
      <c r="O99" s="20">
        <f>2013-Table1[[#This Row],[Startup Year]]</f>
        <v>13</v>
      </c>
      <c r="P99" s="20"/>
      <c r="Q99" s="20">
        <f>VLOOKUP(E99,'Int. Pa.'!$B$3:$C$58,2,FALSE)</f>
        <v>1</v>
      </c>
      <c r="R99" s="20">
        <f>VLOOKUP(F99,'Int. Pa.'!$B$3:$C$58,2,FALSE)</f>
        <v>10</v>
      </c>
      <c r="S99" s="20">
        <f>VLOOKUP(G99,'Int. Pa.'!$B$3:$C$58,2,FALSE)</f>
        <v>0</v>
      </c>
      <c r="T99" s="20">
        <f>VLOOKUP(H99,'Int. Pa.'!$B$3:$C$58,2,FALSE)</f>
        <v>1</v>
      </c>
      <c r="U99" s="20">
        <f>VLOOKUP(I99,'Int. Pa.'!$B$3:$C$58,2,FALSE)</f>
        <v>0</v>
      </c>
      <c r="V99" s="20">
        <f>VLOOKUP(J99,'Int. Pa.'!$B$3:$C$58,2,FALSE)</f>
        <v>10</v>
      </c>
      <c r="W99" s="20">
        <f>VLOOKUP(K99,'Int. Pa.'!$B$3:$C$58,2,FALSE)</f>
        <v>1</v>
      </c>
      <c r="X99" s="20">
        <f>VLOOKUP(L99,'Int. Pa.'!$B$3:$C$58,2,FALSE)</f>
        <v>1</v>
      </c>
      <c r="Y99" s="20">
        <f>VLOOKUP(M99,'Int. Pa.'!$B$3:$C$58,2,FALSE)</f>
        <v>5</v>
      </c>
      <c r="Z99" s="20">
        <f>VLOOKUP(N99,'Int. Pa.'!$B$3:$C$58,2,FALSE)</f>
        <v>6</v>
      </c>
      <c r="AA99" s="20">
        <f t="shared" si="2"/>
        <v>3</v>
      </c>
      <c r="AB99" s="20">
        <f t="shared" si="3"/>
        <v>34.166666666666664</v>
      </c>
    </row>
    <row r="100" spans="1:28">
      <c r="A100" s="80">
        <v>2</v>
      </c>
      <c r="B100" s="81">
        <v>671210103</v>
      </c>
      <c r="C100" s="82" t="s">
        <v>694</v>
      </c>
      <c r="D100" s="83">
        <v>2000</v>
      </c>
      <c r="E100" s="18" t="s">
        <v>7</v>
      </c>
      <c r="F100" s="18" t="s">
        <v>2</v>
      </c>
      <c r="G100" s="18" t="s">
        <v>88</v>
      </c>
      <c r="H100" s="18" t="s">
        <v>20</v>
      </c>
      <c r="I100" s="18" t="s">
        <v>24</v>
      </c>
      <c r="J100" s="18" t="s">
        <v>35</v>
      </c>
      <c r="K100" s="18" t="s">
        <v>38</v>
      </c>
      <c r="L100" s="18" t="s">
        <v>42</v>
      </c>
      <c r="M100" s="18" t="s">
        <v>50</v>
      </c>
      <c r="N100" s="18" t="s">
        <v>66</v>
      </c>
      <c r="O100" s="20">
        <f>2013-Table1[[#This Row],[Startup Year]]</f>
        <v>13</v>
      </c>
      <c r="P100" s="20"/>
      <c r="Q100" s="20">
        <f>VLOOKUP(E100,'Int. Pa.'!$B$3:$C$58,2,FALSE)</f>
        <v>1</v>
      </c>
      <c r="R100" s="20">
        <f>VLOOKUP(F100,'Int. Pa.'!$B$3:$C$58,2,FALSE)</f>
        <v>10</v>
      </c>
      <c r="S100" s="20">
        <f>VLOOKUP(G100,'Int. Pa.'!$B$3:$C$58,2,FALSE)</f>
        <v>0</v>
      </c>
      <c r="T100" s="20">
        <f>VLOOKUP(H100,'Int. Pa.'!$B$3:$C$58,2,FALSE)</f>
        <v>1</v>
      </c>
      <c r="U100" s="20">
        <f>VLOOKUP(I100,'Int. Pa.'!$B$3:$C$58,2,FALSE)</f>
        <v>0</v>
      </c>
      <c r="V100" s="20">
        <f>VLOOKUP(J100,'Int. Pa.'!$B$3:$C$58,2,FALSE)</f>
        <v>10</v>
      </c>
      <c r="W100" s="20">
        <f>VLOOKUP(K100,'Int. Pa.'!$B$3:$C$58,2,FALSE)</f>
        <v>1</v>
      </c>
      <c r="X100" s="20">
        <f>VLOOKUP(L100,'Int. Pa.'!$B$3:$C$58,2,FALSE)</f>
        <v>1</v>
      </c>
      <c r="Y100" s="20">
        <f>VLOOKUP(M100,'Int. Pa.'!$B$3:$C$58,2,FALSE)</f>
        <v>5</v>
      </c>
      <c r="Z100" s="20">
        <f>VLOOKUP(N100,'Int. Pa.'!$B$3:$C$58,2,FALSE)</f>
        <v>6</v>
      </c>
      <c r="AA100" s="20">
        <f t="shared" si="2"/>
        <v>3</v>
      </c>
      <c r="AB100" s="20">
        <f t="shared" si="3"/>
        <v>34.166666666666664</v>
      </c>
    </row>
    <row r="101" spans="1:28">
      <c r="A101" s="80">
        <v>2</v>
      </c>
      <c r="B101" s="81">
        <v>671210104</v>
      </c>
      <c r="C101" s="82" t="s">
        <v>696</v>
      </c>
      <c r="D101" s="83">
        <v>2000</v>
      </c>
      <c r="E101" s="18" t="s">
        <v>7</v>
      </c>
      <c r="F101" s="18" t="s">
        <v>2</v>
      </c>
      <c r="G101" s="18" t="s">
        <v>88</v>
      </c>
      <c r="H101" s="18" t="s">
        <v>20</v>
      </c>
      <c r="I101" s="18" t="s">
        <v>24</v>
      </c>
      <c r="J101" s="18" t="s">
        <v>35</v>
      </c>
      <c r="K101" s="18" t="s">
        <v>38</v>
      </c>
      <c r="L101" s="18" t="s">
        <v>42</v>
      </c>
      <c r="M101" s="18" t="s">
        <v>50</v>
      </c>
      <c r="N101" s="18" t="s">
        <v>66</v>
      </c>
      <c r="O101" s="20">
        <f>2013-Table1[[#This Row],[Startup Year]]</f>
        <v>13</v>
      </c>
      <c r="P101" s="20"/>
      <c r="Q101" s="20">
        <f>VLOOKUP(E101,'Int. Pa.'!$B$3:$C$58,2,FALSE)</f>
        <v>1</v>
      </c>
      <c r="R101" s="20">
        <f>VLOOKUP(F101,'Int. Pa.'!$B$3:$C$58,2,FALSE)</f>
        <v>10</v>
      </c>
      <c r="S101" s="20">
        <f>VLOOKUP(G101,'Int. Pa.'!$B$3:$C$58,2,FALSE)</f>
        <v>0</v>
      </c>
      <c r="T101" s="20">
        <f>VLOOKUP(H101,'Int. Pa.'!$B$3:$C$58,2,FALSE)</f>
        <v>1</v>
      </c>
      <c r="U101" s="20">
        <f>VLOOKUP(I101,'Int. Pa.'!$B$3:$C$58,2,FALSE)</f>
        <v>0</v>
      </c>
      <c r="V101" s="20">
        <f>VLOOKUP(J101,'Int. Pa.'!$B$3:$C$58,2,FALSE)</f>
        <v>10</v>
      </c>
      <c r="W101" s="20">
        <f>VLOOKUP(K101,'Int. Pa.'!$B$3:$C$58,2,FALSE)</f>
        <v>1</v>
      </c>
      <c r="X101" s="20">
        <f>VLOOKUP(L101,'Int. Pa.'!$B$3:$C$58,2,FALSE)</f>
        <v>1</v>
      </c>
      <c r="Y101" s="20">
        <f>VLOOKUP(M101,'Int. Pa.'!$B$3:$C$58,2,FALSE)</f>
        <v>5</v>
      </c>
      <c r="Z101" s="20">
        <f>VLOOKUP(N101,'Int. Pa.'!$B$3:$C$58,2,FALSE)</f>
        <v>6</v>
      </c>
      <c r="AA101" s="20">
        <f t="shared" si="2"/>
        <v>3</v>
      </c>
      <c r="AB101" s="20">
        <f t="shared" si="3"/>
        <v>34.166666666666664</v>
      </c>
    </row>
    <row r="102" spans="1:28">
      <c r="A102" s="80">
        <v>2</v>
      </c>
      <c r="B102" s="81">
        <v>6712102</v>
      </c>
      <c r="C102" s="82"/>
      <c r="D102" s="83">
        <v>2000</v>
      </c>
      <c r="E102" s="18" t="s">
        <v>7</v>
      </c>
      <c r="F102" s="18" t="s">
        <v>2</v>
      </c>
      <c r="G102" s="18" t="s">
        <v>88</v>
      </c>
      <c r="H102" s="18" t="s">
        <v>20</v>
      </c>
      <c r="I102" s="18" t="s">
        <v>24</v>
      </c>
      <c r="J102" s="18" t="s">
        <v>35</v>
      </c>
      <c r="K102" s="18" t="s">
        <v>38</v>
      </c>
      <c r="L102" s="18" t="s">
        <v>42</v>
      </c>
      <c r="M102" s="18" t="s">
        <v>50</v>
      </c>
      <c r="N102" s="18" t="s">
        <v>66</v>
      </c>
      <c r="O102" s="20">
        <f>2013-Table1[[#This Row],[Startup Year]]</f>
        <v>13</v>
      </c>
      <c r="P102" s="20"/>
      <c r="Q102" s="20">
        <f>VLOOKUP(E102,'Int. Pa.'!$B$3:$C$58,2,FALSE)</f>
        <v>1</v>
      </c>
      <c r="R102" s="20">
        <f>VLOOKUP(F102,'Int. Pa.'!$B$3:$C$58,2,FALSE)</f>
        <v>10</v>
      </c>
      <c r="S102" s="20">
        <f>VLOOKUP(G102,'Int. Pa.'!$B$3:$C$58,2,FALSE)</f>
        <v>0</v>
      </c>
      <c r="T102" s="20">
        <f>VLOOKUP(H102,'Int. Pa.'!$B$3:$C$58,2,FALSE)</f>
        <v>1</v>
      </c>
      <c r="U102" s="20">
        <f>VLOOKUP(I102,'Int. Pa.'!$B$3:$C$58,2,FALSE)</f>
        <v>0</v>
      </c>
      <c r="V102" s="20">
        <f>VLOOKUP(J102,'Int. Pa.'!$B$3:$C$58,2,FALSE)</f>
        <v>10</v>
      </c>
      <c r="W102" s="20">
        <f>VLOOKUP(K102,'Int. Pa.'!$B$3:$C$58,2,FALSE)</f>
        <v>1</v>
      </c>
      <c r="X102" s="20">
        <f>VLOOKUP(L102,'Int. Pa.'!$B$3:$C$58,2,FALSE)</f>
        <v>1</v>
      </c>
      <c r="Y102" s="20">
        <f>VLOOKUP(M102,'Int. Pa.'!$B$3:$C$58,2,FALSE)</f>
        <v>5</v>
      </c>
      <c r="Z102" s="20">
        <f>VLOOKUP(N102,'Int. Pa.'!$B$3:$C$58,2,FALSE)</f>
        <v>6</v>
      </c>
      <c r="AA102" s="20">
        <f t="shared" si="2"/>
        <v>3</v>
      </c>
      <c r="AB102" s="20">
        <f t="shared" si="3"/>
        <v>34.166666666666664</v>
      </c>
    </row>
    <row r="103" spans="1:28">
      <c r="A103" s="80">
        <v>2</v>
      </c>
      <c r="B103" s="81">
        <v>671210201</v>
      </c>
      <c r="C103" s="82" t="s">
        <v>698</v>
      </c>
      <c r="D103" s="83">
        <v>2000</v>
      </c>
      <c r="E103" s="18" t="s">
        <v>7</v>
      </c>
      <c r="F103" s="18" t="s">
        <v>2</v>
      </c>
      <c r="G103" s="18" t="s">
        <v>88</v>
      </c>
      <c r="H103" s="18" t="s">
        <v>20</v>
      </c>
      <c r="I103" s="18" t="s">
        <v>24</v>
      </c>
      <c r="J103" s="18" t="s">
        <v>35</v>
      </c>
      <c r="K103" s="18" t="s">
        <v>38</v>
      </c>
      <c r="L103" s="18" t="s">
        <v>42</v>
      </c>
      <c r="M103" s="18" t="s">
        <v>50</v>
      </c>
      <c r="N103" s="18" t="s">
        <v>66</v>
      </c>
      <c r="O103" s="20">
        <f>2013-Table1[[#This Row],[Startup Year]]</f>
        <v>13</v>
      </c>
      <c r="P103" s="20"/>
      <c r="Q103" s="20">
        <f>VLOOKUP(E103,'Int. Pa.'!$B$3:$C$58,2,FALSE)</f>
        <v>1</v>
      </c>
      <c r="R103" s="20">
        <f>VLOOKUP(F103,'Int. Pa.'!$B$3:$C$58,2,FALSE)</f>
        <v>10</v>
      </c>
      <c r="S103" s="20">
        <f>VLOOKUP(G103,'Int. Pa.'!$B$3:$C$58,2,FALSE)</f>
        <v>0</v>
      </c>
      <c r="T103" s="20">
        <f>VLOOKUP(H103,'Int. Pa.'!$B$3:$C$58,2,FALSE)</f>
        <v>1</v>
      </c>
      <c r="U103" s="20">
        <f>VLOOKUP(I103,'Int. Pa.'!$B$3:$C$58,2,FALSE)</f>
        <v>0</v>
      </c>
      <c r="V103" s="20">
        <f>VLOOKUP(J103,'Int. Pa.'!$B$3:$C$58,2,FALSE)</f>
        <v>10</v>
      </c>
      <c r="W103" s="20">
        <f>VLOOKUP(K103,'Int. Pa.'!$B$3:$C$58,2,FALSE)</f>
        <v>1</v>
      </c>
      <c r="X103" s="20">
        <f>VLOOKUP(L103,'Int. Pa.'!$B$3:$C$58,2,FALSE)</f>
        <v>1</v>
      </c>
      <c r="Y103" s="20">
        <f>VLOOKUP(M103,'Int. Pa.'!$B$3:$C$58,2,FALSE)</f>
        <v>5</v>
      </c>
      <c r="Z103" s="20">
        <f>VLOOKUP(N103,'Int. Pa.'!$B$3:$C$58,2,FALSE)</f>
        <v>6</v>
      </c>
      <c r="AA103" s="20">
        <f t="shared" si="2"/>
        <v>3</v>
      </c>
      <c r="AB103" s="20">
        <f t="shared" si="3"/>
        <v>34.166666666666664</v>
      </c>
    </row>
    <row r="104" spans="1:28">
      <c r="A104" s="80">
        <v>2</v>
      </c>
      <c r="B104" s="81">
        <v>671210202</v>
      </c>
      <c r="C104" s="82" t="s">
        <v>700</v>
      </c>
      <c r="D104" s="83">
        <v>2000</v>
      </c>
      <c r="E104" s="18" t="s">
        <v>7</v>
      </c>
      <c r="F104" s="18" t="s">
        <v>2</v>
      </c>
      <c r="G104" s="18" t="s">
        <v>88</v>
      </c>
      <c r="H104" s="18" t="s">
        <v>20</v>
      </c>
      <c r="I104" s="18" t="s">
        <v>24</v>
      </c>
      <c r="J104" s="18" t="s">
        <v>35</v>
      </c>
      <c r="K104" s="18" t="s">
        <v>38</v>
      </c>
      <c r="L104" s="18" t="s">
        <v>42</v>
      </c>
      <c r="M104" s="18" t="s">
        <v>50</v>
      </c>
      <c r="N104" s="18" t="s">
        <v>66</v>
      </c>
      <c r="O104" s="20">
        <f>2013-Table1[[#This Row],[Startup Year]]</f>
        <v>13</v>
      </c>
      <c r="P104" s="20"/>
      <c r="Q104" s="20">
        <f>VLOOKUP(E104,'Int. Pa.'!$B$3:$C$58,2,FALSE)</f>
        <v>1</v>
      </c>
      <c r="R104" s="20">
        <f>VLOOKUP(F104,'Int. Pa.'!$B$3:$C$58,2,FALSE)</f>
        <v>10</v>
      </c>
      <c r="S104" s="20">
        <f>VLOOKUP(G104,'Int. Pa.'!$B$3:$C$58,2,FALSE)</f>
        <v>0</v>
      </c>
      <c r="T104" s="20">
        <f>VLOOKUP(H104,'Int. Pa.'!$B$3:$C$58,2,FALSE)</f>
        <v>1</v>
      </c>
      <c r="U104" s="20">
        <f>VLOOKUP(I104,'Int. Pa.'!$B$3:$C$58,2,FALSE)</f>
        <v>0</v>
      </c>
      <c r="V104" s="20">
        <f>VLOOKUP(J104,'Int. Pa.'!$B$3:$C$58,2,FALSE)</f>
        <v>10</v>
      </c>
      <c r="W104" s="20">
        <f>VLOOKUP(K104,'Int. Pa.'!$B$3:$C$58,2,FALSE)</f>
        <v>1</v>
      </c>
      <c r="X104" s="20">
        <f>VLOOKUP(L104,'Int. Pa.'!$B$3:$C$58,2,FALSE)</f>
        <v>1</v>
      </c>
      <c r="Y104" s="20">
        <f>VLOOKUP(M104,'Int. Pa.'!$B$3:$C$58,2,FALSE)</f>
        <v>5</v>
      </c>
      <c r="Z104" s="20">
        <f>VLOOKUP(N104,'Int. Pa.'!$B$3:$C$58,2,FALSE)</f>
        <v>6</v>
      </c>
      <c r="AA104" s="20">
        <f t="shared" si="2"/>
        <v>3</v>
      </c>
      <c r="AB104" s="20">
        <f t="shared" si="3"/>
        <v>34.166666666666664</v>
      </c>
    </row>
    <row r="105" spans="1:28">
      <c r="A105" s="80">
        <v>2</v>
      </c>
      <c r="B105" s="81">
        <v>6712103</v>
      </c>
      <c r="C105" s="82"/>
      <c r="D105" s="83">
        <v>2000</v>
      </c>
      <c r="E105" s="18" t="s">
        <v>7</v>
      </c>
      <c r="F105" s="18" t="s">
        <v>2</v>
      </c>
      <c r="G105" s="18" t="s">
        <v>88</v>
      </c>
      <c r="H105" s="18" t="s">
        <v>20</v>
      </c>
      <c r="I105" s="18" t="s">
        <v>24</v>
      </c>
      <c r="J105" s="18" t="s">
        <v>35</v>
      </c>
      <c r="K105" s="18" t="s">
        <v>38</v>
      </c>
      <c r="L105" s="18" t="s">
        <v>42</v>
      </c>
      <c r="M105" s="18" t="s">
        <v>50</v>
      </c>
      <c r="N105" s="18" t="s">
        <v>66</v>
      </c>
      <c r="O105" s="20">
        <f>2013-Table1[[#This Row],[Startup Year]]</f>
        <v>13</v>
      </c>
      <c r="P105" s="20"/>
      <c r="Q105" s="20">
        <f>VLOOKUP(E105,'Int. Pa.'!$B$3:$C$58,2,FALSE)</f>
        <v>1</v>
      </c>
      <c r="R105" s="20">
        <f>VLOOKUP(F105,'Int. Pa.'!$B$3:$C$58,2,FALSE)</f>
        <v>10</v>
      </c>
      <c r="S105" s="20">
        <f>VLOOKUP(G105,'Int. Pa.'!$B$3:$C$58,2,FALSE)</f>
        <v>0</v>
      </c>
      <c r="T105" s="20">
        <f>VLOOKUP(H105,'Int. Pa.'!$B$3:$C$58,2,FALSE)</f>
        <v>1</v>
      </c>
      <c r="U105" s="20">
        <f>VLOOKUP(I105,'Int. Pa.'!$B$3:$C$58,2,FALSE)</f>
        <v>0</v>
      </c>
      <c r="V105" s="20">
        <f>VLOOKUP(J105,'Int. Pa.'!$B$3:$C$58,2,FALSE)</f>
        <v>10</v>
      </c>
      <c r="W105" s="20">
        <f>VLOOKUP(K105,'Int. Pa.'!$B$3:$C$58,2,FALSE)</f>
        <v>1</v>
      </c>
      <c r="X105" s="20">
        <f>VLOOKUP(L105,'Int. Pa.'!$B$3:$C$58,2,FALSE)</f>
        <v>1</v>
      </c>
      <c r="Y105" s="20">
        <f>VLOOKUP(M105,'Int. Pa.'!$B$3:$C$58,2,FALSE)</f>
        <v>5</v>
      </c>
      <c r="Z105" s="20">
        <f>VLOOKUP(N105,'Int. Pa.'!$B$3:$C$58,2,FALSE)</f>
        <v>6</v>
      </c>
      <c r="AA105" s="20">
        <f t="shared" si="2"/>
        <v>3</v>
      </c>
      <c r="AB105" s="20">
        <f t="shared" si="3"/>
        <v>34.166666666666664</v>
      </c>
    </row>
    <row r="106" spans="1:28">
      <c r="A106" s="80">
        <v>2</v>
      </c>
      <c r="B106" s="81">
        <v>671210301</v>
      </c>
      <c r="C106" s="82" t="s">
        <v>702</v>
      </c>
      <c r="D106" s="83">
        <v>2000</v>
      </c>
      <c r="E106" s="18" t="s">
        <v>7</v>
      </c>
      <c r="F106" s="18" t="s">
        <v>2</v>
      </c>
      <c r="G106" s="18" t="s">
        <v>88</v>
      </c>
      <c r="H106" s="18" t="s">
        <v>20</v>
      </c>
      <c r="I106" s="18" t="s">
        <v>24</v>
      </c>
      <c r="J106" s="18" t="s">
        <v>35</v>
      </c>
      <c r="K106" s="18" t="s">
        <v>38</v>
      </c>
      <c r="L106" s="18" t="s">
        <v>42</v>
      </c>
      <c r="M106" s="18" t="s">
        <v>50</v>
      </c>
      <c r="N106" s="18" t="s">
        <v>66</v>
      </c>
      <c r="O106" s="20">
        <f>2013-Table1[[#This Row],[Startup Year]]</f>
        <v>13</v>
      </c>
      <c r="P106" s="20"/>
      <c r="Q106" s="20">
        <f>VLOOKUP(E106,'Int. Pa.'!$B$3:$C$58,2,FALSE)</f>
        <v>1</v>
      </c>
      <c r="R106" s="20">
        <f>VLOOKUP(F106,'Int. Pa.'!$B$3:$C$58,2,FALSE)</f>
        <v>10</v>
      </c>
      <c r="S106" s="20">
        <f>VLOOKUP(G106,'Int. Pa.'!$B$3:$C$58,2,FALSE)</f>
        <v>0</v>
      </c>
      <c r="T106" s="20">
        <f>VLOOKUP(H106,'Int. Pa.'!$B$3:$C$58,2,FALSE)</f>
        <v>1</v>
      </c>
      <c r="U106" s="20">
        <f>VLOOKUP(I106,'Int. Pa.'!$B$3:$C$58,2,FALSE)</f>
        <v>0</v>
      </c>
      <c r="V106" s="20">
        <f>VLOOKUP(J106,'Int. Pa.'!$B$3:$C$58,2,FALSE)</f>
        <v>10</v>
      </c>
      <c r="W106" s="20">
        <f>VLOOKUP(K106,'Int. Pa.'!$B$3:$C$58,2,FALSE)</f>
        <v>1</v>
      </c>
      <c r="X106" s="20">
        <f>VLOOKUP(L106,'Int. Pa.'!$B$3:$C$58,2,FALSE)</f>
        <v>1</v>
      </c>
      <c r="Y106" s="20">
        <f>VLOOKUP(M106,'Int. Pa.'!$B$3:$C$58,2,FALSE)</f>
        <v>5</v>
      </c>
      <c r="Z106" s="20">
        <f>VLOOKUP(N106,'Int. Pa.'!$B$3:$C$58,2,FALSE)</f>
        <v>6</v>
      </c>
      <c r="AA106" s="20">
        <f t="shared" si="2"/>
        <v>3</v>
      </c>
      <c r="AB106" s="20">
        <f t="shared" si="3"/>
        <v>34.166666666666664</v>
      </c>
    </row>
    <row r="107" spans="1:28">
      <c r="A107" s="80">
        <v>2</v>
      </c>
      <c r="B107" s="81">
        <v>671210401</v>
      </c>
      <c r="C107" s="82" t="s">
        <v>704</v>
      </c>
      <c r="D107" s="83">
        <v>2000</v>
      </c>
      <c r="E107" s="18" t="s">
        <v>7</v>
      </c>
      <c r="F107" s="18" t="s">
        <v>2</v>
      </c>
      <c r="G107" s="18" t="s">
        <v>88</v>
      </c>
      <c r="H107" s="18" t="s">
        <v>20</v>
      </c>
      <c r="I107" s="18" t="s">
        <v>24</v>
      </c>
      <c r="J107" s="18" t="s">
        <v>35</v>
      </c>
      <c r="K107" s="18" t="s">
        <v>38</v>
      </c>
      <c r="L107" s="18" t="s">
        <v>42</v>
      </c>
      <c r="M107" s="18" t="s">
        <v>50</v>
      </c>
      <c r="N107" s="18" t="s">
        <v>66</v>
      </c>
      <c r="O107" s="20">
        <f>2013-Table1[[#This Row],[Startup Year]]</f>
        <v>13</v>
      </c>
      <c r="P107" s="20"/>
      <c r="Q107" s="20">
        <f>VLOOKUP(E107,'Int. Pa.'!$B$3:$C$58,2,FALSE)</f>
        <v>1</v>
      </c>
      <c r="R107" s="20">
        <f>VLOOKUP(F107,'Int. Pa.'!$B$3:$C$58,2,FALSE)</f>
        <v>10</v>
      </c>
      <c r="S107" s="20">
        <f>VLOOKUP(G107,'Int. Pa.'!$B$3:$C$58,2,FALSE)</f>
        <v>0</v>
      </c>
      <c r="T107" s="20">
        <f>VLOOKUP(H107,'Int. Pa.'!$B$3:$C$58,2,FALSE)</f>
        <v>1</v>
      </c>
      <c r="U107" s="20">
        <f>VLOOKUP(I107,'Int. Pa.'!$B$3:$C$58,2,FALSE)</f>
        <v>0</v>
      </c>
      <c r="V107" s="20">
        <f>VLOOKUP(J107,'Int. Pa.'!$B$3:$C$58,2,FALSE)</f>
        <v>10</v>
      </c>
      <c r="W107" s="20">
        <f>VLOOKUP(K107,'Int. Pa.'!$B$3:$C$58,2,FALSE)</f>
        <v>1</v>
      </c>
      <c r="X107" s="20">
        <f>VLOOKUP(L107,'Int. Pa.'!$B$3:$C$58,2,FALSE)</f>
        <v>1</v>
      </c>
      <c r="Y107" s="20">
        <f>VLOOKUP(M107,'Int. Pa.'!$B$3:$C$58,2,FALSE)</f>
        <v>5</v>
      </c>
      <c r="Z107" s="20">
        <f>VLOOKUP(N107,'Int. Pa.'!$B$3:$C$58,2,FALSE)</f>
        <v>6</v>
      </c>
      <c r="AA107" s="20">
        <f t="shared" si="2"/>
        <v>3</v>
      </c>
      <c r="AB107" s="20">
        <f t="shared" si="3"/>
        <v>34.166666666666664</v>
      </c>
    </row>
    <row r="108" spans="1:28">
      <c r="A108" s="80">
        <v>2</v>
      </c>
      <c r="B108" s="81">
        <v>6712104</v>
      </c>
      <c r="C108" s="82" t="s">
        <v>678</v>
      </c>
      <c r="D108" s="83">
        <v>2000</v>
      </c>
      <c r="E108" s="18" t="s">
        <v>7</v>
      </c>
      <c r="F108" s="18" t="s">
        <v>2</v>
      </c>
      <c r="G108" s="18" t="s">
        <v>88</v>
      </c>
      <c r="H108" s="18" t="s">
        <v>20</v>
      </c>
      <c r="I108" s="18" t="s">
        <v>24</v>
      </c>
      <c r="J108" s="18" t="s">
        <v>35</v>
      </c>
      <c r="K108" s="18" t="s">
        <v>38</v>
      </c>
      <c r="L108" s="18" t="s">
        <v>42</v>
      </c>
      <c r="M108" s="18" t="s">
        <v>50</v>
      </c>
      <c r="N108" s="18" t="s">
        <v>66</v>
      </c>
      <c r="O108" s="20">
        <f>2013-Table1[[#This Row],[Startup Year]]</f>
        <v>13</v>
      </c>
      <c r="P108" s="20"/>
      <c r="Q108" s="20">
        <f>VLOOKUP(E108,'Int. Pa.'!$B$3:$C$58,2,FALSE)</f>
        <v>1</v>
      </c>
      <c r="R108" s="20">
        <f>VLOOKUP(F108,'Int. Pa.'!$B$3:$C$58,2,FALSE)</f>
        <v>10</v>
      </c>
      <c r="S108" s="20">
        <f>VLOOKUP(G108,'Int. Pa.'!$B$3:$C$58,2,FALSE)</f>
        <v>0</v>
      </c>
      <c r="T108" s="20">
        <f>VLOOKUP(H108,'Int. Pa.'!$B$3:$C$58,2,FALSE)</f>
        <v>1</v>
      </c>
      <c r="U108" s="20">
        <f>VLOOKUP(I108,'Int. Pa.'!$B$3:$C$58,2,FALSE)</f>
        <v>0</v>
      </c>
      <c r="V108" s="20">
        <f>VLOOKUP(J108,'Int. Pa.'!$B$3:$C$58,2,FALSE)</f>
        <v>10</v>
      </c>
      <c r="W108" s="20">
        <f>VLOOKUP(K108,'Int. Pa.'!$B$3:$C$58,2,FALSE)</f>
        <v>1</v>
      </c>
      <c r="X108" s="20">
        <f>VLOOKUP(L108,'Int. Pa.'!$B$3:$C$58,2,FALSE)</f>
        <v>1</v>
      </c>
      <c r="Y108" s="20">
        <f>VLOOKUP(M108,'Int. Pa.'!$B$3:$C$58,2,FALSE)</f>
        <v>5</v>
      </c>
      <c r="Z108" s="20">
        <f>VLOOKUP(N108,'Int. Pa.'!$B$3:$C$58,2,FALSE)</f>
        <v>6</v>
      </c>
      <c r="AA108" s="20">
        <f t="shared" si="2"/>
        <v>3</v>
      </c>
      <c r="AB108" s="20">
        <f t="shared" si="3"/>
        <v>34.166666666666664</v>
      </c>
    </row>
    <row r="109" spans="1:28">
      <c r="A109" s="80">
        <v>2</v>
      </c>
      <c r="B109" s="81">
        <v>6712105</v>
      </c>
      <c r="C109" s="82" t="s">
        <v>267</v>
      </c>
      <c r="D109" s="83">
        <v>2000</v>
      </c>
      <c r="E109" s="18" t="s">
        <v>7</v>
      </c>
      <c r="F109" s="18" t="s">
        <v>2</v>
      </c>
      <c r="G109" s="18" t="s">
        <v>88</v>
      </c>
      <c r="H109" s="18" t="s">
        <v>20</v>
      </c>
      <c r="I109" s="18" t="s">
        <v>24</v>
      </c>
      <c r="J109" s="18" t="s">
        <v>35</v>
      </c>
      <c r="K109" s="18" t="s">
        <v>38</v>
      </c>
      <c r="L109" s="18" t="s">
        <v>42</v>
      </c>
      <c r="M109" s="18" t="s">
        <v>50</v>
      </c>
      <c r="N109" s="18" t="s">
        <v>66</v>
      </c>
      <c r="O109" s="20">
        <f>2013-Table1[[#This Row],[Startup Year]]</f>
        <v>13</v>
      </c>
      <c r="P109" s="20"/>
      <c r="Q109" s="20">
        <f>VLOOKUP(E109,'Int. Pa.'!$B$3:$C$58,2,FALSE)</f>
        <v>1</v>
      </c>
      <c r="R109" s="20">
        <f>VLOOKUP(F109,'Int. Pa.'!$B$3:$C$58,2,FALSE)</f>
        <v>10</v>
      </c>
      <c r="S109" s="20">
        <f>VLOOKUP(G109,'Int. Pa.'!$B$3:$C$58,2,FALSE)</f>
        <v>0</v>
      </c>
      <c r="T109" s="20">
        <f>VLOOKUP(H109,'Int. Pa.'!$B$3:$C$58,2,FALSE)</f>
        <v>1</v>
      </c>
      <c r="U109" s="20">
        <f>VLOOKUP(I109,'Int. Pa.'!$B$3:$C$58,2,FALSE)</f>
        <v>0</v>
      </c>
      <c r="V109" s="20">
        <f>VLOOKUP(J109,'Int. Pa.'!$B$3:$C$58,2,FALSE)</f>
        <v>10</v>
      </c>
      <c r="W109" s="20">
        <f>VLOOKUP(K109,'Int. Pa.'!$B$3:$C$58,2,FALSE)</f>
        <v>1</v>
      </c>
      <c r="X109" s="20">
        <f>VLOOKUP(L109,'Int. Pa.'!$B$3:$C$58,2,FALSE)</f>
        <v>1</v>
      </c>
      <c r="Y109" s="20">
        <f>VLOOKUP(M109,'Int. Pa.'!$B$3:$C$58,2,FALSE)</f>
        <v>5</v>
      </c>
      <c r="Z109" s="20">
        <f>VLOOKUP(N109,'Int. Pa.'!$B$3:$C$58,2,FALSE)</f>
        <v>6</v>
      </c>
      <c r="AA109" s="20">
        <f t="shared" si="2"/>
        <v>3</v>
      </c>
      <c r="AB109" s="20">
        <f t="shared" si="3"/>
        <v>34.166666666666664</v>
      </c>
    </row>
    <row r="110" spans="1:28">
      <c r="A110" s="80">
        <v>2</v>
      </c>
      <c r="B110" s="81">
        <v>67122</v>
      </c>
      <c r="C110" s="82" t="s">
        <v>672</v>
      </c>
      <c r="D110" s="83">
        <v>2000</v>
      </c>
      <c r="E110" s="18" t="s">
        <v>7</v>
      </c>
      <c r="F110" s="18" t="s">
        <v>2</v>
      </c>
      <c r="G110" s="18" t="s">
        <v>88</v>
      </c>
      <c r="H110" s="18" t="s">
        <v>20</v>
      </c>
      <c r="I110" s="18" t="s">
        <v>24</v>
      </c>
      <c r="J110" s="18" t="s">
        <v>35</v>
      </c>
      <c r="K110" s="18" t="s">
        <v>38</v>
      </c>
      <c r="L110" s="18" t="s">
        <v>42</v>
      </c>
      <c r="M110" s="18" t="s">
        <v>50</v>
      </c>
      <c r="N110" s="18" t="s">
        <v>66</v>
      </c>
      <c r="O110" s="20">
        <f>2013-Table1[[#This Row],[Startup Year]]</f>
        <v>13</v>
      </c>
      <c r="P110" s="20"/>
      <c r="Q110" s="20">
        <f>VLOOKUP(E110,'Int. Pa.'!$B$3:$C$58,2,FALSE)</f>
        <v>1</v>
      </c>
      <c r="R110" s="20">
        <f>VLOOKUP(F110,'Int. Pa.'!$B$3:$C$58,2,FALSE)</f>
        <v>10</v>
      </c>
      <c r="S110" s="20">
        <f>VLOOKUP(G110,'Int. Pa.'!$B$3:$C$58,2,FALSE)</f>
        <v>0</v>
      </c>
      <c r="T110" s="20">
        <f>VLOOKUP(H110,'Int. Pa.'!$B$3:$C$58,2,FALSE)</f>
        <v>1</v>
      </c>
      <c r="U110" s="20">
        <f>VLOOKUP(I110,'Int. Pa.'!$B$3:$C$58,2,FALSE)</f>
        <v>0</v>
      </c>
      <c r="V110" s="20">
        <f>VLOOKUP(J110,'Int. Pa.'!$B$3:$C$58,2,FALSE)</f>
        <v>10</v>
      </c>
      <c r="W110" s="20">
        <f>VLOOKUP(K110,'Int. Pa.'!$B$3:$C$58,2,FALSE)</f>
        <v>1</v>
      </c>
      <c r="X110" s="20">
        <f>VLOOKUP(L110,'Int. Pa.'!$B$3:$C$58,2,FALSE)</f>
        <v>1</v>
      </c>
      <c r="Y110" s="20">
        <f>VLOOKUP(M110,'Int. Pa.'!$B$3:$C$58,2,FALSE)</f>
        <v>5</v>
      </c>
      <c r="Z110" s="20">
        <f>VLOOKUP(N110,'Int. Pa.'!$B$3:$C$58,2,FALSE)</f>
        <v>6</v>
      </c>
      <c r="AA110" s="20">
        <f t="shared" si="2"/>
        <v>3</v>
      </c>
      <c r="AB110" s="20">
        <f t="shared" si="3"/>
        <v>34.166666666666664</v>
      </c>
    </row>
    <row r="111" spans="1:28">
      <c r="A111" s="87">
        <v>2</v>
      </c>
      <c r="B111" s="88">
        <v>673010101</v>
      </c>
      <c r="C111" s="89" t="s">
        <v>718</v>
      </c>
      <c r="D111" s="90">
        <v>2000</v>
      </c>
      <c r="E111" s="18" t="s">
        <v>7</v>
      </c>
      <c r="F111" s="18" t="s">
        <v>2</v>
      </c>
      <c r="G111" s="18" t="s">
        <v>88</v>
      </c>
      <c r="H111" s="18" t="s">
        <v>20</v>
      </c>
      <c r="I111" s="18" t="s">
        <v>24</v>
      </c>
      <c r="J111" s="18" t="s">
        <v>35</v>
      </c>
      <c r="K111" s="18" t="s">
        <v>38</v>
      </c>
      <c r="L111" s="18" t="s">
        <v>42</v>
      </c>
      <c r="M111" s="18" t="s">
        <v>50</v>
      </c>
      <c r="N111" s="18" t="s">
        <v>66</v>
      </c>
      <c r="O111" s="20">
        <f>2013-Table1[[#This Row],[Startup Year]]</f>
        <v>13</v>
      </c>
      <c r="P111" s="20"/>
      <c r="Q111" s="20">
        <f>VLOOKUP(E111,'Int. Pa.'!$B$3:$C$58,2,FALSE)</f>
        <v>1</v>
      </c>
      <c r="R111" s="20">
        <f>VLOOKUP(F111,'Int. Pa.'!$B$3:$C$58,2,FALSE)</f>
        <v>10</v>
      </c>
      <c r="S111" s="20">
        <f>VLOOKUP(G111,'Int. Pa.'!$B$3:$C$58,2,FALSE)</f>
        <v>0</v>
      </c>
      <c r="T111" s="20">
        <f>VLOOKUP(H111,'Int. Pa.'!$B$3:$C$58,2,FALSE)</f>
        <v>1</v>
      </c>
      <c r="U111" s="20">
        <f>VLOOKUP(I111,'Int. Pa.'!$B$3:$C$58,2,FALSE)</f>
        <v>0</v>
      </c>
      <c r="V111" s="20">
        <f>VLOOKUP(J111,'Int. Pa.'!$B$3:$C$58,2,FALSE)</f>
        <v>10</v>
      </c>
      <c r="W111" s="20">
        <f>VLOOKUP(K111,'Int. Pa.'!$B$3:$C$58,2,FALSE)</f>
        <v>1</v>
      </c>
      <c r="X111" s="20">
        <f>VLOOKUP(L111,'Int. Pa.'!$B$3:$C$58,2,FALSE)</f>
        <v>1</v>
      </c>
      <c r="Y111" s="20">
        <f>VLOOKUP(M111,'Int. Pa.'!$B$3:$C$58,2,FALSE)</f>
        <v>5</v>
      </c>
      <c r="Z111" s="20">
        <f>VLOOKUP(N111,'Int. Pa.'!$B$3:$C$58,2,FALSE)</f>
        <v>6</v>
      </c>
      <c r="AA111" s="20">
        <f t="shared" si="2"/>
        <v>3</v>
      </c>
      <c r="AB111" s="20">
        <f t="shared" si="3"/>
        <v>34.166666666666664</v>
      </c>
    </row>
    <row r="112" spans="1:28">
      <c r="A112" s="87">
        <v>2</v>
      </c>
      <c r="B112" s="88">
        <v>67303</v>
      </c>
      <c r="C112" s="89" t="s">
        <v>714</v>
      </c>
      <c r="D112" s="90">
        <v>2000</v>
      </c>
      <c r="E112" s="18" t="s">
        <v>7</v>
      </c>
      <c r="F112" s="18" t="s">
        <v>2</v>
      </c>
      <c r="G112" s="18" t="s">
        <v>88</v>
      </c>
      <c r="H112" s="18" t="s">
        <v>20</v>
      </c>
      <c r="I112" s="18" t="s">
        <v>24</v>
      </c>
      <c r="J112" s="18" t="s">
        <v>35</v>
      </c>
      <c r="K112" s="18" t="s">
        <v>38</v>
      </c>
      <c r="L112" s="18" t="s">
        <v>42</v>
      </c>
      <c r="M112" s="18" t="s">
        <v>50</v>
      </c>
      <c r="N112" s="18" t="s">
        <v>66</v>
      </c>
      <c r="O112" s="20">
        <f>2013-Table1[[#This Row],[Startup Year]]</f>
        <v>13</v>
      </c>
      <c r="P112" s="20"/>
      <c r="Q112" s="20">
        <f>VLOOKUP(E112,'Int. Pa.'!$B$3:$C$58,2,FALSE)</f>
        <v>1</v>
      </c>
      <c r="R112" s="20">
        <f>VLOOKUP(F112,'Int. Pa.'!$B$3:$C$58,2,FALSE)</f>
        <v>10</v>
      </c>
      <c r="S112" s="20">
        <f>VLOOKUP(G112,'Int. Pa.'!$B$3:$C$58,2,FALSE)</f>
        <v>0</v>
      </c>
      <c r="T112" s="20">
        <f>VLOOKUP(H112,'Int. Pa.'!$B$3:$C$58,2,FALSE)</f>
        <v>1</v>
      </c>
      <c r="U112" s="20">
        <f>VLOOKUP(I112,'Int. Pa.'!$B$3:$C$58,2,FALSE)</f>
        <v>0</v>
      </c>
      <c r="V112" s="20">
        <f>VLOOKUP(J112,'Int. Pa.'!$B$3:$C$58,2,FALSE)</f>
        <v>10</v>
      </c>
      <c r="W112" s="20">
        <f>VLOOKUP(K112,'Int. Pa.'!$B$3:$C$58,2,FALSE)</f>
        <v>1</v>
      </c>
      <c r="X112" s="20">
        <f>VLOOKUP(L112,'Int. Pa.'!$B$3:$C$58,2,FALSE)</f>
        <v>1</v>
      </c>
      <c r="Y112" s="20">
        <f>VLOOKUP(M112,'Int. Pa.'!$B$3:$C$58,2,FALSE)</f>
        <v>5</v>
      </c>
      <c r="Z112" s="20">
        <f>VLOOKUP(N112,'Int. Pa.'!$B$3:$C$58,2,FALSE)</f>
        <v>6</v>
      </c>
      <c r="AA112" s="20">
        <f t="shared" si="2"/>
        <v>3</v>
      </c>
      <c r="AB112" s="20">
        <f t="shared" si="3"/>
        <v>34.166666666666664</v>
      </c>
    </row>
    <row r="113" spans="1:28">
      <c r="A113" s="84">
        <v>2</v>
      </c>
      <c r="B113" s="81">
        <v>67311</v>
      </c>
      <c r="C113" s="82" t="s">
        <v>261</v>
      </c>
      <c r="D113" s="85">
        <v>2013</v>
      </c>
      <c r="E113" s="18" t="s">
        <v>7</v>
      </c>
      <c r="F113" s="18" t="s">
        <v>2</v>
      </c>
      <c r="G113" s="18" t="s">
        <v>88</v>
      </c>
      <c r="H113" s="18" t="s">
        <v>20</v>
      </c>
      <c r="I113" s="18" t="s">
        <v>24</v>
      </c>
      <c r="J113" s="18" t="s">
        <v>35</v>
      </c>
      <c r="K113" s="18" t="s">
        <v>38</v>
      </c>
      <c r="L113" s="18" t="s">
        <v>42</v>
      </c>
      <c r="M113" s="18" t="s">
        <v>50</v>
      </c>
      <c r="N113" s="18" t="s">
        <v>66</v>
      </c>
      <c r="O113" s="20">
        <f>2013-Table1[[#This Row],[Startup Year]]</f>
        <v>0</v>
      </c>
      <c r="P113" s="20"/>
      <c r="Q113" s="20">
        <f>VLOOKUP(E113,'Int. Pa.'!$B$3:$C$58,2,FALSE)</f>
        <v>1</v>
      </c>
      <c r="R113" s="20">
        <f>VLOOKUP(F113,'Int. Pa.'!$B$3:$C$58,2,FALSE)</f>
        <v>10</v>
      </c>
      <c r="S113" s="20">
        <f>VLOOKUP(G113,'Int. Pa.'!$B$3:$C$58,2,FALSE)</f>
        <v>0</v>
      </c>
      <c r="T113" s="20">
        <f>VLOOKUP(H113,'Int. Pa.'!$B$3:$C$58,2,FALSE)</f>
        <v>1</v>
      </c>
      <c r="U113" s="20">
        <f>VLOOKUP(I113,'Int. Pa.'!$B$3:$C$58,2,FALSE)</f>
        <v>0</v>
      </c>
      <c r="V113" s="20">
        <f>VLOOKUP(J113,'Int. Pa.'!$B$3:$C$58,2,FALSE)</f>
        <v>10</v>
      </c>
      <c r="W113" s="20">
        <f>VLOOKUP(K113,'Int. Pa.'!$B$3:$C$58,2,FALSE)</f>
        <v>1</v>
      </c>
      <c r="X113" s="20">
        <f>VLOOKUP(L113,'Int. Pa.'!$B$3:$C$58,2,FALSE)</f>
        <v>1</v>
      </c>
      <c r="Y113" s="20">
        <f>VLOOKUP(M113,'Int. Pa.'!$B$3:$C$58,2,FALSE)</f>
        <v>5</v>
      </c>
      <c r="Z113" s="20">
        <f>VLOOKUP(N113,'Int. Pa.'!$B$3:$C$58,2,FALSE)</f>
        <v>6</v>
      </c>
      <c r="AA113" s="20">
        <f t="shared" si="2"/>
        <v>0</v>
      </c>
      <c r="AB113" s="20">
        <f t="shared" si="3"/>
        <v>33.333333333333329</v>
      </c>
    </row>
    <row r="114" spans="1:28">
      <c r="A114" s="84">
        <v>2</v>
      </c>
      <c r="B114" s="81">
        <v>69211</v>
      </c>
      <c r="C114" s="82" t="s">
        <v>262</v>
      </c>
      <c r="D114" s="85">
        <v>2013</v>
      </c>
      <c r="E114" s="18" t="s">
        <v>7</v>
      </c>
      <c r="F114" s="18" t="s">
        <v>2</v>
      </c>
      <c r="G114" s="18" t="s">
        <v>88</v>
      </c>
      <c r="H114" s="18" t="s">
        <v>20</v>
      </c>
      <c r="I114" s="18" t="s">
        <v>24</v>
      </c>
      <c r="J114" s="18" t="s">
        <v>35</v>
      </c>
      <c r="K114" s="18" t="s">
        <v>38</v>
      </c>
      <c r="L114" s="18" t="s">
        <v>42</v>
      </c>
      <c r="M114" s="18" t="s">
        <v>50</v>
      </c>
      <c r="N114" s="18" t="s">
        <v>66</v>
      </c>
      <c r="O114" s="20">
        <f>2013-Table1[[#This Row],[Startup Year]]</f>
        <v>0</v>
      </c>
      <c r="P114" s="20"/>
      <c r="Q114" s="20">
        <f>VLOOKUP(E114,'Int. Pa.'!$B$3:$C$58,2,FALSE)</f>
        <v>1</v>
      </c>
      <c r="R114" s="20">
        <f>VLOOKUP(F114,'Int. Pa.'!$B$3:$C$58,2,FALSE)</f>
        <v>10</v>
      </c>
      <c r="S114" s="20">
        <f>VLOOKUP(G114,'Int. Pa.'!$B$3:$C$58,2,FALSE)</f>
        <v>0</v>
      </c>
      <c r="T114" s="20">
        <f>VLOOKUP(H114,'Int. Pa.'!$B$3:$C$58,2,FALSE)</f>
        <v>1</v>
      </c>
      <c r="U114" s="20">
        <f>VLOOKUP(I114,'Int. Pa.'!$B$3:$C$58,2,FALSE)</f>
        <v>0</v>
      </c>
      <c r="V114" s="20">
        <f>VLOOKUP(J114,'Int. Pa.'!$B$3:$C$58,2,FALSE)</f>
        <v>10</v>
      </c>
      <c r="W114" s="20">
        <f>VLOOKUP(K114,'Int. Pa.'!$B$3:$C$58,2,FALSE)</f>
        <v>1</v>
      </c>
      <c r="X114" s="20">
        <f>VLOOKUP(L114,'Int. Pa.'!$B$3:$C$58,2,FALSE)</f>
        <v>1</v>
      </c>
      <c r="Y114" s="20">
        <f>VLOOKUP(M114,'Int. Pa.'!$B$3:$C$58,2,FALSE)</f>
        <v>5</v>
      </c>
      <c r="Z114" s="20">
        <f>VLOOKUP(N114,'Int. Pa.'!$B$3:$C$58,2,FALSE)</f>
        <v>6</v>
      </c>
      <c r="AA114" s="20">
        <f t="shared" si="2"/>
        <v>0</v>
      </c>
      <c r="AB114" s="20">
        <f t="shared" si="3"/>
        <v>33.333333333333329</v>
      </c>
    </row>
    <row r="115" spans="1:28">
      <c r="A115" s="84">
        <v>2</v>
      </c>
      <c r="B115" s="81">
        <v>671111</v>
      </c>
      <c r="C115" s="82" t="s">
        <v>263</v>
      </c>
      <c r="D115" s="85">
        <v>2013</v>
      </c>
      <c r="E115" s="18" t="s">
        <v>7</v>
      </c>
      <c r="F115" s="18" t="s">
        <v>2</v>
      </c>
      <c r="G115" s="18" t="s">
        <v>88</v>
      </c>
      <c r="H115" s="18" t="s">
        <v>20</v>
      </c>
      <c r="I115" s="18" t="s">
        <v>24</v>
      </c>
      <c r="J115" s="18" t="s">
        <v>35</v>
      </c>
      <c r="K115" s="18" t="s">
        <v>38</v>
      </c>
      <c r="L115" s="18" t="s">
        <v>42</v>
      </c>
      <c r="M115" s="18" t="s">
        <v>50</v>
      </c>
      <c r="N115" s="18" t="s">
        <v>66</v>
      </c>
      <c r="O115" s="20">
        <f>2013-Table1[[#This Row],[Startup Year]]</f>
        <v>0</v>
      </c>
      <c r="P115" s="20"/>
      <c r="Q115" s="20">
        <f>VLOOKUP(E115,'Int. Pa.'!$B$3:$C$58,2,FALSE)</f>
        <v>1</v>
      </c>
      <c r="R115" s="20">
        <f>VLOOKUP(F115,'Int. Pa.'!$B$3:$C$58,2,FALSE)</f>
        <v>10</v>
      </c>
      <c r="S115" s="20">
        <f>VLOOKUP(G115,'Int. Pa.'!$B$3:$C$58,2,FALSE)</f>
        <v>0</v>
      </c>
      <c r="T115" s="20">
        <f>VLOOKUP(H115,'Int. Pa.'!$B$3:$C$58,2,FALSE)</f>
        <v>1</v>
      </c>
      <c r="U115" s="20">
        <f>VLOOKUP(I115,'Int. Pa.'!$B$3:$C$58,2,FALSE)</f>
        <v>0</v>
      </c>
      <c r="V115" s="20">
        <f>VLOOKUP(J115,'Int. Pa.'!$B$3:$C$58,2,FALSE)</f>
        <v>10</v>
      </c>
      <c r="W115" s="20">
        <f>VLOOKUP(K115,'Int. Pa.'!$B$3:$C$58,2,FALSE)</f>
        <v>1</v>
      </c>
      <c r="X115" s="20">
        <f>VLOOKUP(L115,'Int. Pa.'!$B$3:$C$58,2,FALSE)</f>
        <v>1</v>
      </c>
      <c r="Y115" s="20">
        <f>VLOOKUP(M115,'Int. Pa.'!$B$3:$C$58,2,FALSE)</f>
        <v>5</v>
      </c>
      <c r="Z115" s="20">
        <f>VLOOKUP(N115,'Int. Pa.'!$B$3:$C$58,2,FALSE)</f>
        <v>6</v>
      </c>
      <c r="AA115" s="20">
        <f t="shared" si="2"/>
        <v>0</v>
      </c>
      <c r="AB115" s="20">
        <f t="shared" si="3"/>
        <v>33.333333333333329</v>
      </c>
    </row>
    <row r="116" spans="1:28">
      <c r="A116" s="84">
        <v>2</v>
      </c>
      <c r="B116" s="81">
        <v>6360106</v>
      </c>
      <c r="C116" s="82" t="s">
        <v>264</v>
      </c>
      <c r="D116" s="85">
        <v>2011</v>
      </c>
      <c r="E116" s="18" t="s">
        <v>7</v>
      </c>
      <c r="F116" s="18" t="s">
        <v>2</v>
      </c>
      <c r="G116" s="18" t="s">
        <v>88</v>
      </c>
      <c r="H116" s="18" t="s">
        <v>20</v>
      </c>
      <c r="I116" s="18" t="s">
        <v>24</v>
      </c>
      <c r="J116" s="18" t="s">
        <v>35</v>
      </c>
      <c r="K116" s="18" t="s">
        <v>38</v>
      </c>
      <c r="L116" s="18" t="s">
        <v>42</v>
      </c>
      <c r="M116" s="18" t="s">
        <v>50</v>
      </c>
      <c r="N116" s="18" t="s">
        <v>66</v>
      </c>
      <c r="O116" s="20">
        <f>2013-Table1[[#This Row],[Startup Year]]</f>
        <v>2</v>
      </c>
      <c r="P116" s="20"/>
      <c r="Q116" s="20">
        <f>VLOOKUP(E116,'Int. Pa.'!$B$3:$C$58,2,FALSE)</f>
        <v>1</v>
      </c>
      <c r="R116" s="20">
        <f>VLOOKUP(F116,'Int. Pa.'!$B$3:$C$58,2,FALSE)</f>
        <v>10</v>
      </c>
      <c r="S116" s="20">
        <f>VLOOKUP(G116,'Int. Pa.'!$B$3:$C$58,2,FALSE)</f>
        <v>0</v>
      </c>
      <c r="T116" s="20">
        <f>VLOOKUP(H116,'Int. Pa.'!$B$3:$C$58,2,FALSE)</f>
        <v>1</v>
      </c>
      <c r="U116" s="20">
        <f>VLOOKUP(I116,'Int. Pa.'!$B$3:$C$58,2,FALSE)</f>
        <v>0</v>
      </c>
      <c r="V116" s="20">
        <f>VLOOKUP(J116,'Int. Pa.'!$B$3:$C$58,2,FALSE)</f>
        <v>10</v>
      </c>
      <c r="W116" s="20">
        <f>VLOOKUP(K116,'Int. Pa.'!$B$3:$C$58,2,FALSE)</f>
        <v>1</v>
      </c>
      <c r="X116" s="20">
        <f>VLOOKUP(L116,'Int. Pa.'!$B$3:$C$58,2,FALSE)</f>
        <v>1</v>
      </c>
      <c r="Y116" s="20">
        <f>VLOOKUP(M116,'Int. Pa.'!$B$3:$C$58,2,FALSE)</f>
        <v>5</v>
      </c>
      <c r="Z116" s="20">
        <f>VLOOKUP(N116,'Int. Pa.'!$B$3:$C$58,2,FALSE)</f>
        <v>6</v>
      </c>
      <c r="AA116" s="20">
        <f t="shared" si="2"/>
        <v>1</v>
      </c>
      <c r="AB116" s="20">
        <f t="shared" si="3"/>
        <v>33.611111111111107</v>
      </c>
    </row>
    <row r="117" spans="1:28">
      <c r="A117" s="84">
        <v>2</v>
      </c>
      <c r="B117" s="81">
        <v>6582101</v>
      </c>
      <c r="C117" s="82" t="s">
        <v>265</v>
      </c>
      <c r="D117" s="85">
        <v>2006</v>
      </c>
      <c r="E117" s="18" t="s">
        <v>7</v>
      </c>
      <c r="F117" s="18" t="s">
        <v>2</v>
      </c>
      <c r="G117" s="18" t="s">
        <v>88</v>
      </c>
      <c r="H117" s="18" t="s">
        <v>20</v>
      </c>
      <c r="I117" s="18" t="s">
        <v>24</v>
      </c>
      <c r="J117" s="18" t="s">
        <v>35</v>
      </c>
      <c r="K117" s="18" t="s">
        <v>38</v>
      </c>
      <c r="L117" s="18" t="s">
        <v>42</v>
      </c>
      <c r="M117" s="18" t="s">
        <v>50</v>
      </c>
      <c r="N117" s="18" t="s">
        <v>66</v>
      </c>
      <c r="O117" s="20">
        <f>2013-Table1[[#This Row],[Startup Year]]</f>
        <v>7</v>
      </c>
      <c r="P117" s="20"/>
      <c r="Q117" s="20">
        <f>VLOOKUP(E117,'Int. Pa.'!$B$3:$C$58,2,FALSE)</f>
        <v>1</v>
      </c>
      <c r="R117" s="20">
        <f>VLOOKUP(F117,'Int. Pa.'!$B$3:$C$58,2,FALSE)</f>
        <v>10</v>
      </c>
      <c r="S117" s="20">
        <f>VLOOKUP(G117,'Int. Pa.'!$B$3:$C$58,2,FALSE)</f>
        <v>0</v>
      </c>
      <c r="T117" s="20">
        <f>VLOOKUP(H117,'Int. Pa.'!$B$3:$C$58,2,FALSE)</f>
        <v>1</v>
      </c>
      <c r="U117" s="20">
        <f>VLOOKUP(I117,'Int. Pa.'!$B$3:$C$58,2,FALSE)</f>
        <v>0</v>
      </c>
      <c r="V117" s="20">
        <f>VLOOKUP(J117,'Int. Pa.'!$B$3:$C$58,2,FALSE)</f>
        <v>10</v>
      </c>
      <c r="W117" s="20">
        <f>VLOOKUP(K117,'Int. Pa.'!$B$3:$C$58,2,FALSE)</f>
        <v>1</v>
      </c>
      <c r="X117" s="20">
        <f>VLOOKUP(L117,'Int. Pa.'!$B$3:$C$58,2,FALSE)</f>
        <v>1</v>
      </c>
      <c r="Y117" s="20">
        <f>VLOOKUP(M117,'Int. Pa.'!$B$3:$C$58,2,FALSE)</f>
        <v>5</v>
      </c>
      <c r="Z117" s="20">
        <f>VLOOKUP(N117,'Int. Pa.'!$B$3:$C$58,2,FALSE)</f>
        <v>6</v>
      </c>
      <c r="AA117" s="20">
        <f t="shared" si="2"/>
        <v>2</v>
      </c>
      <c r="AB117" s="20">
        <f t="shared" si="3"/>
        <v>33.888888888888886</v>
      </c>
    </row>
    <row r="118" spans="1:28">
      <c r="A118" s="80">
        <v>2</v>
      </c>
      <c r="B118" s="81" t="s">
        <v>858</v>
      </c>
      <c r="C118" s="82" t="s">
        <v>622</v>
      </c>
      <c r="D118" s="83">
        <v>2000</v>
      </c>
      <c r="E118" s="18" t="s">
        <v>7</v>
      </c>
      <c r="F118" s="18" t="s">
        <v>2</v>
      </c>
      <c r="G118" s="18" t="s">
        <v>88</v>
      </c>
      <c r="H118" s="18" t="s">
        <v>20</v>
      </c>
      <c r="I118" s="18" t="s">
        <v>24</v>
      </c>
      <c r="J118" s="18" t="s">
        <v>35</v>
      </c>
      <c r="K118" s="18" t="s">
        <v>38</v>
      </c>
      <c r="L118" s="18" t="s">
        <v>42</v>
      </c>
      <c r="M118" s="18" t="s">
        <v>50</v>
      </c>
      <c r="N118" s="18" t="s">
        <v>66</v>
      </c>
      <c r="O118" s="20">
        <f>2013-Table1[[#This Row],[Startup Year]]</f>
        <v>13</v>
      </c>
      <c r="P118" s="20"/>
      <c r="Q118" s="20">
        <f>VLOOKUP(E118,'Int. Pa.'!$B$3:$C$58,2,FALSE)</f>
        <v>1</v>
      </c>
      <c r="R118" s="20">
        <f>VLOOKUP(F118,'Int. Pa.'!$B$3:$C$58,2,FALSE)</f>
        <v>10</v>
      </c>
      <c r="S118" s="20">
        <f>VLOOKUP(G118,'Int. Pa.'!$B$3:$C$58,2,FALSE)</f>
        <v>0</v>
      </c>
      <c r="T118" s="20">
        <f>VLOOKUP(H118,'Int. Pa.'!$B$3:$C$58,2,FALSE)</f>
        <v>1</v>
      </c>
      <c r="U118" s="20">
        <f>VLOOKUP(I118,'Int. Pa.'!$B$3:$C$58,2,FALSE)</f>
        <v>0</v>
      </c>
      <c r="V118" s="20">
        <f>VLOOKUP(J118,'Int. Pa.'!$B$3:$C$58,2,FALSE)</f>
        <v>10</v>
      </c>
      <c r="W118" s="20">
        <f>VLOOKUP(K118,'Int. Pa.'!$B$3:$C$58,2,FALSE)</f>
        <v>1</v>
      </c>
      <c r="X118" s="20">
        <f>VLOOKUP(L118,'Int. Pa.'!$B$3:$C$58,2,FALSE)</f>
        <v>1</v>
      </c>
      <c r="Y118" s="20">
        <f>VLOOKUP(M118,'Int. Pa.'!$B$3:$C$58,2,FALSE)</f>
        <v>5</v>
      </c>
      <c r="Z118" s="20">
        <f>VLOOKUP(N118,'Int. Pa.'!$B$3:$C$58,2,FALSE)</f>
        <v>6</v>
      </c>
      <c r="AA118" s="20">
        <f t="shared" si="2"/>
        <v>3</v>
      </c>
      <c r="AB118" s="20">
        <f t="shared" si="3"/>
        <v>34.166666666666664</v>
      </c>
    </row>
    <row r="119" spans="1:28">
      <c r="A119" s="80">
        <v>2</v>
      </c>
      <c r="B119" s="81" t="s">
        <v>859</v>
      </c>
      <c r="C119" s="82" t="s">
        <v>624</v>
      </c>
      <c r="D119" s="83">
        <v>2000</v>
      </c>
      <c r="E119" s="18" t="s">
        <v>7</v>
      </c>
      <c r="F119" s="18" t="s">
        <v>2</v>
      </c>
      <c r="G119" s="18" t="s">
        <v>88</v>
      </c>
      <c r="H119" s="18" t="s">
        <v>20</v>
      </c>
      <c r="I119" s="18" t="s">
        <v>24</v>
      </c>
      <c r="J119" s="18" t="s">
        <v>35</v>
      </c>
      <c r="K119" s="18" t="s">
        <v>38</v>
      </c>
      <c r="L119" s="18" t="s">
        <v>42</v>
      </c>
      <c r="M119" s="18" t="s">
        <v>50</v>
      </c>
      <c r="N119" s="18" t="s">
        <v>66</v>
      </c>
      <c r="O119" s="20">
        <f>2013-Table1[[#This Row],[Startup Year]]</f>
        <v>13</v>
      </c>
      <c r="P119" s="20"/>
      <c r="Q119" s="20">
        <f>VLOOKUP(E119,'Int. Pa.'!$B$3:$C$58,2,FALSE)</f>
        <v>1</v>
      </c>
      <c r="R119" s="20">
        <f>VLOOKUP(F119,'Int. Pa.'!$B$3:$C$58,2,FALSE)</f>
        <v>10</v>
      </c>
      <c r="S119" s="20">
        <f>VLOOKUP(G119,'Int. Pa.'!$B$3:$C$58,2,FALSE)</f>
        <v>0</v>
      </c>
      <c r="T119" s="20">
        <f>VLOOKUP(H119,'Int. Pa.'!$B$3:$C$58,2,FALSE)</f>
        <v>1</v>
      </c>
      <c r="U119" s="20">
        <f>VLOOKUP(I119,'Int. Pa.'!$B$3:$C$58,2,FALSE)</f>
        <v>0</v>
      </c>
      <c r="V119" s="20">
        <f>VLOOKUP(J119,'Int. Pa.'!$B$3:$C$58,2,FALSE)</f>
        <v>10</v>
      </c>
      <c r="W119" s="20">
        <f>VLOOKUP(K119,'Int. Pa.'!$B$3:$C$58,2,FALSE)</f>
        <v>1</v>
      </c>
      <c r="X119" s="20">
        <f>VLOOKUP(L119,'Int. Pa.'!$B$3:$C$58,2,FALSE)</f>
        <v>1</v>
      </c>
      <c r="Y119" s="20">
        <f>VLOOKUP(M119,'Int. Pa.'!$B$3:$C$58,2,FALSE)</f>
        <v>5</v>
      </c>
      <c r="Z119" s="20">
        <f>VLOOKUP(N119,'Int. Pa.'!$B$3:$C$58,2,FALSE)</f>
        <v>6</v>
      </c>
      <c r="AA119" s="20">
        <f t="shared" si="2"/>
        <v>3</v>
      </c>
      <c r="AB119" s="20">
        <f t="shared" si="3"/>
        <v>34.166666666666664</v>
      </c>
    </row>
    <row r="120" spans="1:28">
      <c r="A120" s="80">
        <v>2</v>
      </c>
      <c r="B120" s="81" t="s">
        <v>859</v>
      </c>
      <c r="C120" s="82"/>
      <c r="D120" s="83">
        <v>2000</v>
      </c>
      <c r="E120" s="18" t="s">
        <v>7</v>
      </c>
      <c r="F120" s="18" t="s">
        <v>2</v>
      </c>
      <c r="G120" s="18" t="s">
        <v>88</v>
      </c>
      <c r="H120" s="18" t="s">
        <v>20</v>
      </c>
      <c r="I120" s="18" t="s">
        <v>24</v>
      </c>
      <c r="J120" s="18" t="s">
        <v>35</v>
      </c>
      <c r="K120" s="18" t="s">
        <v>38</v>
      </c>
      <c r="L120" s="18" t="s">
        <v>42</v>
      </c>
      <c r="M120" s="18" t="s">
        <v>50</v>
      </c>
      <c r="N120" s="18" t="s">
        <v>66</v>
      </c>
      <c r="O120" s="20">
        <f>2013-Table1[[#This Row],[Startup Year]]</f>
        <v>13</v>
      </c>
      <c r="P120" s="20"/>
      <c r="Q120" s="20">
        <f>VLOOKUP(E120,'Int. Pa.'!$B$3:$C$58,2,FALSE)</f>
        <v>1</v>
      </c>
      <c r="R120" s="20">
        <f>VLOOKUP(F120,'Int. Pa.'!$B$3:$C$58,2,FALSE)</f>
        <v>10</v>
      </c>
      <c r="S120" s="20">
        <f>VLOOKUP(G120,'Int. Pa.'!$B$3:$C$58,2,FALSE)</f>
        <v>0</v>
      </c>
      <c r="T120" s="20">
        <f>VLOOKUP(H120,'Int. Pa.'!$B$3:$C$58,2,FALSE)</f>
        <v>1</v>
      </c>
      <c r="U120" s="20">
        <f>VLOOKUP(I120,'Int. Pa.'!$B$3:$C$58,2,FALSE)</f>
        <v>0</v>
      </c>
      <c r="V120" s="20">
        <f>VLOOKUP(J120,'Int. Pa.'!$B$3:$C$58,2,FALSE)</f>
        <v>10</v>
      </c>
      <c r="W120" s="20">
        <f>VLOOKUP(K120,'Int. Pa.'!$B$3:$C$58,2,FALSE)</f>
        <v>1</v>
      </c>
      <c r="X120" s="20">
        <f>VLOOKUP(L120,'Int. Pa.'!$B$3:$C$58,2,FALSE)</f>
        <v>1</v>
      </c>
      <c r="Y120" s="20">
        <f>VLOOKUP(M120,'Int. Pa.'!$B$3:$C$58,2,FALSE)</f>
        <v>5</v>
      </c>
      <c r="Z120" s="20">
        <f>VLOOKUP(N120,'Int. Pa.'!$B$3:$C$58,2,FALSE)</f>
        <v>6</v>
      </c>
      <c r="AA120" s="20">
        <f t="shared" si="2"/>
        <v>3</v>
      </c>
      <c r="AB120" s="20">
        <f t="shared" si="3"/>
        <v>34.166666666666664</v>
      </c>
    </row>
    <row r="121" spans="1:28">
      <c r="A121" s="80">
        <v>2</v>
      </c>
      <c r="B121" s="81" t="s">
        <v>860</v>
      </c>
      <c r="C121" s="82" t="s">
        <v>628</v>
      </c>
      <c r="D121" s="83">
        <v>2000</v>
      </c>
      <c r="E121" s="18" t="s">
        <v>7</v>
      </c>
      <c r="F121" s="18" t="s">
        <v>2</v>
      </c>
      <c r="G121" s="18" t="s">
        <v>88</v>
      </c>
      <c r="H121" s="18" t="s">
        <v>20</v>
      </c>
      <c r="I121" s="18" t="s">
        <v>24</v>
      </c>
      <c r="J121" s="18" t="s">
        <v>35</v>
      </c>
      <c r="K121" s="18" t="s">
        <v>38</v>
      </c>
      <c r="L121" s="18" t="s">
        <v>42</v>
      </c>
      <c r="M121" s="18" t="s">
        <v>50</v>
      </c>
      <c r="N121" s="18" t="s">
        <v>66</v>
      </c>
      <c r="O121" s="20">
        <f>2013-Table1[[#This Row],[Startup Year]]</f>
        <v>13</v>
      </c>
      <c r="P121" s="20"/>
      <c r="Q121" s="20">
        <f>VLOOKUP(E121,'Int. Pa.'!$B$3:$C$58,2,FALSE)</f>
        <v>1</v>
      </c>
      <c r="R121" s="20">
        <f>VLOOKUP(F121,'Int. Pa.'!$B$3:$C$58,2,FALSE)</f>
        <v>10</v>
      </c>
      <c r="S121" s="20">
        <f>VLOOKUP(G121,'Int. Pa.'!$B$3:$C$58,2,FALSE)</f>
        <v>0</v>
      </c>
      <c r="T121" s="20">
        <f>VLOOKUP(H121,'Int. Pa.'!$B$3:$C$58,2,FALSE)</f>
        <v>1</v>
      </c>
      <c r="U121" s="20">
        <f>VLOOKUP(I121,'Int. Pa.'!$B$3:$C$58,2,FALSE)</f>
        <v>0</v>
      </c>
      <c r="V121" s="20">
        <f>VLOOKUP(J121,'Int. Pa.'!$B$3:$C$58,2,FALSE)</f>
        <v>10</v>
      </c>
      <c r="W121" s="20">
        <f>VLOOKUP(K121,'Int. Pa.'!$B$3:$C$58,2,FALSE)</f>
        <v>1</v>
      </c>
      <c r="X121" s="20">
        <f>VLOOKUP(L121,'Int. Pa.'!$B$3:$C$58,2,FALSE)</f>
        <v>1</v>
      </c>
      <c r="Y121" s="20">
        <f>VLOOKUP(M121,'Int. Pa.'!$B$3:$C$58,2,FALSE)</f>
        <v>5</v>
      </c>
      <c r="Z121" s="20">
        <f>VLOOKUP(N121,'Int. Pa.'!$B$3:$C$58,2,FALSE)</f>
        <v>6</v>
      </c>
      <c r="AA121" s="20">
        <f t="shared" si="2"/>
        <v>3</v>
      </c>
      <c r="AB121" s="20">
        <f t="shared" si="3"/>
        <v>34.166666666666664</v>
      </c>
    </row>
    <row r="122" spans="1:28">
      <c r="A122" s="80">
        <v>2</v>
      </c>
      <c r="B122" s="81" t="s">
        <v>861</v>
      </c>
      <c r="C122" s="82" t="s">
        <v>630</v>
      </c>
      <c r="D122" s="83">
        <v>2000</v>
      </c>
      <c r="E122" s="18" t="s">
        <v>7</v>
      </c>
      <c r="F122" s="18" t="s">
        <v>2</v>
      </c>
      <c r="G122" s="18" t="s">
        <v>88</v>
      </c>
      <c r="H122" s="18" t="s">
        <v>20</v>
      </c>
      <c r="I122" s="18" t="s">
        <v>24</v>
      </c>
      <c r="J122" s="18" t="s">
        <v>35</v>
      </c>
      <c r="K122" s="18" t="s">
        <v>38</v>
      </c>
      <c r="L122" s="18" t="s">
        <v>42</v>
      </c>
      <c r="M122" s="18" t="s">
        <v>50</v>
      </c>
      <c r="N122" s="18" t="s">
        <v>66</v>
      </c>
      <c r="O122" s="20">
        <f>2013-Table1[[#This Row],[Startup Year]]</f>
        <v>13</v>
      </c>
      <c r="P122" s="20"/>
      <c r="Q122" s="20">
        <f>VLOOKUP(E122,'Int. Pa.'!$B$3:$C$58,2,FALSE)</f>
        <v>1</v>
      </c>
      <c r="R122" s="20">
        <f>VLOOKUP(F122,'Int. Pa.'!$B$3:$C$58,2,FALSE)</f>
        <v>10</v>
      </c>
      <c r="S122" s="20">
        <f>VLOOKUP(G122,'Int. Pa.'!$B$3:$C$58,2,FALSE)</f>
        <v>0</v>
      </c>
      <c r="T122" s="20">
        <f>VLOOKUP(H122,'Int. Pa.'!$B$3:$C$58,2,FALSE)</f>
        <v>1</v>
      </c>
      <c r="U122" s="20">
        <f>VLOOKUP(I122,'Int. Pa.'!$B$3:$C$58,2,FALSE)</f>
        <v>0</v>
      </c>
      <c r="V122" s="20">
        <f>VLOOKUP(J122,'Int. Pa.'!$B$3:$C$58,2,FALSE)</f>
        <v>10</v>
      </c>
      <c r="W122" s="20">
        <f>VLOOKUP(K122,'Int. Pa.'!$B$3:$C$58,2,FALSE)</f>
        <v>1</v>
      </c>
      <c r="X122" s="20">
        <f>VLOOKUP(L122,'Int. Pa.'!$B$3:$C$58,2,FALSE)</f>
        <v>1</v>
      </c>
      <c r="Y122" s="20">
        <f>VLOOKUP(M122,'Int. Pa.'!$B$3:$C$58,2,FALSE)</f>
        <v>5</v>
      </c>
      <c r="Z122" s="20">
        <f>VLOOKUP(N122,'Int. Pa.'!$B$3:$C$58,2,FALSE)</f>
        <v>6</v>
      </c>
      <c r="AA122" s="20">
        <f t="shared" si="2"/>
        <v>3</v>
      </c>
      <c r="AB122" s="20">
        <f t="shared" si="3"/>
        <v>34.166666666666664</v>
      </c>
    </row>
    <row r="123" spans="1:28">
      <c r="A123" s="80">
        <v>2</v>
      </c>
      <c r="B123" s="81" t="s">
        <v>862</v>
      </c>
      <c r="C123" s="82" t="s">
        <v>632</v>
      </c>
      <c r="D123" s="83">
        <v>2000</v>
      </c>
      <c r="E123" s="18" t="s">
        <v>7</v>
      </c>
      <c r="F123" s="18" t="s">
        <v>2</v>
      </c>
      <c r="G123" s="18" t="s">
        <v>88</v>
      </c>
      <c r="H123" s="18" t="s">
        <v>20</v>
      </c>
      <c r="I123" s="18" t="s">
        <v>24</v>
      </c>
      <c r="J123" s="18" t="s">
        <v>35</v>
      </c>
      <c r="K123" s="18" t="s">
        <v>38</v>
      </c>
      <c r="L123" s="18" t="s">
        <v>42</v>
      </c>
      <c r="M123" s="18" t="s">
        <v>50</v>
      </c>
      <c r="N123" s="18" t="s">
        <v>66</v>
      </c>
      <c r="O123" s="20">
        <f>2013-Table1[[#This Row],[Startup Year]]</f>
        <v>13</v>
      </c>
      <c r="P123" s="20"/>
      <c r="Q123" s="20">
        <f>VLOOKUP(E123,'Int. Pa.'!$B$3:$C$58,2,FALSE)</f>
        <v>1</v>
      </c>
      <c r="R123" s="20">
        <f>VLOOKUP(F123,'Int. Pa.'!$B$3:$C$58,2,FALSE)</f>
        <v>10</v>
      </c>
      <c r="S123" s="20">
        <f>VLOOKUP(G123,'Int. Pa.'!$B$3:$C$58,2,FALSE)</f>
        <v>0</v>
      </c>
      <c r="T123" s="20">
        <f>VLOOKUP(H123,'Int. Pa.'!$B$3:$C$58,2,FALSE)</f>
        <v>1</v>
      </c>
      <c r="U123" s="20">
        <f>VLOOKUP(I123,'Int. Pa.'!$B$3:$C$58,2,FALSE)</f>
        <v>0</v>
      </c>
      <c r="V123" s="20">
        <f>VLOOKUP(J123,'Int. Pa.'!$B$3:$C$58,2,FALSE)</f>
        <v>10</v>
      </c>
      <c r="W123" s="20">
        <f>VLOOKUP(K123,'Int. Pa.'!$B$3:$C$58,2,FALSE)</f>
        <v>1</v>
      </c>
      <c r="X123" s="20">
        <f>VLOOKUP(L123,'Int. Pa.'!$B$3:$C$58,2,FALSE)</f>
        <v>1</v>
      </c>
      <c r="Y123" s="20">
        <f>VLOOKUP(M123,'Int. Pa.'!$B$3:$C$58,2,FALSE)</f>
        <v>5</v>
      </c>
      <c r="Z123" s="20">
        <f>VLOOKUP(N123,'Int. Pa.'!$B$3:$C$58,2,FALSE)</f>
        <v>6</v>
      </c>
      <c r="AA123" s="20">
        <f t="shared" si="2"/>
        <v>3</v>
      </c>
      <c r="AB123" s="20">
        <f t="shared" si="3"/>
        <v>34.166666666666664</v>
      </c>
    </row>
    <row r="124" spans="1:28">
      <c r="A124" s="80">
        <v>2</v>
      </c>
      <c r="B124" s="81" t="s">
        <v>863</v>
      </c>
      <c r="C124" s="82" t="s">
        <v>634</v>
      </c>
      <c r="D124" s="83">
        <v>2000</v>
      </c>
      <c r="E124" s="18" t="s">
        <v>7</v>
      </c>
      <c r="F124" s="18" t="s">
        <v>2</v>
      </c>
      <c r="G124" s="18" t="s">
        <v>88</v>
      </c>
      <c r="H124" s="18" t="s">
        <v>20</v>
      </c>
      <c r="I124" s="18" t="s">
        <v>24</v>
      </c>
      <c r="J124" s="18" t="s">
        <v>35</v>
      </c>
      <c r="K124" s="18" t="s">
        <v>38</v>
      </c>
      <c r="L124" s="18" t="s">
        <v>42</v>
      </c>
      <c r="M124" s="18" t="s">
        <v>50</v>
      </c>
      <c r="N124" s="18" t="s">
        <v>66</v>
      </c>
      <c r="O124" s="20">
        <f>2013-Table1[[#This Row],[Startup Year]]</f>
        <v>13</v>
      </c>
      <c r="P124" s="20"/>
      <c r="Q124" s="20">
        <f>VLOOKUP(E124,'Int. Pa.'!$B$3:$C$58,2,FALSE)</f>
        <v>1</v>
      </c>
      <c r="R124" s="20">
        <f>VLOOKUP(F124,'Int. Pa.'!$B$3:$C$58,2,FALSE)</f>
        <v>10</v>
      </c>
      <c r="S124" s="20">
        <f>VLOOKUP(G124,'Int. Pa.'!$B$3:$C$58,2,FALSE)</f>
        <v>0</v>
      </c>
      <c r="T124" s="20">
        <f>VLOOKUP(H124,'Int. Pa.'!$B$3:$C$58,2,FALSE)</f>
        <v>1</v>
      </c>
      <c r="U124" s="20">
        <f>VLOOKUP(I124,'Int. Pa.'!$B$3:$C$58,2,FALSE)</f>
        <v>0</v>
      </c>
      <c r="V124" s="20">
        <f>VLOOKUP(J124,'Int. Pa.'!$B$3:$C$58,2,FALSE)</f>
        <v>10</v>
      </c>
      <c r="W124" s="20">
        <f>VLOOKUP(K124,'Int. Pa.'!$B$3:$C$58,2,FALSE)</f>
        <v>1</v>
      </c>
      <c r="X124" s="20">
        <f>VLOOKUP(L124,'Int. Pa.'!$B$3:$C$58,2,FALSE)</f>
        <v>1</v>
      </c>
      <c r="Y124" s="20">
        <f>VLOOKUP(M124,'Int. Pa.'!$B$3:$C$58,2,FALSE)</f>
        <v>5</v>
      </c>
      <c r="Z124" s="20">
        <f>VLOOKUP(N124,'Int. Pa.'!$B$3:$C$58,2,FALSE)</f>
        <v>6</v>
      </c>
      <c r="AA124" s="20">
        <f t="shared" si="2"/>
        <v>3</v>
      </c>
      <c r="AB124" s="20">
        <f t="shared" si="3"/>
        <v>34.166666666666664</v>
      </c>
    </row>
    <row r="125" spans="1:28">
      <c r="A125" s="80">
        <v>2</v>
      </c>
      <c r="B125" s="81" t="s">
        <v>864</v>
      </c>
      <c r="C125" s="82" t="s">
        <v>636</v>
      </c>
      <c r="D125" s="83">
        <v>2000</v>
      </c>
      <c r="E125" s="18" t="s">
        <v>7</v>
      </c>
      <c r="F125" s="18" t="s">
        <v>2</v>
      </c>
      <c r="G125" s="18" t="s">
        <v>88</v>
      </c>
      <c r="H125" s="18" t="s">
        <v>20</v>
      </c>
      <c r="I125" s="18" t="s">
        <v>24</v>
      </c>
      <c r="J125" s="18" t="s">
        <v>35</v>
      </c>
      <c r="K125" s="18" t="s">
        <v>38</v>
      </c>
      <c r="L125" s="18" t="s">
        <v>42</v>
      </c>
      <c r="M125" s="18" t="s">
        <v>50</v>
      </c>
      <c r="N125" s="18" t="s">
        <v>66</v>
      </c>
      <c r="O125" s="20">
        <f>2013-Table1[[#This Row],[Startup Year]]</f>
        <v>13</v>
      </c>
      <c r="P125" s="20"/>
      <c r="Q125" s="20">
        <f>VLOOKUP(E125,'Int. Pa.'!$B$3:$C$58,2,FALSE)</f>
        <v>1</v>
      </c>
      <c r="R125" s="20">
        <f>VLOOKUP(F125,'Int. Pa.'!$B$3:$C$58,2,FALSE)</f>
        <v>10</v>
      </c>
      <c r="S125" s="20">
        <f>VLOOKUP(G125,'Int. Pa.'!$B$3:$C$58,2,FALSE)</f>
        <v>0</v>
      </c>
      <c r="T125" s="20">
        <f>VLOOKUP(H125,'Int. Pa.'!$B$3:$C$58,2,FALSE)</f>
        <v>1</v>
      </c>
      <c r="U125" s="20">
        <f>VLOOKUP(I125,'Int. Pa.'!$B$3:$C$58,2,FALSE)</f>
        <v>0</v>
      </c>
      <c r="V125" s="20">
        <f>VLOOKUP(J125,'Int. Pa.'!$B$3:$C$58,2,FALSE)</f>
        <v>10</v>
      </c>
      <c r="W125" s="20">
        <f>VLOOKUP(K125,'Int. Pa.'!$B$3:$C$58,2,FALSE)</f>
        <v>1</v>
      </c>
      <c r="X125" s="20">
        <f>VLOOKUP(L125,'Int. Pa.'!$B$3:$C$58,2,FALSE)</f>
        <v>1</v>
      </c>
      <c r="Y125" s="20">
        <f>VLOOKUP(M125,'Int. Pa.'!$B$3:$C$58,2,FALSE)</f>
        <v>5</v>
      </c>
      <c r="Z125" s="20">
        <f>VLOOKUP(N125,'Int. Pa.'!$B$3:$C$58,2,FALSE)</f>
        <v>6</v>
      </c>
      <c r="AA125" s="20">
        <f t="shared" si="2"/>
        <v>3</v>
      </c>
      <c r="AB125" s="20">
        <f t="shared" si="3"/>
        <v>34.166666666666664</v>
      </c>
    </row>
    <row r="126" spans="1:28">
      <c r="A126" s="80">
        <v>2</v>
      </c>
      <c r="B126" s="81" t="s">
        <v>865</v>
      </c>
      <c r="C126" s="82" t="s">
        <v>638</v>
      </c>
      <c r="D126" s="83">
        <v>2000</v>
      </c>
      <c r="E126" s="18" t="s">
        <v>7</v>
      </c>
      <c r="F126" s="18" t="s">
        <v>2</v>
      </c>
      <c r="G126" s="18" t="s">
        <v>88</v>
      </c>
      <c r="H126" s="18" t="s">
        <v>20</v>
      </c>
      <c r="I126" s="18" t="s">
        <v>24</v>
      </c>
      <c r="J126" s="18" t="s">
        <v>35</v>
      </c>
      <c r="K126" s="18" t="s">
        <v>38</v>
      </c>
      <c r="L126" s="18" t="s">
        <v>42</v>
      </c>
      <c r="M126" s="18" t="s">
        <v>50</v>
      </c>
      <c r="N126" s="18" t="s">
        <v>66</v>
      </c>
      <c r="O126" s="20">
        <f>2013-Table1[[#This Row],[Startup Year]]</f>
        <v>13</v>
      </c>
      <c r="P126" s="20"/>
      <c r="Q126" s="20">
        <f>VLOOKUP(E126,'Int. Pa.'!$B$3:$C$58,2,FALSE)</f>
        <v>1</v>
      </c>
      <c r="R126" s="20">
        <f>VLOOKUP(F126,'Int. Pa.'!$B$3:$C$58,2,FALSE)</f>
        <v>10</v>
      </c>
      <c r="S126" s="20">
        <f>VLOOKUP(G126,'Int. Pa.'!$B$3:$C$58,2,FALSE)</f>
        <v>0</v>
      </c>
      <c r="T126" s="20">
        <f>VLOOKUP(H126,'Int. Pa.'!$B$3:$C$58,2,FALSE)</f>
        <v>1</v>
      </c>
      <c r="U126" s="20">
        <f>VLOOKUP(I126,'Int. Pa.'!$B$3:$C$58,2,FALSE)</f>
        <v>0</v>
      </c>
      <c r="V126" s="20">
        <f>VLOOKUP(J126,'Int. Pa.'!$B$3:$C$58,2,FALSE)</f>
        <v>10</v>
      </c>
      <c r="W126" s="20">
        <f>VLOOKUP(K126,'Int. Pa.'!$B$3:$C$58,2,FALSE)</f>
        <v>1</v>
      </c>
      <c r="X126" s="20">
        <f>VLOOKUP(L126,'Int. Pa.'!$B$3:$C$58,2,FALSE)</f>
        <v>1</v>
      </c>
      <c r="Y126" s="20">
        <f>VLOOKUP(M126,'Int. Pa.'!$B$3:$C$58,2,FALSE)</f>
        <v>5</v>
      </c>
      <c r="Z126" s="20">
        <f>VLOOKUP(N126,'Int. Pa.'!$B$3:$C$58,2,FALSE)</f>
        <v>6</v>
      </c>
      <c r="AA126" s="20">
        <f t="shared" si="2"/>
        <v>3</v>
      </c>
      <c r="AB126" s="20">
        <f t="shared" si="3"/>
        <v>34.166666666666664</v>
      </c>
    </row>
    <row r="127" spans="1:28">
      <c r="A127" s="80">
        <v>2</v>
      </c>
      <c r="B127" s="81" t="s">
        <v>866</v>
      </c>
      <c r="C127" s="82"/>
      <c r="D127" s="83">
        <v>2000</v>
      </c>
      <c r="E127" s="18" t="s">
        <v>7</v>
      </c>
      <c r="F127" s="18" t="s">
        <v>2</v>
      </c>
      <c r="G127" s="18" t="s">
        <v>88</v>
      </c>
      <c r="H127" s="18" t="s">
        <v>20</v>
      </c>
      <c r="I127" s="18" t="s">
        <v>24</v>
      </c>
      <c r="J127" s="18" t="s">
        <v>35</v>
      </c>
      <c r="K127" s="18" t="s">
        <v>38</v>
      </c>
      <c r="L127" s="18" t="s">
        <v>42</v>
      </c>
      <c r="M127" s="18" t="s">
        <v>50</v>
      </c>
      <c r="N127" s="18" t="s">
        <v>66</v>
      </c>
      <c r="O127" s="20">
        <f>2013-Table1[[#This Row],[Startup Year]]</f>
        <v>13</v>
      </c>
      <c r="P127" s="20"/>
      <c r="Q127" s="20">
        <f>VLOOKUP(E127,'Int. Pa.'!$B$3:$C$58,2,FALSE)</f>
        <v>1</v>
      </c>
      <c r="R127" s="20">
        <f>VLOOKUP(F127,'Int. Pa.'!$B$3:$C$58,2,FALSE)</f>
        <v>10</v>
      </c>
      <c r="S127" s="20">
        <f>VLOOKUP(G127,'Int. Pa.'!$B$3:$C$58,2,FALSE)</f>
        <v>0</v>
      </c>
      <c r="T127" s="20">
        <f>VLOOKUP(H127,'Int. Pa.'!$B$3:$C$58,2,FALSE)</f>
        <v>1</v>
      </c>
      <c r="U127" s="20">
        <f>VLOOKUP(I127,'Int. Pa.'!$B$3:$C$58,2,FALSE)</f>
        <v>0</v>
      </c>
      <c r="V127" s="20">
        <f>VLOOKUP(J127,'Int. Pa.'!$B$3:$C$58,2,FALSE)</f>
        <v>10</v>
      </c>
      <c r="W127" s="20">
        <f>VLOOKUP(K127,'Int. Pa.'!$B$3:$C$58,2,FALSE)</f>
        <v>1</v>
      </c>
      <c r="X127" s="20">
        <f>VLOOKUP(L127,'Int. Pa.'!$B$3:$C$58,2,FALSE)</f>
        <v>1</v>
      </c>
      <c r="Y127" s="20">
        <f>VLOOKUP(M127,'Int. Pa.'!$B$3:$C$58,2,FALSE)</f>
        <v>5</v>
      </c>
      <c r="Z127" s="20">
        <f>VLOOKUP(N127,'Int. Pa.'!$B$3:$C$58,2,FALSE)</f>
        <v>6</v>
      </c>
      <c r="AA127" s="20">
        <f t="shared" si="2"/>
        <v>3</v>
      </c>
      <c r="AB127" s="20">
        <f t="shared" si="3"/>
        <v>34.166666666666664</v>
      </c>
    </row>
    <row r="128" spans="1:28">
      <c r="A128" s="80">
        <v>2</v>
      </c>
      <c r="B128" s="81" t="s">
        <v>867</v>
      </c>
      <c r="C128" s="82" t="s">
        <v>640</v>
      </c>
      <c r="D128" s="83">
        <v>2000</v>
      </c>
      <c r="E128" s="18" t="s">
        <v>7</v>
      </c>
      <c r="F128" s="18" t="s">
        <v>2</v>
      </c>
      <c r="G128" s="18" t="s">
        <v>88</v>
      </c>
      <c r="H128" s="18" t="s">
        <v>20</v>
      </c>
      <c r="I128" s="18" t="s">
        <v>24</v>
      </c>
      <c r="J128" s="18" t="s">
        <v>35</v>
      </c>
      <c r="K128" s="18" t="s">
        <v>38</v>
      </c>
      <c r="L128" s="18" t="s">
        <v>42</v>
      </c>
      <c r="M128" s="18" t="s">
        <v>50</v>
      </c>
      <c r="N128" s="18" t="s">
        <v>66</v>
      </c>
      <c r="O128" s="20">
        <f>2013-Table1[[#This Row],[Startup Year]]</f>
        <v>13</v>
      </c>
      <c r="P128" s="20"/>
      <c r="Q128" s="20">
        <f>VLOOKUP(E128,'Int. Pa.'!$B$3:$C$58,2,FALSE)</f>
        <v>1</v>
      </c>
      <c r="R128" s="20">
        <f>VLOOKUP(F128,'Int. Pa.'!$B$3:$C$58,2,FALSE)</f>
        <v>10</v>
      </c>
      <c r="S128" s="20">
        <f>VLOOKUP(G128,'Int. Pa.'!$B$3:$C$58,2,FALSE)</f>
        <v>0</v>
      </c>
      <c r="T128" s="20">
        <f>VLOOKUP(H128,'Int. Pa.'!$B$3:$C$58,2,FALSE)</f>
        <v>1</v>
      </c>
      <c r="U128" s="20">
        <f>VLOOKUP(I128,'Int. Pa.'!$B$3:$C$58,2,FALSE)</f>
        <v>0</v>
      </c>
      <c r="V128" s="20">
        <f>VLOOKUP(J128,'Int. Pa.'!$B$3:$C$58,2,FALSE)</f>
        <v>10</v>
      </c>
      <c r="W128" s="20">
        <f>VLOOKUP(K128,'Int. Pa.'!$B$3:$C$58,2,FALSE)</f>
        <v>1</v>
      </c>
      <c r="X128" s="20">
        <f>VLOOKUP(L128,'Int. Pa.'!$B$3:$C$58,2,FALSE)</f>
        <v>1</v>
      </c>
      <c r="Y128" s="20">
        <f>VLOOKUP(M128,'Int. Pa.'!$B$3:$C$58,2,FALSE)</f>
        <v>5</v>
      </c>
      <c r="Z128" s="20">
        <f>VLOOKUP(N128,'Int. Pa.'!$B$3:$C$58,2,FALSE)</f>
        <v>6</v>
      </c>
      <c r="AA128" s="20">
        <f t="shared" si="2"/>
        <v>3</v>
      </c>
      <c r="AB128" s="20">
        <f t="shared" si="3"/>
        <v>34.166666666666664</v>
      </c>
    </row>
    <row r="129" spans="1:28">
      <c r="A129" s="80">
        <v>2</v>
      </c>
      <c r="B129" s="81" t="s">
        <v>868</v>
      </c>
      <c r="C129" s="82" t="s">
        <v>642</v>
      </c>
      <c r="D129" s="83">
        <v>2000</v>
      </c>
      <c r="E129" s="18" t="s">
        <v>7</v>
      </c>
      <c r="F129" s="18" t="s">
        <v>2</v>
      </c>
      <c r="G129" s="18" t="s">
        <v>88</v>
      </c>
      <c r="H129" s="18" t="s">
        <v>20</v>
      </c>
      <c r="I129" s="18" t="s">
        <v>24</v>
      </c>
      <c r="J129" s="18" t="s">
        <v>35</v>
      </c>
      <c r="K129" s="18" t="s">
        <v>38</v>
      </c>
      <c r="L129" s="18" t="s">
        <v>42</v>
      </c>
      <c r="M129" s="18" t="s">
        <v>50</v>
      </c>
      <c r="N129" s="18" t="s">
        <v>66</v>
      </c>
      <c r="O129" s="20">
        <f>2013-Table1[[#This Row],[Startup Year]]</f>
        <v>13</v>
      </c>
      <c r="P129" s="20"/>
      <c r="Q129" s="20">
        <f>VLOOKUP(E129,'Int. Pa.'!$B$3:$C$58,2,FALSE)</f>
        <v>1</v>
      </c>
      <c r="R129" s="20">
        <f>VLOOKUP(F129,'Int. Pa.'!$B$3:$C$58,2,FALSE)</f>
        <v>10</v>
      </c>
      <c r="S129" s="20">
        <f>VLOOKUP(G129,'Int. Pa.'!$B$3:$C$58,2,FALSE)</f>
        <v>0</v>
      </c>
      <c r="T129" s="20">
        <f>VLOOKUP(H129,'Int. Pa.'!$B$3:$C$58,2,FALSE)</f>
        <v>1</v>
      </c>
      <c r="U129" s="20">
        <f>VLOOKUP(I129,'Int. Pa.'!$B$3:$C$58,2,FALSE)</f>
        <v>0</v>
      </c>
      <c r="V129" s="20">
        <f>VLOOKUP(J129,'Int. Pa.'!$B$3:$C$58,2,FALSE)</f>
        <v>10</v>
      </c>
      <c r="W129" s="20">
        <f>VLOOKUP(K129,'Int. Pa.'!$B$3:$C$58,2,FALSE)</f>
        <v>1</v>
      </c>
      <c r="X129" s="20">
        <f>VLOOKUP(L129,'Int. Pa.'!$B$3:$C$58,2,FALSE)</f>
        <v>1</v>
      </c>
      <c r="Y129" s="20">
        <f>VLOOKUP(M129,'Int. Pa.'!$B$3:$C$58,2,FALSE)</f>
        <v>5</v>
      </c>
      <c r="Z129" s="20">
        <f>VLOOKUP(N129,'Int. Pa.'!$B$3:$C$58,2,FALSE)</f>
        <v>6</v>
      </c>
      <c r="AA129" s="20">
        <f t="shared" si="2"/>
        <v>3</v>
      </c>
      <c r="AB129" s="20">
        <f t="shared" si="3"/>
        <v>34.166666666666664</v>
      </c>
    </row>
    <row r="130" spans="1:28">
      <c r="A130" s="80">
        <v>2</v>
      </c>
      <c r="B130" s="81" t="s">
        <v>869</v>
      </c>
      <c r="C130" s="82" t="s">
        <v>644</v>
      </c>
      <c r="D130" s="83">
        <v>2000</v>
      </c>
      <c r="E130" s="18" t="s">
        <v>7</v>
      </c>
      <c r="F130" s="18" t="s">
        <v>2</v>
      </c>
      <c r="G130" s="18" t="s">
        <v>88</v>
      </c>
      <c r="H130" s="18" t="s">
        <v>20</v>
      </c>
      <c r="I130" s="18" t="s">
        <v>24</v>
      </c>
      <c r="J130" s="18" t="s">
        <v>35</v>
      </c>
      <c r="K130" s="18" t="s">
        <v>38</v>
      </c>
      <c r="L130" s="18" t="s">
        <v>42</v>
      </c>
      <c r="M130" s="18" t="s">
        <v>50</v>
      </c>
      <c r="N130" s="18" t="s">
        <v>66</v>
      </c>
      <c r="O130" s="20">
        <f>2013-Table1[[#This Row],[Startup Year]]</f>
        <v>13</v>
      </c>
      <c r="P130" s="20"/>
      <c r="Q130" s="20">
        <f>VLOOKUP(E130,'Int. Pa.'!$B$3:$C$58,2,FALSE)</f>
        <v>1</v>
      </c>
      <c r="R130" s="20">
        <f>VLOOKUP(F130,'Int. Pa.'!$B$3:$C$58,2,FALSE)</f>
        <v>10</v>
      </c>
      <c r="S130" s="20">
        <f>VLOOKUP(G130,'Int. Pa.'!$B$3:$C$58,2,FALSE)</f>
        <v>0</v>
      </c>
      <c r="T130" s="20">
        <f>VLOOKUP(H130,'Int. Pa.'!$B$3:$C$58,2,FALSE)</f>
        <v>1</v>
      </c>
      <c r="U130" s="20">
        <f>VLOOKUP(I130,'Int. Pa.'!$B$3:$C$58,2,FALSE)</f>
        <v>0</v>
      </c>
      <c r="V130" s="20">
        <f>VLOOKUP(J130,'Int. Pa.'!$B$3:$C$58,2,FALSE)</f>
        <v>10</v>
      </c>
      <c r="W130" s="20">
        <f>VLOOKUP(K130,'Int. Pa.'!$B$3:$C$58,2,FALSE)</f>
        <v>1</v>
      </c>
      <c r="X130" s="20">
        <f>VLOOKUP(L130,'Int. Pa.'!$B$3:$C$58,2,FALSE)</f>
        <v>1</v>
      </c>
      <c r="Y130" s="20">
        <f>VLOOKUP(M130,'Int. Pa.'!$B$3:$C$58,2,FALSE)</f>
        <v>5</v>
      </c>
      <c r="Z130" s="20">
        <f>VLOOKUP(N130,'Int. Pa.'!$B$3:$C$58,2,FALSE)</f>
        <v>6</v>
      </c>
      <c r="AA130" s="20">
        <f t="shared" si="2"/>
        <v>3</v>
      </c>
      <c r="AB130" s="20">
        <f t="shared" si="3"/>
        <v>34.166666666666664</v>
      </c>
    </row>
    <row r="131" spans="1:28">
      <c r="A131" s="80">
        <v>2</v>
      </c>
      <c r="B131" s="81" t="s">
        <v>870</v>
      </c>
      <c r="C131" s="82" t="s">
        <v>646</v>
      </c>
      <c r="D131" s="83">
        <v>2000</v>
      </c>
      <c r="E131" s="18" t="s">
        <v>7</v>
      </c>
      <c r="F131" s="18" t="s">
        <v>2</v>
      </c>
      <c r="G131" s="18" t="s">
        <v>88</v>
      </c>
      <c r="H131" s="18" t="s">
        <v>20</v>
      </c>
      <c r="I131" s="18" t="s">
        <v>24</v>
      </c>
      <c r="J131" s="18" t="s">
        <v>35</v>
      </c>
      <c r="K131" s="18" t="s">
        <v>38</v>
      </c>
      <c r="L131" s="18" t="s">
        <v>42</v>
      </c>
      <c r="M131" s="18" t="s">
        <v>50</v>
      </c>
      <c r="N131" s="18" t="s">
        <v>66</v>
      </c>
      <c r="O131" s="20">
        <f>2013-Table1[[#This Row],[Startup Year]]</f>
        <v>13</v>
      </c>
      <c r="P131" s="20"/>
      <c r="Q131" s="20">
        <f>VLOOKUP(E131,'Int. Pa.'!$B$3:$C$58,2,FALSE)</f>
        <v>1</v>
      </c>
      <c r="R131" s="20">
        <f>VLOOKUP(F131,'Int. Pa.'!$B$3:$C$58,2,FALSE)</f>
        <v>10</v>
      </c>
      <c r="S131" s="20">
        <f>VLOOKUP(G131,'Int. Pa.'!$B$3:$C$58,2,FALSE)</f>
        <v>0</v>
      </c>
      <c r="T131" s="20">
        <f>VLOOKUP(H131,'Int. Pa.'!$B$3:$C$58,2,FALSE)</f>
        <v>1</v>
      </c>
      <c r="U131" s="20">
        <f>VLOOKUP(I131,'Int. Pa.'!$B$3:$C$58,2,FALSE)</f>
        <v>0</v>
      </c>
      <c r="V131" s="20">
        <f>VLOOKUP(J131,'Int. Pa.'!$B$3:$C$58,2,FALSE)</f>
        <v>10</v>
      </c>
      <c r="W131" s="20">
        <f>VLOOKUP(K131,'Int. Pa.'!$B$3:$C$58,2,FALSE)</f>
        <v>1</v>
      </c>
      <c r="X131" s="20">
        <f>VLOOKUP(L131,'Int. Pa.'!$B$3:$C$58,2,FALSE)</f>
        <v>1</v>
      </c>
      <c r="Y131" s="20">
        <f>VLOOKUP(M131,'Int. Pa.'!$B$3:$C$58,2,FALSE)</f>
        <v>5</v>
      </c>
      <c r="Z131" s="20">
        <f>VLOOKUP(N131,'Int. Pa.'!$B$3:$C$58,2,FALSE)</f>
        <v>6</v>
      </c>
      <c r="AA131" s="20">
        <f t="shared" si="2"/>
        <v>3</v>
      </c>
      <c r="AB131" s="20">
        <f t="shared" si="3"/>
        <v>34.166666666666664</v>
      </c>
    </row>
    <row r="132" spans="1:28">
      <c r="A132" s="80">
        <v>2</v>
      </c>
      <c r="B132" s="81" t="s">
        <v>871</v>
      </c>
      <c r="C132" s="82" t="s">
        <v>648</v>
      </c>
      <c r="D132" s="83">
        <v>2000</v>
      </c>
      <c r="E132" s="18" t="s">
        <v>7</v>
      </c>
      <c r="F132" s="18" t="s">
        <v>2</v>
      </c>
      <c r="G132" s="18" t="s">
        <v>88</v>
      </c>
      <c r="H132" s="18" t="s">
        <v>20</v>
      </c>
      <c r="I132" s="18" t="s">
        <v>24</v>
      </c>
      <c r="J132" s="18" t="s">
        <v>35</v>
      </c>
      <c r="K132" s="18" t="s">
        <v>38</v>
      </c>
      <c r="L132" s="18" t="s">
        <v>42</v>
      </c>
      <c r="M132" s="18" t="s">
        <v>50</v>
      </c>
      <c r="N132" s="18" t="s">
        <v>66</v>
      </c>
      <c r="O132" s="20">
        <f>2013-Table1[[#This Row],[Startup Year]]</f>
        <v>13</v>
      </c>
      <c r="P132" s="20"/>
      <c r="Q132" s="20">
        <f>VLOOKUP(E132,'Int. Pa.'!$B$3:$C$58,2,FALSE)</f>
        <v>1</v>
      </c>
      <c r="R132" s="20">
        <f>VLOOKUP(F132,'Int. Pa.'!$B$3:$C$58,2,FALSE)</f>
        <v>10</v>
      </c>
      <c r="S132" s="20">
        <f>VLOOKUP(G132,'Int. Pa.'!$B$3:$C$58,2,FALSE)</f>
        <v>0</v>
      </c>
      <c r="T132" s="20">
        <f>VLOOKUP(H132,'Int. Pa.'!$B$3:$C$58,2,FALSE)</f>
        <v>1</v>
      </c>
      <c r="U132" s="20">
        <f>VLOOKUP(I132,'Int. Pa.'!$B$3:$C$58,2,FALSE)</f>
        <v>0</v>
      </c>
      <c r="V132" s="20">
        <f>VLOOKUP(J132,'Int. Pa.'!$B$3:$C$58,2,FALSE)</f>
        <v>10</v>
      </c>
      <c r="W132" s="20">
        <f>VLOOKUP(K132,'Int. Pa.'!$B$3:$C$58,2,FALSE)</f>
        <v>1</v>
      </c>
      <c r="X132" s="20">
        <f>VLOOKUP(L132,'Int. Pa.'!$B$3:$C$58,2,FALSE)</f>
        <v>1</v>
      </c>
      <c r="Y132" s="20">
        <f>VLOOKUP(M132,'Int. Pa.'!$B$3:$C$58,2,FALSE)</f>
        <v>5</v>
      </c>
      <c r="Z132" s="20">
        <f>VLOOKUP(N132,'Int. Pa.'!$B$3:$C$58,2,FALSE)</f>
        <v>6</v>
      </c>
      <c r="AA132" s="20">
        <f t="shared" si="2"/>
        <v>3</v>
      </c>
      <c r="AB132" s="20">
        <f t="shared" si="3"/>
        <v>34.166666666666664</v>
      </c>
    </row>
    <row r="133" spans="1:28">
      <c r="A133" s="80">
        <v>2</v>
      </c>
      <c r="B133" s="81" t="s">
        <v>872</v>
      </c>
      <c r="C133" s="82" t="s">
        <v>650</v>
      </c>
      <c r="D133" s="83">
        <v>2000</v>
      </c>
      <c r="E133" s="18" t="s">
        <v>7</v>
      </c>
      <c r="F133" s="18" t="s">
        <v>2</v>
      </c>
      <c r="G133" s="18" t="s">
        <v>88</v>
      </c>
      <c r="H133" s="18" t="s">
        <v>20</v>
      </c>
      <c r="I133" s="18" t="s">
        <v>24</v>
      </c>
      <c r="J133" s="18" t="s">
        <v>35</v>
      </c>
      <c r="K133" s="18" t="s">
        <v>38</v>
      </c>
      <c r="L133" s="18" t="s">
        <v>42</v>
      </c>
      <c r="M133" s="18" t="s">
        <v>50</v>
      </c>
      <c r="N133" s="18" t="s">
        <v>66</v>
      </c>
      <c r="O133" s="20">
        <f>2013-Table1[[#This Row],[Startup Year]]</f>
        <v>13</v>
      </c>
      <c r="P133" s="20"/>
      <c r="Q133" s="20">
        <f>VLOOKUP(E133,'Int. Pa.'!$B$3:$C$58,2,FALSE)</f>
        <v>1</v>
      </c>
      <c r="R133" s="20">
        <f>VLOOKUP(F133,'Int. Pa.'!$B$3:$C$58,2,FALSE)</f>
        <v>10</v>
      </c>
      <c r="S133" s="20">
        <f>VLOOKUP(G133,'Int. Pa.'!$B$3:$C$58,2,FALSE)</f>
        <v>0</v>
      </c>
      <c r="T133" s="20">
        <f>VLOOKUP(H133,'Int. Pa.'!$B$3:$C$58,2,FALSE)</f>
        <v>1</v>
      </c>
      <c r="U133" s="20">
        <f>VLOOKUP(I133,'Int. Pa.'!$B$3:$C$58,2,FALSE)</f>
        <v>0</v>
      </c>
      <c r="V133" s="20">
        <f>VLOOKUP(J133,'Int. Pa.'!$B$3:$C$58,2,FALSE)</f>
        <v>10</v>
      </c>
      <c r="W133" s="20">
        <f>VLOOKUP(K133,'Int. Pa.'!$B$3:$C$58,2,FALSE)</f>
        <v>1</v>
      </c>
      <c r="X133" s="20">
        <f>VLOOKUP(L133,'Int. Pa.'!$B$3:$C$58,2,FALSE)</f>
        <v>1</v>
      </c>
      <c r="Y133" s="20">
        <f>VLOOKUP(M133,'Int. Pa.'!$B$3:$C$58,2,FALSE)</f>
        <v>5</v>
      </c>
      <c r="Z133" s="20">
        <f>VLOOKUP(N133,'Int. Pa.'!$B$3:$C$58,2,FALSE)</f>
        <v>6</v>
      </c>
      <c r="AA133" s="20">
        <f t="shared" si="2"/>
        <v>3</v>
      </c>
      <c r="AB133" s="20">
        <f t="shared" si="3"/>
        <v>34.166666666666664</v>
      </c>
    </row>
    <row r="134" spans="1:28">
      <c r="A134" s="80">
        <v>2</v>
      </c>
      <c r="B134" s="81" t="s">
        <v>873</v>
      </c>
      <c r="C134" s="82" t="s">
        <v>652</v>
      </c>
      <c r="D134" s="83">
        <v>2000</v>
      </c>
      <c r="E134" s="18" t="s">
        <v>7</v>
      </c>
      <c r="F134" s="18" t="s">
        <v>2</v>
      </c>
      <c r="G134" s="18" t="s">
        <v>88</v>
      </c>
      <c r="H134" s="18" t="s">
        <v>20</v>
      </c>
      <c r="I134" s="18" t="s">
        <v>24</v>
      </c>
      <c r="J134" s="18" t="s">
        <v>35</v>
      </c>
      <c r="K134" s="18" t="s">
        <v>38</v>
      </c>
      <c r="L134" s="18" t="s">
        <v>42</v>
      </c>
      <c r="M134" s="18" t="s">
        <v>50</v>
      </c>
      <c r="N134" s="18" t="s">
        <v>66</v>
      </c>
      <c r="O134" s="20">
        <f>2013-Table1[[#This Row],[Startup Year]]</f>
        <v>13</v>
      </c>
      <c r="P134" s="20"/>
      <c r="Q134" s="20">
        <f>VLOOKUP(E134,'Int. Pa.'!$B$3:$C$58,2,FALSE)</f>
        <v>1</v>
      </c>
      <c r="R134" s="20">
        <f>VLOOKUP(F134,'Int. Pa.'!$B$3:$C$58,2,FALSE)</f>
        <v>10</v>
      </c>
      <c r="S134" s="20">
        <f>VLOOKUP(G134,'Int. Pa.'!$B$3:$C$58,2,FALSE)</f>
        <v>0</v>
      </c>
      <c r="T134" s="20">
        <f>VLOOKUP(H134,'Int. Pa.'!$B$3:$C$58,2,FALSE)</f>
        <v>1</v>
      </c>
      <c r="U134" s="20">
        <f>VLOOKUP(I134,'Int. Pa.'!$B$3:$C$58,2,FALSE)</f>
        <v>0</v>
      </c>
      <c r="V134" s="20">
        <f>VLOOKUP(J134,'Int. Pa.'!$B$3:$C$58,2,FALSE)</f>
        <v>10</v>
      </c>
      <c r="W134" s="20">
        <f>VLOOKUP(K134,'Int. Pa.'!$B$3:$C$58,2,FALSE)</f>
        <v>1</v>
      </c>
      <c r="X134" s="20">
        <f>VLOOKUP(L134,'Int. Pa.'!$B$3:$C$58,2,FALSE)</f>
        <v>1</v>
      </c>
      <c r="Y134" s="20">
        <f>VLOOKUP(M134,'Int. Pa.'!$B$3:$C$58,2,FALSE)</f>
        <v>5</v>
      </c>
      <c r="Z134" s="20">
        <f>VLOOKUP(N134,'Int. Pa.'!$B$3:$C$58,2,FALSE)</f>
        <v>6</v>
      </c>
      <c r="AA134" s="20">
        <f t="shared" si="2"/>
        <v>3</v>
      </c>
      <c r="AB134" s="20">
        <f t="shared" si="3"/>
        <v>34.166666666666664</v>
      </c>
    </row>
    <row r="135" spans="1:28">
      <c r="A135" s="80">
        <v>2</v>
      </c>
      <c r="B135" s="81" t="s">
        <v>874</v>
      </c>
      <c r="C135" s="82" t="s">
        <v>723</v>
      </c>
      <c r="D135" s="83">
        <v>2000</v>
      </c>
      <c r="E135" s="18" t="s">
        <v>7</v>
      </c>
      <c r="F135" s="18" t="s">
        <v>2</v>
      </c>
      <c r="G135" s="18" t="s">
        <v>88</v>
      </c>
      <c r="H135" s="18" t="s">
        <v>20</v>
      </c>
      <c r="I135" s="18" t="s">
        <v>24</v>
      </c>
      <c r="J135" s="18" t="s">
        <v>35</v>
      </c>
      <c r="K135" s="18" t="s">
        <v>38</v>
      </c>
      <c r="L135" s="18" t="s">
        <v>42</v>
      </c>
      <c r="M135" s="18" t="s">
        <v>50</v>
      </c>
      <c r="N135" s="18" t="s">
        <v>66</v>
      </c>
      <c r="O135" s="20">
        <f>2013-Table1[[#This Row],[Startup Year]]</f>
        <v>13</v>
      </c>
      <c r="P135" s="20"/>
      <c r="Q135" s="20">
        <f>VLOOKUP(E135,'Int. Pa.'!$B$3:$C$58,2,FALSE)</f>
        <v>1</v>
      </c>
      <c r="R135" s="20">
        <f>VLOOKUP(F135,'Int. Pa.'!$B$3:$C$58,2,FALSE)</f>
        <v>10</v>
      </c>
      <c r="S135" s="20">
        <f>VLOOKUP(G135,'Int. Pa.'!$B$3:$C$58,2,FALSE)</f>
        <v>0</v>
      </c>
      <c r="T135" s="20">
        <f>VLOOKUP(H135,'Int. Pa.'!$B$3:$C$58,2,FALSE)</f>
        <v>1</v>
      </c>
      <c r="U135" s="20">
        <f>VLOOKUP(I135,'Int. Pa.'!$B$3:$C$58,2,FALSE)</f>
        <v>0</v>
      </c>
      <c r="V135" s="20">
        <f>VLOOKUP(J135,'Int. Pa.'!$B$3:$C$58,2,FALSE)</f>
        <v>10</v>
      </c>
      <c r="W135" s="20">
        <f>VLOOKUP(K135,'Int. Pa.'!$B$3:$C$58,2,FALSE)</f>
        <v>1</v>
      </c>
      <c r="X135" s="20">
        <f>VLOOKUP(L135,'Int. Pa.'!$B$3:$C$58,2,FALSE)</f>
        <v>1</v>
      </c>
      <c r="Y135" s="20">
        <f>VLOOKUP(M135,'Int. Pa.'!$B$3:$C$58,2,FALSE)</f>
        <v>5</v>
      </c>
      <c r="Z135" s="20">
        <f>VLOOKUP(N135,'Int. Pa.'!$B$3:$C$58,2,FALSE)</f>
        <v>6</v>
      </c>
      <c r="AA135" s="20">
        <f t="shared" si="2"/>
        <v>3</v>
      </c>
      <c r="AB135" s="20">
        <f t="shared" si="3"/>
        <v>34.166666666666664</v>
      </c>
    </row>
    <row r="136" spans="1:28">
      <c r="A136" s="80">
        <v>2</v>
      </c>
      <c r="B136" s="81" t="s">
        <v>875</v>
      </c>
      <c r="C136" s="82" t="s">
        <v>654</v>
      </c>
      <c r="D136" s="83">
        <v>2000</v>
      </c>
      <c r="E136" s="18" t="s">
        <v>7</v>
      </c>
      <c r="F136" s="18" t="s">
        <v>2</v>
      </c>
      <c r="G136" s="18" t="s">
        <v>88</v>
      </c>
      <c r="H136" s="18" t="s">
        <v>20</v>
      </c>
      <c r="I136" s="18" t="s">
        <v>24</v>
      </c>
      <c r="J136" s="18" t="s">
        <v>35</v>
      </c>
      <c r="K136" s="18" t="s">
        <v>38</v>
      </c>
      <c r="L136" s="18" t="s">
        <v>42</v>
      </c>
      <c r="M136" s="18" t="s">
        <v>50</v>
      </c>
      <c r="N136" s="18" t="s">
        <v>66</v>
      </c>
      <c r="O136" s="20">
        <f>2013-Table1[[#This Row],[Startup Year]]</f>
        <v>13</v>
      </c>
      <c r="P136" s="20"/>
      <c r="Q136" s="20">
        <f>VLOOKUP(E136,'Int. Pa.'!$B$3:$C$58,2,FALSE)</f>
        <v>1</v>
      </c>
      <c r="R136" s="20">
        <f>VLOOKUP(F136,'Int. Pa.'!$B$3:$C$58,2,FALSE)</f>
        <v>10</v>
      </c>
      <c r="S136" s="20">
        <f>VLOOKUP(G136,'Int. Pa.'!$B$3:$C$58,2,FALSE)</f>
        <v>0</v>
      </c>
      <c r="T136" s="20">
        <f>VLOOKUP(H136,'Int. Pa.'!$B$3:$C$58,2,FALSE)</f>
        <v>1</v>
      </c>
      <c r="U136" s="20">
        <f>VLOOKUP(I136,'Int. Pa.'!$B$3:$C$58,2,FALSE)</f>
        <v>0</v>
      </c>
      <c r="V136" s="20">
        <f>VLOOKUP(J136,'Int. Pa.'!$B$3:$C$58,2,FALSE)</f>
        <v>10</v>
      </c>
      <c r="W136" s="20">
        <f>VLOOKUP(K136,'Int. Pa.'!$B$3:$C$58,2,FALSE)</f>
        <v>1</v>
      </c>
      <c r="X136" s="20">
        <f>VLOOKUP(L136,'Int. Pa.'!$B$3:$C$58,2,FALSE)</f>
        <v>1</v>
      </c>
      <c r="Y136" s="20">
        <f>VLOOKUP(M136,'Int. Pa.'!$B$3:$C$58,2,FALSE)</f>
        <v>5</v>
      </c>
      <c r="Z136" s="20">
        <f>VLOOKUP(N136,'Int. Pa.'!$B$3:$C$58,2,FALSE)</f>
        <v>6</v>
      </c>
      <c r="AA136" s="20">
        <f t="shared" si="2"/>
        <v>3</v>
      </c>
      <c r="AB136" s="20">
        <f t="shared" si="3"/>
        <v>34.166666666666664</v>
      </c>
    </row>
    <row r="137" spans="1:28">
      <c r="A137" s="80">
        <v>2</v>
      </c>
      <c r="B137" s="81" t="s">
        <v>876</v>
      </c>
      <c r="C137" s="82"/>
      <c r="D137" s="83">
        <v>2000</v>
      </c>
      <c r="E137" s="18" t="s">
        <v>7</v>
      </c>
      <c r="F137" s="18" t="s">
        <v>2</v>
      </c>
      <c r="G137" s="18" t="s">
        <v>88</v>
      </c>
      <c r="H137" s="18" t="s">
        <v>20</v>
      </c>
      <c r="I137" s="18" t="s">
        <v>24</v>
      </c>
      <c r="J137" s="18" t="s">
        <v>35</v>
      </c>
      <c r="K137" s="18" t="s">
        <v>38</v>
      </c>
      <c r="L137" s="18" t="s">
        <v>42</v>
      </c>
      <c r="M137" s="18" t="s">
        <v>50</v>
      </c>
      <c r="N137" s="18" t="s">
        <v>66</v>
      </c>
      <c r="O137" s="20">
        <f>2013-Table1[[#This Row],[Startup Year]]</f>
        <v>13</v>
      </c>
      <c r="P137" s="20"/>
      <c r="Q137" s="20">
        <f>VLOOKUP(E137,'Int. Pa.'!$B$3:$C$58,2,FALSE)</f>
        <v>1</v>
      </c>
      <c r="R137" s="20">
        <f>VLOOKUP(F137,'Int. Pa.'!$B$3:$C$58,2,FALSE)</f>
        <v>10</v>
      </c>
      <c r="S137" s="20">
        <f>VLOOKUP(G137,'Int. Pa.'!$B$3:$C$58,2,FALSE)</f>
        <v>0</v>
      </c>
      <c r="T137" s="20">
        <f>VLOOKUP(H137,'Int. Pa.'!$B$3:$C$58,2,FALSE)</f>
        <v>1</v>
      </c>
      <c r="U137" s="20">
        <f>VLOOKUP(I137,'Int. Pa.'!$B$3:$C$58,2,FALSE)</f>
        <v>0</v>
      </c>
      <c r="V137" s="20">
        <f>VLOOKUP(J137,'Int. Pa.'!$B$3:$C$58,2,FALSE)</f>
        <v>10</v>
      </c>
      <c r="W137" s="20">
        <f>VLOOKUP(K137,'Int. Pa.'!$B$3:$C$58,2,FALSE)</f>
        <v>1</v>
      </c>
      <c r="X137" s="20">
        <f>VLOOKUP(L137,'Int. Pa.'!$B$3:$C$58,2,FALSE)</f>
        <v>1</v>
      </c>
      <c r="Y137" s="20">
        <f>VLOOKUP(M137,'Int. Pa.'!$B$3:$C$58,2,FALSE)</f>
        <v>5</v>
      </c>
      <c r="Z137" s="20">
        <f>VLOOKUP(N137,'Int. Pa.'!$B$3:$C$58,2,FALSE)</f>
        <v>6</v>
      </c>
      <c r="AA137" s="20">
        <f t="shared" ref="AA137:AA176" si="4">IF(O137&gt;40,10,ROUND((O137/4),0))</f>
        <v>3</v>
      </c>
      <c r="AB137" s="20">
        <f t="shared" ref="AB137:AB176" si="5">($E$1*Q137+$F$1*R137+$G$1*S137+$H$1*T137+$I$1*U137+$J$1*V137+$K$1*W137+$L$1*X137+$M$1*Y137+$N$1*Z137+$O$1*AA137)</f>
        <v>34.166666666666664</v>
      </c>
    </row>
    <row r="138" spans="1:28">
      <c r="A138" s="80">
        <v>2</v>
      </c>
      <c r="B138" s="81" t="s">
        <v>877</v>
      </c>
      <c r="C138" s="82" t="s">
        <v>656</v>
      </c>
      <c r="D138" s="83">
        <v>2000</v>
      </c>
      <c r="E138" s="18" t="s">
        <v>7</v>
      </c>
      <c r="F138" s="18" t="s">
        <v>2</v>
      </c>
      <c r="G138" s="18" t="s">
        <v>88</v>
      </c>
      <c r="H138" s="18" t="s">
        <v>20</v>
      </c>
      <c r="I138" s="18" t="s">
        <v>24</v>
      </c>
      <c r="J138" s="18" t="s">
        <v>35</v>
      </c>
      <c r="K138" s="18" t="s">
        <v>38</v>
      </c>
      <c r="L138" s="18" t="s">
        <v>42</v>
      </c>
      <c r="M138" s="18" t="s">
        <v>50</v>
      </c>
      <c r="N138" s="18" t="s">
        <v>66</v>
      </c>
      <c r="O138" s="20">
        <f>2013-Table1[[#This Row],[Startup Year]]</f>
        <v>13</v>
      </c>
      <c r="P138" s="20"/>
      <c r="Q138" s="20">
        <f>VLOOKUP(E138,'Int. Pa.'!$B$3:$C$58,2,FALSE)</f>
        <v>1</v>
      </c>
      <c r="R138" s="20">
        <f>VLOOKUP(F138,'Int. Pa.'!$B$3:$C$58,2,FALSE)</f>
        <v>10</v>
      </c>
      <c r="S138" s="20">
        <f>VLOOKUP(G138,'Int. Pa.'!$B$3:$C$58,2,FALSE)</f>
        <v>0</v>
      </c>
      <c r="T138" s="20">
        <f>VLOOKUP(H138,'Int. Pa.'!$B$3:$C$58,2,FALSE)</f>
        <v>1</v>
      </c>
      <c r="U138" s="20">
        <f>VLOOKUP(I138,'Int. Pa.'!$B$3:$C$58,2,FALSE)</f>
        <v>0</v>
      </c>
      <c r="V138" s="20">
        <f>VLOOKUP(J138,'Int. Pa.'!$B$3:$C$58,2,FALSE)</f>
        <v>10</v>
      </c>
      <c r="W138" s="20">
        <f>VLOOKUP(K138,'Int. Pa.'!$B$3:$C$58,2,FALSE)</f>
        <v>1</v>
      </c>
      <c r="X138" s="20">
        <f>VLOOKUP(L138,'Int. Pa.'!$B$3:$C$58,2,FALSE)</f>
        <v>1</v>
      </c>
      <c r="Y138" s="20">
        <f>VLOOKUP(M138,'Int. Pa.'!$B$3:$C$58,2,FALSE)</f>
        <v>5</v>
      </c>
      <c r="Z138" s="20">
        <f>VLOOKUP(N138,'Int. Pa.'!$B$3:$C$58,2,FALSE)</f>
        <v>6</v>
      </c>
      <c r="AA138" s="20">
        <f t="shared" si="4"/>
        <v>3</v>
      </c>
      <c r="AB138" s="20">
        <f t="shared" si="5"/>
        <v>34.166666666666664</v>
      </c>
    </row>
    <row r="139" spans="1:28">
      <c r="A139" s="87">
        <v>2</v>
      </c>
      <c r="B139" s="88" t="s">
        <v>878</v>
      </c>
      <c r="C139" s="89" t="s">
        <v>720</v>
      </c>
      <c r="D139" s="90">
        <v>2000</v>
      </c>
      <c r="E139" s="18" t="s">
        <v>7</v>
      </c>
      <c r="F139" s="18" t="s">
        <v>2</v>
      </c>
      <c r="G139" s="18" t="s">
        <v>88</v>
      </c>
      <c r="H139" s="18" t="s">
        <v>20</v>
      </c>
      <c r="I139" s="18" t="s">
        <v>24</v>
      </c>
      <c r="J139" s="18" t="s">
        <v>35</v>
      </c>
      <c r="K139" s="18" t="s">
        <v>38</v>
      </c>
      <c r="L139" s="18" t="s">
        <v>42</v>
      </c>
      <c r="M139" s="18" t="s">
        <v>50</v>
      </c>
      <c r="N139" s="18" t="s">
        <v>66</v>
      </c>
      <c r="O139" s="20">
        <f>2013-Table1[[#This Row],[Startup Year]]</f>
        <v>13</v>
      </c>
      <c r="P139" s="20"/>
      <c r="Q139" s="20">
        <f>VLOOKUP(E139,'Int. Pa.'!$B$3:$C$58,2,FALSE)</f>
        <v>1</v>
      </c>
      <c r="R139" s="20">
        <f>VLOOKUP(F139,'Int. Pa.'!$B$3:$C$58,2,FALSE)</f>
        <v>10</v>
      </c>
      <c r="S139" s="20">
        <f>VLOOKUP(G139,'Int. Pa.'!$B$3:$C$58,2,FALSE)</f>
        <v>0</v>
      </c>
      <c r="T139" s="20">
        <f>VLOOKUP(H139,'Int. Pa.'!$B$3:$C$58,2,FALSE)</f>
        <v>1</v>
      </c>
      <c r="U139" s="20">
        <f>VLOOKUP(I139,'Int. Pa.'!$B$3:$C$58,2,FALSE)</f>
        <v>0</v>
      </c>
      <c r="V139" s="20">
        <f>VLOOKUP(J139,'Int. Pa.'!$B$3:$C$58,2,FALSE)</f>
        <v>10</v>
      </c>
      <c r="W139" s="20">
        <f>VLOOKUP(K139,'Int. Pa.'!$B$3:$C$58,2,FALSE)</f>
        <v>1</v>
      </c>
      <c r="X139" s="20">
        <f>VLOOKUP(L139,'Int. Pa.'!$B$3:$C$58,2,FALSE)</f>
        <v>1</v>
      </c>
      <c r="Y139" s="20">
        <f>VLOOKUP(M139,'Int. Pa.'!$B$3:$C$58,2,FALSE)</f>
        <v>5</v>
      </c>
      <c r="Z139" s="20">
        <f>VLOOKUP(N139,'Int. Pa.'!$B$3:$C$58,2,FALSE)</f>
        <v>6</v>
      </c>
      <c r="AA139" s="20">
        <f t="shared" si="4"/>
        <v>3</v>
      </c>
      <c r="AB139" s="20">
        <f t="shared" si="5"/>
        <v>34.166666666666664</v>
      </c>
    </row>
    <row r="140" spans="1:28">
      <c r="A140" s="80">
        <v>2</v>
      </c>
      <c r="B140" s="81" t="s">
        <v>879</v>
      </c>
      <c r="C140" s="82" t="s">
        <v>658</v>
      </c>
      <c r="D140" s="83">
        <v>2000</v>
      </c>
      <c r="E140" s="18" t="s">
        <v>7</v>
      </c>
      <c r="F140" s="18" t="s">
        <v>2</v>
      </c>
      <c r="G140" s="18" t="s">
        <v>88</v>
      </c>
      <c r="H140" s="18" t="s">
        <v>20</v>
      </c>
      <c r="I140" s="18" t="s">
        <v>24</v>
      </c>
      <c r="J140" s="18" t="s">
        <v>35</v>
      </c>
      <c r="K140" s="18" t="s">
        <v>38</v>
      </c>
      <c r="L140" s="18" t="s">
        <v>42</v>
      </c>
      <c r="M140" s="18" t="s">
        <v>50</v>
      </c>
      <c r="N140" s="18" t="s">
        <v>66</v>
      </c>
      <c r="O140" s="20">
        <f>2013-Table1[[#This Row],[Startup Year]]</f>
        <v>13</v>
      </c>
      <c r="P140" s="20"/>
      <c r="Q140" s="20">
        <f>VLOOKUP(E140,'Int. Pa.'!$B$3:$C$58,2,FALSE)</f>
        <v>1</v>
      </c>
      <c r="R140" s="20">
        <f>VLOOKUP(F140,'Int. Pa.'!$B$3:$C$58,2,FALSE)</f>
        <v>10</v>
      </c>
      <c r="S140" s="20">
        <f>VLOOKUP(G140,'Int. Pa.'!$B$3:$C$58,2,FALSE)</f>
        <v>0</v>
      </c>
      <c r="T140" s="20">
        <f>VLOOKUP(H140,'Int. Pa.'!$B$3:$C$58,2,FALSE)</f>
        <v>1</v>
      </c>
      <c r="U140" s="20">
        <f>VLOOKUP(I140,'Int. Pa.'!$B$3:$C$58,2,FALSE)</f>
        <v>0</v>
      </c>
      <c r="V140" s="20">
        <f>VLOOKUP(J140,'Int. Pa.'!$B$3:$C$58,2,FALSE)</f>
        <v>10</v>
      </c>
      <c r="W140" s="20">
        <f>VLOOKUP(K140,'Int. Pa.'!$B$3:$C$58,2,FALSE)</f>
        <v>1</v>
      </c>
      <c r="X140" s="20">
        <f>VLOOKUP(L140,'Int. Pa.'!$B$3:$C$58,2,FALSE)</f>
        <v>1</v>
      </c>
      <c r="Y140" s="20">
        <f>VLOOKUP(M140,'Int. Pa.'!$B$3:$C$58,2,FALSE)</f>
        <v>5</v>
      </c>
      <c r="Z140" s="20">
        <f>VLOOKUP(N140,'Int. Pa.'!$B$3:$C$58,2,FALSE)</f>
        <v>6</v>
      </c>
      <c r="AA140" s="20">
        <f t="shared" si="4"/>
        <v>3</v>
      </c>
      <c r="AB140" s="20">
        <f t="shared" si="5"/>
        <v>34.166666666666664</v>
      </c>
    </row>
    <row r="141" spans="1:28">
      <c r="A141" s="80">
        <v>2</v>
      </c>
      <c r="B141" s="81" t="s">
        <v>880</v>
      </c>
      <c r="C141" s="82" t="s">
        <v>724</v>
      </c>
      <c r="D141" s="83">
        <v>2000</v>
      </c>
      <c r="E141" s="18" t="s">
        <v>7</v>
      </c>
      <c r="F141" s="18" t="s">
        <v>2</v>
      </c>
      <c r="G141" s="18" t="s">
        <v>88</v>
      </c>
      <c r="H141" s="18" t="s">
        <v>20</v>
      </c>
      <c r="I141" s="18" t="s">
        <v>24</v>
      </c>
      <c r="J141" s="18" t="s">
        <v>35</v>
      </c>
      <c r="K141" s="18" t="s">
        <v>38</v>
      </c>
      <c r="L141" s="18" t="s">
        <v>42</v>
      </c>
      <c r="M141" s="18" t="s">
        <v>50</v>
      </c>
      <c r="N141" s="18" t="s">
        <v>66</v>
      </c>
      <c r="O141" s="20">
        <f>2013-Table1[[#This Row],[Startup Year]]</f>
        <v>13</v>
      </c>
      <c r="P141" s="20"/>
      <c r="Q141" s="20">
        <f>VLOOKUP(E141,'Int. Pa.'!$B$3:$C$58,2,FALSE)</f>
        <v>1</v>
      </c>
      <c r="R141" s="20">
        <f>VLOOKUP(F141,'Int. Pa.'!$B$3:$C$58,2,FALSE)</f>
        <v>10</v>
      </c>
      <c r="S141" s="20">
        <f>VLOOKUP(G141,'Int. Pa.'!$B$3:$C$58,2,FALSE)</f>
        <v>0</v>
      </c>
      <c r="T141" s="20">
        <f>VLOOKUP(H141,'Int. Pa.'!$B$3:$C$58,2,FALSE)</f>
        <v>1</v>
      </c>
      <c r="U141" s="20">
        <f>VLOOKUP(I141,'Int. Pa.'!$B$3:$C$58,2,FALSE)</f>
        <v>0</v>
      </c>
      <c r="V141" s="20">
        <f>VLOOKUP(J141,'Int. Pa.'!$B$3:$C$58,2,FALSE)</f>
        <v>10</v>
      </c>
      <c r="W141" s="20">
        <f>VLOOKUP(K141,'Int. Pa.'!$B$3:$C$58,2,FALSE)</f>
        <v>1</v>
      </c>
      <c r="X141" s="20">
        <f>VLOOKUP(L141,'Int. Pa.'!$B$3:$C$58,2,FALSE)</f>
        <v>1</v>
      </c>
      <c r="Y141" s="20">
        <f>VLOOKUP(M141,'Int. Pa.'!$B$3:$C$58,2,FALSE)</f>
        <v>5</v>
      </c>
      <c r="Z141" s="20">
        <f>VLOOKUP(N141,'Int. Pa.'!$B$3:$C$58,2,FALSE)</f>
        <v>6</v>
      </c>
      <c r="AA141" s="20">
        <f t="shared" si="4"/>
        <v>3</v>
      </c>
      <c r="AB141" s="20">
        <f t="shared" si="5"/>
        <v>34.166666666666664</v>
      </c>
    </row>
    <row r="142" spans="1:28">
      <c r="A142" s="84">
        <v>2</v>
      </c>
      <c r="B142" s="81" t="s">
        <v>881</v>
      </c>
      <c r="C142" s="82" t="s">
        <v>266</v>
      </c>
      <c r="D142" s="85">
        <v>2011</v>
      </c>
      <c r="E142" s="18" t="s">
        <v>7</v>
      </c>
      <c r="F142" s="18" t="s">
        <v>2</v>
      </c>
      <c r="G142" s="18" t="s">
        <v>88</v>
      </c>
      <c r="H142" s="18" t="s">
        <v>20</v>
      </c>
      <c r="I142" s="18" t="s">
        <v>24</v>
      </c>
      <c r="J142" s="18" t="s">
        <v>35</v>
      </c>
      <c r="K142" s="18" t="s">
        <v>38</v>
      </c>
      <c r="L142" s="18" t="s">
        <v>42</v>
      </c>
      <c r="M142" s="18" t="s">
        <v>50</v>
      </c>
      <c r="N142" s="18" t="s">
        <v>66</v>
      </c>
      <c r="O142" s="20">
        <f>2013-Table1[[#This Row],[Startup Year]]</f>
        <v>2</v>
      </c>
      <c r="P142" s="20"/>
      <c r="Q142" s="20">
        <f>VLOOKUP(E142,'Int. Pa.'!$B$3:$C$58,2,FALSE)</f>
        <v>1</v>
      </c>
      <c r="R142" s="20">
        <f>VLOOKUP(F142,'Int. Pa.'!$B$3:$C$58,2,FALSE)</f>
        <v>10</v>
      </c>
      <c r="S142" s="20">
        <f>VLOOKUP(G142,'Int. Pa.'!$B$3:$C$58,2,FALSE)</f>
        <v>0</v>
      </c>
      <c r="T142" s="20">
        <f>VLOOKUP(H142,'Int. Pa.'!$B$3:$C$58,2,FALSE)</f>
        <v>1</v>
      </c>
      <c r="U142" s="20">
        <f>VLOOKUP(I142,'Int. Pa.'!$B$3:$C$58,2,FALSE)</f>
        <v>0</v>
      </c>
      <c r="V142" s="20">
        <f>VLOOKUP(J142,'Int. Pa.'!$B$3:$C$58,2,FALSE)</f>
        <v>10</v>
      </c>
      <c r="W142" s="20">
        <f>VLOOKUP(K142,'Int. Pa.'!$B$3:$C$58,2,FALSE)</f>
        <v>1</v>
      </c>
      <c r="X142" s="20">
        <f>VLOOKUP(L142,'Int. Pa.'!$B$3:$C$58,2,FALSE)</f>
        <v>1</v>
      </c>
      <c r="Y142" s="20">
        <f>VLOOKUP(M142,'Int. Pa.'!$B$3:$C$58,2,FALSE)</f>
        <v>5</v>
      </c>
      <c r="Z142" s="20">
        <f>VLOOKUP(N142,'Int. Pa.'!$B$3:$C$58,2,FALSE)</f>
        <v>6</v>
      </c>
      <c r="AA142" s="20">
        <f t="shared" si="4"/>
        <v>1</v>
      </c>
      <c r="AB142" s="20">
        <f t="shared" si="5"/>
        <v>33.611111111111107</v>
      </c>
    </row>
    <row r="143" spans="1:28">
      <c r="A143" s="80">
        <v>2</v>
      </c>
      <c r="B143" s="81" t="s">
        <v>882</v>
      </c>
      <c r="C143" s="82" t="s">
        <v>660</v>
      </c>
      <c r="D143" s="83">
        <v>2000</v>
      </c>
      <c r="E143" s="18" t="s">
        <v>7</v>
      </c>
      <c r="F143" s="18" t="s">
        <v>2</v>
      </c>
      <c r="G143" s="18" t="s">
        <v>88</v>
      </c>
      <c r="H143" s="18" t="s">
        <v>20</v>
      </c>
      <c r="I143" s="18" t="s">
        <v>24</v>
      </c>
      <c r="J143" s="18" t="s">
        <v>35</v>
      </c>
      <c r="K143" s="18" t="s">
        <v>38</v>
      </c>
      <c r="L143" s="18" t="s">
        <v>42</v>
      </c>
      <c r="M143" s="18" t="s">
        <v>50</v>
      </c>
      <c r="N143" s="18" t="s">
        <v>66</v>
      </c>
      <c r="O143" s="20">
        <f>2013-Table1[[#This Row],[Startup Year]]</f>
        <v>13</v>
      </c>
      <c r="P143" s="20"/>
      <c r="Q143" s="20">
        <f>VLOOKUP(E143,'Int. Pa.'!$B$3:$C$58,2,FALSE)</f>
        <v>1</v>
      </c>
      <c r="R143" s="20">
        <f>VLOOKUP(F143,'Int. Pa.'!$B$3:$C$58,2,FALSE)</f>
        <v>10</v>
      </c>
      <c r="S143" s="20">
        <f>VLOOKUP(G143,'Int. Pa.'!$B$3:$C$58,2,FALSE)</f>
        <v>0</v>
      </c>
      <c r="T143" s="20">
        <f>VLOOKUP(H143,'Int. Pa.'!$B$3:$C$58,2,FALSE)</f>
        <v>1</v>
      </c>
      <c r="U143" s="20">
        <f>VLOOKUP(I143,'Int. Pa.'!$B$3:$C$58,2,FALSE)</f>
        <v>0</v>
      </c>
      <c r="V143" s="20">
        <f>VLOOKUP(J143,'Int. Pa.'!$B$3:$C$58,2,FALSE)</f>
        <v>10</v>
      </c>
      <c r="W143" s="20">
        <f>VLOOKUP(K143,'Int. Pa.'!$B$3:$C$58,2,FALSE)</f>
        <v>1</v>
      </c>
      <c r="X143" s="20">
        <f>VLOOKUP(L143,'Int. Pa.'!$B$3:$C$58,2,FALSE)</f>
        <v>1</v>
      </c>
      <c r="Y143" s="20">
        <f>VLOOKUP(M143,'Int. Pa.'!$B$3:$C$58,2,FALSE)</f>
        <v>5</v>
      </c>
      <c r="Z143" s="20">
        <f>VLOOKUP(N143,'Int. Pa.'!$B$3:$C$58,2,FALSE)</f>
        <v>6</v>
      </c>
      <c r="AA143" s="20">
        <f t="shared" si="4"/>
        <v>3</v>
      </c>
      <c r="AB143" s="20">
        <f t="shared" si="5"/>
        <v>34.166666666666664</v>
      </c>
    </row>
    <row r="144" spans="1:28">
      <c r="A144" s="80">
        <v>2</v>
      </c>
      <c r="B144" s="81" t="s">
        <v>883</v>
      </c>
      <c r="C144" s="82" t="s">
        <v>662</v>
      </c>
      <c r="D144" s="83">
        <v>2000</v>
      </c>
      <c r="E144" s="18" t="s">
        <v>7</v>
      </c>
      <c r="F144" s="18" t="s">
        <v>2</v>
      </c>
      <c r="G144" s="18" t="s">
        <v>88</v>
      </c>
      <c r="H144" s="18" t="s">
        <v>20</v>
      </c>
      <c r="I144" s="18" t="s">
        <v>24</v>
      </c>
      <c r="J144" s="18" t="s">
        <v>35</v>
      </c>
      <c r="K144" s="18" t="s">
        <v>38</v>
      </c>
      <c r="L144" s="18" t="s">
        <v>42</v>
      </c>
      <c r="M144" s="18" t="s">
        <v>50</v>
      </c>
      <c r="N144" s="18" t="s">
        <v>66</v>
      </c>
      <c r="O144" s="20">
        <f>2013-Table1[[#This Row],[Startup Year]]</f>
        <v>13</v>
      </c>
      <c r="P144" s="20"/>
      <c r="Q144" s="20">
        <f>VLOOKUP(E144,'Int. Pa.'!$B$3:$C$58,2,FALSE)</f>
        <v>1</v>
      </c>
      <c r="R144" s="20">
        <f>VLOOKUP(F144,'Int. Pa.'!$B$3:$C$58,2,FALSE)</f>
        <v>10</v>
      </c>
      <c r="S144" s="20">
        <f>VLOOKUP(G144,'Int. Pa.'!$B$3:$C$58,2,FALSE)</f>
        <v>0</v>
      </c>
      <c r="T144" s="20">
        <f>VLOOKUP(H144,'Int. Pa.'!$B$3:$C$58,2,FALSE)</f>
        <v>1</v>
      </c>
      <c r="U144" s="20">
        <f>VLOOKUP(I144,'Int. Pa.'!$B$3:$C$58,2,FALSE)</f>
        <v>0</v>
      </c>
      <c r="V144" s="20">
        <f>VLOOKUP(J144,'Int. Pa.'!$B$3:$C$58,2,FALSE)</f>
        <v>10</v>
      </c>
      <c r="W144" s="20">
        <f>VLOOKUP(K144,'Int. Pa.'!$B$3:$C$58,2,FALSE)</f>
        <v>1</v>
      </c>
      <c r="X144" s="20">
        <f>VLOOKUP(L144,'Int. Pa.'!$B$3:$C$58,2,FALSE)</f>
        <v>1</v>
      </c>
      <c r="Y144" s="20">
        <f>VLOOKUP(M144,'Int. Pa.'!$B$3:$C$58,2,FALSE)</f>
        <v>5</v>
      </c>
      <c r="Z144" s="20">
        <f>VLOOKUP(N144,'Int. Pa.'!$B$3:$C$58,2,FALSE)</f>
        <v>6</v>
      </c>
      <c r="AA144" s="20">
        <f t="shared" si="4"/>
        <v>3</v>
      </c>
      <c r="AB144" s="20">
        <f t="shared" si="5"/>
        <v>34.166666666666664</v>
      </c>
    </row>
    <row r="145" spans="1:28">
      <c r="A145" s="87">
        <v>2</v>
      </c>
      <c r="B145" s="88" t="s">
        <v>884</v>
      </c>
      <c r="C145" s="89" t="s">
        <v>722</v>
      </c>
      <c r="D145" s="90">
        <v>2000</v>
      </c>
      <c r="E145" s="18" t="s">
        <v>7</v>
      </c>
      <c r="F145" s="18" t="s">
        <v>2</v>
      </c>
      <c r="G145" s="18" t="s">
        <v>88</v>
      </c>
      <c r="H145" s="18" t="s">
        <v>20</v>
      </c>
      <c r="I145" s="18" t="s">
        <v>24</v>
      </c>
      <c r="J145" s="18" t="s">
        <v>35</v>
      </c>
      <c r="K145" s="18" t="s">
        <v>38</v>
      </c>
      <c r="L145" s="18" t="s">
        <v>42</v>
      </c>
      <c r="M145" s="18" t="s">
        <v>50</v>
      </c>
      <c r="N145" s="18" t="s">
        <v>66</v>
      </c>
      <c r="O145" s="20">
        <f>2013-Table1[[#This Row],[Startup Year]]</f>
        <v>13</v>
      </c>
      <c r="P145" s="20"/>
      <c r="Q145" s="20">
        <f>VLOOKUP(E145,'Int. Pa.'!$B$3:$C$58,2,FALSE)</f>
        <v>1</v>
      </c>
      <c r="R145" s="20">
        <f>VLOOKUP(F145,'Int. Pa.'!$B$3:$C$58,2,FALSE)</f>
        <v>10</v>
      </c>
      <c r="S145" s="20">
        <f>VLOOKUP(G145,'Int. Pa.'!$B$3:$C$58,2,FALSE)</f>
        <v>0</v>
      </c>
      <c r="T145" s="20">
        <f>VLOOKUP(H145,'Int. Pa.'!$B$3:$C$58,2,FALSE)</f>
        <v>1</v>
      </c>
      <c r="U145" s="20">
        <f>VLOOKUP(I145,'Int. Pa.'!$B$3:$C$58,2,FALSE)</f>
        <v>0</v>
      </c>
      <c r="V145" s="20">
        <f>VLOOKUP(J145,'Int. Pa.'!$B$3:$C$58,2,FALSE)</f>
        <v>10</v>
      </c>
      <c r="W145" s="20">
        <f>VLOOKUP(K145,'Int. Pa.'!$B$3:$C$58,2,FALSE)</f>
        <v>1</v>
      </c>
      <c r="X145" s="20">
        <f>VLOOKUP(L145,'Int. Pa.'!$B$3:$C$58,2,FALSE)</f>
        <v>1</v>
      </c>
      <c r="Y145" s="20">
        <f>VLOOKUP(M145,'Int. Pa.'!$B$3:$C$58,2,FALSE)</f>
        <v>5</v>
      </c>
      <c r="Z145" s="20">
        <f>VLOOKUP(N145,'Int. Pa.'!$B$3:$C$58,2,FALSE)</f>
        <v>6</v>
      </c>
      <c r="AA145" s="20">
        <f t="shared" si="4"/>
        <v>3</v>
      </c>
      <c r="AB145" s="20">
        <f t="shared" si="5"/>
        <v>34.166666666666664</v>
      </c>
    </row>
    <row r="146" spans="1:28">
      <c r="A146" s="80">
        <v>2</v>
      </c>
      <c r="B146" s="81" t="s">
        <v>885</v>
      </c>
      <c r="C146" s="82" t="s">
        <v>664</v>
      </c>
      <c r="D146" s="83">
        <v>2000</v>
      </c>
      <c r="E146" s="18" t="s">
        <v>7</v>
      </c>
      <c r="F146" s="18" t="s">
        <v>2</v>
      </c>
      <c r="G146" s="18" t="s">
        <v>88</v>
      </c>
      <c r="H146" s="18" t="s">
        <v>20</v>
      </c>
      <c r="I146" s="18" t="s">
        <v>24</v>
      </c>
      <c r="J146" s="18" t="s">
        <v>35</v>
      </c>
      <c r="K146" s="18" t="s">
        <v>38</v>
      </c>
      <c r="L146" s="18" t="s">
        <v>42</v>
      </c>
      <c r="M146" s="18" t="s">
        <v>50</v>
      </c>
      <c r="N146" s="18" t="s">
        <v>66</v>
      </c>
      <c r="O146" s="20">
        <f>2013-Table1[[#This Row],[Startup Year]]</f>
        <v>13</v>
      </c>
      <c r="P146" s="20"/>
      <c r="Q146" s="20">
        <f>VLOOKUP(E146,'Int. Pa.'!$B$3:$C$58,2,FALSE)</f>
        <v>1</v>
      </c>
      <c r="R146" s="20">
        <f>VLOOKUP(F146,'Int. Pa.'!$B$3:$C$58,2,FALSE)</f>
        <v>10</v>
      </c>
      <c r="S146" s="20">
        <f>VLOOKUP(G146,'Int. Pa.'!$B$3:$C$58,2,FALSE)</f>
        <v>0</v>
      </c>
      <c r="T146" s="20">
        <f>VLOOKUP(H146,'Int. Pa.'!$B$3:$C$58,2,FALSE)</f>
        <v>1</v>
      </c>
      <c r="U146" s="20">
        <f>VLOOKUP(I146,'Int. Pa.'!$B$3:$C$58,2,FALSE)</f>
        <v>0</v>
      </c>
      <c r="V146" s="20">
        <f>VLOOKUP(J146,'Int. Pa.'!$B$3:$C$58,2,FALSE)</f>
        <v>10</v>
      </c>
      <c r="W146" s="20">
        <f>VLOOKUP(K146,'Int. Pa.'!$B$3:$C$58,2,FALSE)</f>
        <v>1</v>
      </c>
      <c r="X146" s="20">
        <f>VLOOKUP(L146,'Int. Pa.'!$B$3:$C$58,2,FALSE)</f>
        <v>1</v>
      </c>
      <c r="Y146" s="20">
        <f>VLOOKUP(M146,'Int. Pa.'!$B$3:$C$58,2,FALSE)</f>
        <v>5</v>
      </c>
      <c r="Z146" s="20">
        <f>VLOOKUP(N146,'Int. Pa.'!$B$3:$C$58,2,FALSE)</f>
        <v>6</v>
      </c>
      <c r="AA146" s="20">
        <f t="shared" si="4"/>
        <v>3</v>
      </c>
      <c r="AB146" s="20">
        <f t="shared" si="5"/>
        <v>34.166666666666664</v>
      </c>
    </row>
    <row r="147" spans="1:28">
      <c r="A147" s="80">
        <v>2</v>
      </c>
      <c r="B147" s="81" t="s">
        <v>885</v>
      </c>
      <c r="C147" s="82" t="s">
        <v>665</v>
      </c>
      <c r="D147" s="83">
        <v>2000</v>
      </c>
      <c r="E147" s="18" t="s">
        <v>7</v>
      </c>
      <c r="F147" s="18" t="s">
        <v>2</v>
      </c>
      <c r="G147" s="18" t="s">
        <v>88</v>
      </c>
      <c r="H147" s="18" t="s">
        <v>20</v>
      </c>
      <c r="I147" s="18" t="s">
        <v>24</v>
      </c>
      <c r="J147" s="18" t="s">
        <v>35</v>
      </c>
      <c r="K147" s="18" t="s">
        <v>38</v>
      </c>
      <c r="L147" s="18" t="s">
        <v>42</v>
      </c>
      <c r="M147" s="18" t="s">
        <v>50</v>
      </c>
      <c r="N147" s="18" t="s">
        <v>66</v>
      </c>
      <c r="O147" s="20">
        <f>2013-Table1[[#This Row],[Startup Year]]</f>
        <v>13</v>
      </c>
      <c r="P147" s="20"/>
      <c r="Q147" s="20">
        <f>VLOOKUP(E147,'Int. Pa.'!$B$3:$C$58,2,FALSE)</f>
        <v>1</v>
      </c>
      <c r="R147" s="20">
        <f>VLOOKUP(F147,'Int. Pa.'!$B$3:$C$58,2,FALSE)</f>
        <v>10</v>
      </c>
      <c r="S147" s="20">
        <f>VLOOKUP(G147,'Int. Pa.'!$B$3:$C$58,2,FALSE)</f>
        <v>0</v>
      </c>
      <c r="T147" s="20">
        <f>VLOOKUP(H147,'Int. Pa.'!$B$3:$C$58,2,FALSE)</f>
        <v>1</v>
      </c>
      <c r="U147" s="20">
        <f>VLOOKUP(I147,'Int. Pa.'!$B$3:$C$58,2,FALSE)</f>
        <v>0</v>
      </c>
      <c r="V147" s="20">
        <f>VLOOKUP(J147,'Int. Pa.'!$B$3:$C$58,2,FALSE)</f>
        <v>10</v>
      </c>
      <c r="W147" s="20">
        <f>VLOOKUP(K147,'Int. Pa.'!$B$3:$C$58,2,FALSE)</f>
        <v>1</v>
      </c>
      <c r="X147" s="20">
        <f>VLOOKUP(L147,'Int. Pa.'!$B$3:$C$58,2,FALSE)</f>
        <v>1</v>
      </c>
      <c r="Y147" s="20">
        <f>VLOOKUP(M147,'Int. Pa.'!$B$3:$C$58,2,FALSE)</f>
        <v>5</v>
      </c>
      <c r="Z147" s="20">
        <f>VLOOKUP(N147,'Int. Pa.'!$B$3:$C$58,2,FALSE)</f>
        <v>6</v>
      </c>
      <c r="AA147" s="20">
        <f t="shared" si="4"/>
        <v>3</v>
      </c>
      <c r="AB147" s="20">
        <f t="shared" si="5"/>
        <v>34.166666666666664</v>
      </c>
    </row>
    <row r="148" spans="1:28">
      <c r="A148" s="87">
        <v>2</v>
      </c>
      <c r="B148" s="88" t="s">
        <v>886</v>
      </c>
      <c r="C148" s="89" t="s">
        <v>250</v>
      </c>
      <c r="D148" s="90">
        <v>2000</v>
      </c>
      <c r="E148" s="18" t="s">
        <v>7</v>
      </c>
      <c r="F148" s="18" t="s">
        <v>2</v>
      </c>
      <c r="G148" s="18" t="s">
        <v>88</v>
      </c>
      <c r="H148" s="18" t="s">
        <v>20</v>
      </c>
      <c r="I148" s="18" t="s">
        <v>24</v>
      </c>
      <c r="J148" s="18" t="s">
        <v>35</v>
      </c>
      <c r="K148" s="18" t="s">
        <v>38</v>
      </c>
      <c r="L148" s="18" t="s">
        <v>42</v>
      </c>
      <c r="M148" s="18" t="s">
        <v>50</v>
      </c>
      <c r="N148" s="18" t="s">
        <v>66</v>
      </c>
      <c r="O148" s="20">
        <f>2013-Table1[[#This Row],[Startup Year]]</f>
        <v>13</v>
      </c>
      <c r="P148" s="20"/>
      <c r="Q148" s="20">
        <f>VLOOKUP(E148,'Int. Pa.'!$B$3:$C$58,2,FALSE)</f>
        <v>1</v>
      </c>
      <c r="R148" s="20">
        <f>VLOOKUP(F148,'Int. Pa.'!$B$3:$C$58,2,FALSE)</f>
        <v>10</v>
      </c>
      <c r="S148" s="20">
        <f>VLOOKUP(G148,'Int. Pa.'!$B$3:$C$58,2,FALSE)</f>
        <v>0</v>
      </c>
      <c r="T148" s="20">
        <f>VLOOKUP(H148,'Int. Pa.'!$B$3:$C$58,2,FALSE)</f>
        <v>1</v>
      </c>
      <c r="U148" s="20">
        <f>VLOOKUP(I148,'Int. Pa.'!$B$3:$C$58,2,FALSE)</f>
        <v>0</v>
      </c>
      <c r="V148" s="20">
        <f>VLOOKUP(J148,'Int. Pa.'!$B$3:$C$58,2,FALSE)</f>
        <v>10</v>
      </c>
      <c r="W148" s="20">
        <f>VLOOKUP(K148,'Int. Pa.'!$B$3:$C$58,2,FALSE)</f>
        <v>1</v>
      </c>
      <c r="X148" s="20">
        <f>VLOOKUP(L148,'Int. Pa.'!$B$3:$C$58,2,FALSE)</f>
        <v>1</v>
      </c>
      <c r="Y148" s="20">
        <f>VLOOKUP(M148,'Int. Pa.'!$B$3:$C$58,2,FALSE)</f>
        <v>5</v>
      </c>
      <c r="Z148" s="20">
        <f>VLOOKUP(N148,'Int. Pa.'!$B$3:$C$58,2,FALSE)</f>
        <v>6</v>
      </c>
      <c r="AA148" s="20">
        <f t="shared" si="4"/>
        <v>3</v>
      </c>
      <c r="AB148" s="20">
        <f t="shared" si="5"/>
        <v>34.166666666666664</v>
      </c>
    </row>
    <row r="149" spans="1:28">
      <c r="A149" s="87">
        <v>2</v>
      </c>
      <c r="B149" s="88" t="s">
        <v>887</v>
      </c>
      <c r="C149" s="89" t="s">
        <v>716</v>
      </c>
      <c r="D149" s="90">
        <v>2000</v>
      </c>
      <c r="E149" s="18" t="s">
        <v>7</v>
      </c>
      <c r="F149" s="18" t="s">
        <v>2</v>
      </c>
      <c r="G149" s="18" t="s">
        <v>88</v>
      </c>
      <c r="H149" s="18" t="s">
        <v>20</v>
      </c>
      <c r="I149" s="18" t="s">
        <v>24</v>
      </c>
      <c r="J149" s="18" t="s">
        <v>35</v>
      </c>
      <c r="K149" s="18" t="s">
        <v>38</v>
      </c>
      <c r="L149" s="18" t="s">
        <v>42</v>
      </c>
      <c r="M149" s="18" t="s">
        <v>50</v>
      </c>
      <c r="N149" s="18" t="s">
        <v>66</v>
      </c>
      <c r="O149" s="20">
        <f>2013-Table1[[#This Row],[Startup Year]]</f>
        <v>13</v>
      </c>
      <c r="P149" s="20"/>
      <c r="Q149" s="20">
        <f>VLOOKUP(E149,'Int. Pa.'!$B$3:$C$58,2,FALSE)</f>
        <v>1</v>
      </c>
      <c r="R149" s="20">
        <f>VLOOKUP(F149,'Int. Pa.'!$B$3:$C$58,2,FALSE)</f>
        <v>10</v>
      </c>
      <c r="S149" s="20">
        <f>VLOOKUP(G149,'Int. Pa.'!$B$3:$C$58,2,FALSE)</f>
        <v>0</v>
      </c>
      <c r="T149" s="20">
        <f>VLOOKUP(H149,'Int. Pa.'!$B$3:$C$58,2,FALSE)</f>
        <v>1</v>
      </c>
      <c r="U149" s="20">
        <f>VLOOKUP(I149,'Int. Pa.'!$B$3:$C$58,2,FALSE)</f>
        <v>0</v>
      </c>
      <c r="V149" s="20">
        <f>VLOOKUP(J149,'Int. Pa.'!$B$3:$C$58,2,FALSE)</f>
        <v>10</v>
      </c>
      <c r="W149" s="20">
        <f>VLOOKUP(K149,'Int. Pa.'!$B$3:$C$58,2,FALSE)</f>
        <v>1</v>
      </c>
      <c r="X149" s="20">
        <f>VLOOKUP(L149,'Int. Pa.'!$B$3:$C$58,2,FALSE)</f>
        <v>1</v>
      </c>
      <c r="Y149" s="20">
        <f>VLOOKUP(M149,'Int. Pa.'!$B$3:$C$58,2,FALSE)</f>
        <v>5</v>
      </c>
      <c r="Z149" s="20">
        <f>VLOOKUP(N149,'Int. Pa.'!$B$3:$C$58,2,FALSE)</f>
        <v>6</v>
      </c>
      <c r="AA149" s="20">
        <f t="shared" si="4"/>
        <v>3</v>
      </c>
      <c r="AB149" s="20">
        <f t="shared" si="5"/>
        <v>34.166666666666664</v>
      </c>
    </row>
    <row r="150" spans="1:28">
      <c r="A150" s="84">
        <v>2</v>
      </c>
      <c r="B150" s="81">
        <v>6731101</v>
      </c>
      <c r="C150" s="82" t="s">
        <v>268</v>
      </c>
      <c r="D150" s="85">
        <v>2013</v>
      </c>
      <c r="E150" s="18" t="s">
        <v>7</v>
      </c>
      <c r="F150" s="18" t="s">
        <v>2</v>
      </c>
      <c r="G150" s="18" t="s">
        <v>88</v>
      </c>
      <c r="H150" s="18" t="s">
        <v>20</v>
      </c>
      <c r="I150" s="18" t="s">
        <v>24</v>
      </c>
      <c r="J150" s="18" t="s">
        <v>35</v>
      </c>
      <c r="K150" s="18" t="s">
        <v>38</v>
      </c>
      <c r="L150" s="18" t="s">
        <v>42</v>
      </c>
      <c r="M150" s="18" t="s">
        <v>50</v>
      </c>
      <c r="N150" s="18" t="s">
        <v>66</v>
      </c>
      <c r="O150" s="20">
        <f>2013-Table1[[#This Row],[Startup Year]]</f>
        <v>0</v>
      </c>
      <c r="P150" s="20"/>
      <c r="Q150" s="20">
        <f>VLOOKUP(E150,'Int. Pa.'!$B$3:$C$58,2,FALSE)</f>
        <v>1</v>
      </c>
      <c r="R150" s="20">
        <f>VLOOKUP(F150,'Int. Pa.'!$B$3:$C$58,2,FALSE)</f>
        <v>10</v>
      </c>
      <c r="S150" s="20">
        <f>VLOOKUP(G150,'Int. Pa.'!$B$3:$C$58,2,FALSE)</f>
        <v>0</v>
      </c>
      <c r="T150" s="20">
        <f>VLOOKUP(H150,'Int. Pa.'!$B$3:$C$58,2,FALSE)</f>
        <v>1</v>
      </c>
      <c r="U150" s="20">
        <f>VLOOKUP(I150,'Int. Pa.'!$B$3:$C$58,2,FALSE)</f>
        <v>0</v>
      </c>
      <c r="V150" s="20">
        <f>VLOOKUP(J150,'Int. Pa.'!$B$3:$C$58,2,FALSE)</f>
        <v>10</v>
      </c>
      <c r="W150" s="20">
        <f>VLOOKUP(K150,'Int. Pa.'!$B$3:$C$58,2,FALSE)</f>
        <v>1</v>
      </c>
      <c r="X150" s="20">
        <f>VLOOKUP(L150,'Int. Pa.'!$B$3:$C$58,2,FALSE)</f>
        <v>1</v>
      </c>
      <c r="Y150" s="20">
        <f>VLOOKUP(M150,'Int. Pa.'!$B$3:$C$58,2,FALSE)</f>
        <v>5</v>
      </c>
      <c r="Z150" s="20">
        <f>VLOOKUP(N150,'Int. Pa.'!$B$3:$C$58,2,FALSE)</f>
        <v>6</v>
      </c>
      <c r="AA150" s="20">
        <f t="shared" si="4"/>
        <v>0</v>
      </c>
      <c r="AB150" s="20">
        <f t="shared" si="5"/>
        <v>33.333333333333329</v>
      </c>
    </row>
    <row r="151" spans="1:28">
      <c r="A151" s="84">
        <v>2</v>
      </c>
      <c r="B151" s="81">
        <v>6921101</v>
      </c>
      <c r="C151" s="82" t="s">
        <v>269</v>
      </c>
      <c r="D151" s="85">
        <v>2013</v>
      </c>
      <c r="E151" s="18" t="s">
        <v>7</v>
      </c>
      <c r="F151" s="18" t="s">
        <v>2</v>
      </c>
      <c r="G151" s="18" t="s">
        <v>88</v>
      </c>
      <c r="H151" s="18" t="s">
        <v>20</v>
      </c>
      <c r="I151" s="18" t="s">
        <v>24</v>
      </c>
      <c r="J151" s="18" t="s">
        <v>35</v>
      </c>
      <c r="K151" s="18" t="s">
        <v>38</v>
      </c>
      <c r="L151" s="18" t="s">
        <v>42</v>
      </c>
      <c r="M151" s="18" t="s">
        <v>50</v>
      </c>
      <c r="N151" s="18" t="s">
        <v>66</v>
      </c>
      <c r="O151" s="20">
        <f>2013-Table1[[#This Row],[Startup Year]]</f>
        <v>0</v>
      </c>
      <c r="P151" s="20"/>
      <c r="Q151" s="20">
        <f>VLOOKUP(E151,'Int. Pa.'!$B$3:$C$58,2,FALSE)</f>
        <v>1</v>
      </c>
      <c r="R151" s="20">
        <f>VLOOKUP(F151,'Int. Pa.'!$B$3:$C$58,2,FALSE)</f>
        <v>10</v>
      </c>
      <c r="S151" s="20">
        <f>VLOOKUP(G151,'Int. Pa.'!$B$3:$C$58,2,FALSE)</f>
        <v>0</v>
      </c>
      <c r="T151" s="20">
        <f>VLOOKUP(H151,'Int. Pa.'!$B$3:$C$58,2,FALSE)</f>
        <v>1</v>
      </c>
      <c r="U151" s="20">
        <f>VLOOKUP(I151,'Int. Pa.'!$B$3:$C$58,2,FALSE)</f>
        <v>0</v>
      </c>
      <c r="V151" s="20">
        <f>VLOOKUP(J151,'Int. Pa.'!$B$3:$C$58,2,FALSE)</f>
        <v>10</v>
      </c>
      <c r="W151" s="20">
        <f>VLOOKUP(K151,'Int. Pa.'!$B$3:$C$58,2,FALSE)</f>
        <v>1</v>
      </c>
      <c r="X151" s="20">
        <f>VLOOKUP(L151,'Int. Pa.'!$B$3:$C$58,2,FALSE)</f>
        <v>1</v>
      </c>
      <c r="Y151" s="20">
        <f>VLOOKUP(M151,'Int. Pa.'!$B$3:$C$58,2,FALSE)</f>
        <v>5</v>
      </c>
      <c r="Z151" s="20">
        <f>VLOOKUP(N151,'Int. Pa.'!$B$3:$C$58,2,FALSE)</f>
        <v>6</v>
      </c>
      <c r="AA151" s="20">
        <f t="shared" si="4"/>
        <v>0</v>
      </c>
      <c r="AB151" s="20">
        <f t="shared" si="5"/>
        <v>33.333333333333329</v>
      </c>
    </row>
    <row r="152" spans="1:28">
      <c r="A152" s="84">
        <v>2</v>
      </c>
      <c r="B152" s="81">
        <v>67210001</v>
      </c>
      <c r="C152" s="82" t="s">
        <v>270</v>
      </c>
      <c r="D152" s="85">
        <v>2013</v>
      </c>
      <c r="E152" s="18" t="s">
        <v>7</v>
      </c>
      <c r="F152" s="18" t="s">
        <v>2</v>
      </c>
      <c r="G152" s="18" t="s">
        <v>88</v>
      </c>
      <c r="H152" s="18" t="s">
        <v>20</v>
      </c>
      <c r="I152" s="18" t="s">
        <v>24</v>
      </c>
      <c r="J152" s="18" t="s">
        <v>35</v>
      </c>
      <c r="K152" s="18" t="s">
        <v>38</v>
      </c>
      <c r="L152" s="18" t="s">
        <v>42</v>
      </c>
      <c r="M152" s="18" t="s">
        <v>50</v>
      </c>
      <c r="N152" s="18" t="s">
        <v>66</v>
      </c>
      <c r="O152" s="20">
        <f>2013-Table1[[#This Row],[Startup Year]]</f>
        <v>0</v>
      </c>
      <c r="P152" s="20"/>
      <c r="Q152" s="20">
        <f>VLOOKUP(E152,'Int. Pa.'!$B$3:$C$58,2,FALSE)</f>
        <v>1</v>
      </c>
      <c r="R152" s="20">
        <f>VLOOKUP(F152,'Int. Pa.'!$B$3:$C$58,2,FALSE)</f>
        <v>10</v>
      </c>
      <c r="S152" s="20">
        <f>VLOOKUP(G152,'Int. Pa.'!$B$3:$C$58,2,FALSE)</f>
        <v>0</v>
      </c>
      <c r="T152" s="20">
        <f>VLOOKUP(H152,'Int. Pa.'!$B$3:$C$58,2,FALSE)</f>
        <v>1</v>
      </c>
      <c r="U152" s="20">
        <f>VLOOKUP(I152,'Int. Pa.'!$B$3:$C$58,2,FALSE)</f>
        <v>0</v>
      </c>
      <c r="V152" s="20">
        <f>VLOOKUP(J152,'Int. Pa.'!$B$3:$C$58,2,FALSE)</f>
        <v>10</v>
      </c>
      <c r="W152" s="20">
        <f>VLOOKUP(K152,'Int. Pa.'!$B$3:$C$58,2,FALSE)</f>
        <v>1</v>
      </c>
      <c r="X152" s="20">
        <f>VLOOKUP(L152,'Int. Pa.'!$B$3:$C$58,2,FALSE)</f>
        <v>1</v>
      </c>
      <c r="Y152" s="20">
        <f>VLOOKUP(M152,'Int. Pa.'!$B$3:$C$58,2,FALSE)</f>
        <v>5</v>
      </c>
      <c r="Z152" s="20">
        <f>VLOOKUP(N152,'Int. Pa.'!$B$3:$C$58,2,FALSE)</f>
        <v>6</v>
      </c>
      <c r="AA152" s="20">
        <f t="shared" si="4"/>
        <v>0</v>
      </c>
      <c r="AB152" s="20">
        <f t="shared" si="5"/>
        <v>33.333333333333329</v>
      </c>
    </row>
    <row r="153" spans="1:28">
      <c r="A153" s="84">
        <v>2</v>
      </c>
      <c r="B153" s="81">
        <v>67210002</v>
      </c>
      <c r="C153" s="82" t="s">
        <v>271</v>
      </c>
      <c r="D153" s="86">
        <v>2000</v>
      </c>
      <c r="E153" s="18" t="s">
        <v>7</v>
      </c>
      <c r="F153" s="18" t="s">
        <v>2</v>
      </c>
      <c r="G153" s="18" t="s">
        <v>88</v>
      </c>
      <c r="H153" s="18" t="s">
        <v>20</v>
      </c>
      <c r="I153" s="18" t="s">
        <v>24</v>
      </c>
      <c r="J153" s="18" t="s">
        <v>35</v>
      </c>
      <c r="K153" s="18" t="s">
        <v>38</v>
      </c>
      <c r="L153" s="18" t="s">
        <v>42</v>
      </c>
      <c r="M153" s="18" t="s">
        <v>50</v>
      </c>
      <c r="N153" s="18" t="s">
        <v>66</v>
      </c>
      <c r="O153" s="20">
        <f>2013-Table1[[#This Row],[Startup Year]]</f>
        <v>13</v>
      </c>
      <c r="P153" s="20"/>
      <c r="Q153" s="20">
        <f>VLOOKUP(E153,'Int. Pa.'!$B$3:$C$58,2,FALSE)</f>
        <v>1</v>
      </c>
      <c r="R153" s="20">
        <f>VLOOKUP(F153,'Int. Pa.'!$B$3:$C$58,2,FALSE)</f>
        <v>10</v>
      </c>
      <c r="S153" s="20">
        <f>VLOOKUP(G153,'Int. Pa.'!$B$3:$C$58,2,FALSE)</f>
        <v>0</v>
      </c>
      <c r="T153" s="20">
        <f>VLOOKUP(H153,'Int. Pa.'!$B$3:$C$58,2,FALSE)</f>
        <v>1</v>
      </c>
      <c r="U153" s="20">
        <f>VLOOKUP(I153,'Int. Pa.'!$B$3:$C$58,2,FALSE)</f>
        <v>0</v>
      </c>
      <c r="V153" s="20">
        <f>VLOOKUP(J153,'Int. Pa.'!$B$3:$C$58,2,FALSE)</f>
        <v>10</v>
      </c>
      <c r="W153" s="20">
        <f>VLOOKUP(K153,'Int. Pa.'!$B$3:$C$58,2,FALSE)</f>
        <v>1</v>
      </c>
      <c r="X153" s="20">
        <f>VLOOKUP(L153,'Int. Pa.'!$B$3:$C$58,2,FALSE)</f>
        <v>1</v>
      </c>
      <c r="Y153" s="20">
        <f>VLOOKUP(M153,'Int. Pa.'!$B$3:$C$58,2,FALSE)</f>
        <v>5</v>
      </c>
      <c r="Z153" s="20">
        <f>VLOOKUP(N153,'Int. Pa.'!$B$3:$C$58,2,FALSE)</f>
        <v>6</v>
      </c>
      <c r="AA153" s="20">
        <f t="shared" si="4"/>
        <v>3</v>
      </c>
      <c r="AB153" s="20">
        <f t="shared" si="5"/>
        <v>34.166666666666664</v>
      </c>
    </row>
    <row r="154" spans="1:28">
      <c r="A154" s="84">
        <v>2</v>
      </c>
      <c r="B154" s="81">
        <v>658110001</v>
      </c>
      <c r="C154" s="82" t="s">
        <v>272</v>
      </c>
      <c r="D154" s="86">
        <v>2000</v>
      </c>
      <c r="E154" s="18" t="s">
        <v>7</v>
      </c>
      <c r="F154" s="18" t="s">
        <v>2</v>
      </c>
      <c r="G154" s="18" t="s">
        <v>88</v>
      </c>
      <c r="H154" s="18" t="s">
        <v>20</v>
      </c>
      <c r="I154" s="18" t="s">
        <v>24</v>
      </c>
      <c r="J154" s="18" t="s">
        <v>35</v>
      </c>
      <c r="K154" s="18" t="s">
        <v>38</v>
      </c>
      <c r="L154" s="18" t="s">
        <v>42</v>
      </c>
      <c r="M154" s="18" t="s">
        <v>50</v>
      </c>
      <c r="N154" s="18" t="s">
        <v>66</v>
      </c>
      <c r="O154" s="20">
        <f>2013-Table1[[#This Row],[Startup Year]]</f>
        <v>13</v>
      </c>
      <c r="P154" s="20"/>
      <c r="Q154" s="20">
        <f>VLOOKUP(E154,'Int. Pa.'!$B$3:$C$58,2,FALSE)</f>
        <v>1</v>
      </c>
      <c r="R154" s="20">
        <f>VLOOKUP(F154,'Int. Pa.'!$B$3:$C$58,2,FALSE)</f>
        <v>10</v>
      </c>
      <c r="S154" s="20">
        <f>VLOOKUP(G154,'Int. Pa.'!$B$3:$C$58,2,FALSE)</f>
        <v>0</v>
      </c>
      <c r="T154" s="20">
        <f>VLOOKUP(H154,'Int. Pa.'!$B$3:$C$58,2,FALSE)</f>
        <v>1</v>
      </c>
      <c r="U154" s="20">
        <f>VLOOKUP(I154,'Int. Pa.'!$B$3:$C$58,2,FALSE)</f>
        <v>0</v>
      </c>
      <c r="V154" s="20">
        <f>VLOOKUP(J154,'Int. Pa.'!$B$3:$C$58,2,FALSE)</f>
        <v>10</v>
      </c>
      <c r="W154" s="20">
        <f>VLOOKUP(K154,'Int. Pa.'!$B$3:$C$58,2,FALSE)</f>
        <v>1</v>
      </c>
      <c r="X154" s="20">
        <f>VLOOKUP(L154,'Int. Pa.'!$B$3:$C$58,2,FALSE)</f>
        <v>1</v>
      </c>
      <c r="Y154" s="20">
        <f>VLOOKUP(M154,'Int. Pa.'!$B$3:$C$58,2,FALSE)</f>
        <v>5</v>
      </c>
      <c r="Z154" s="20">
        <f>VLOOKUP(N154,'Int. Pa.'!$B$3:$C$58,2,FALSE)</f>
        <v>6</v>
      </c>
      <c r="AA154" s="20">
        <f t="shared" si="4"/>
        <v>3</v>
      </c>
      <c r="AB154" s="20">
        <f t="shared" si="5"/>
        <v>34.166666666666664</v>
      </c>
    </row>
    <row r="155" spans="1:28">
      <c r="A155" s="84">
        <v>2</v>
      </c>
      <c r="B155" s="81">
        <v>658110002</v>
      </c>
      <c r="C155" s="82" t="s">
        <v>273</v>
      </c>
      <c r="D155" s="86">
        <v>2000</v>
      </c>
      <c r="E155" s="18" t="s">
        <v>7</v>
      </c>
      <c r="F155" s="18" t="s">
        <v>2</v>
      </c>
      <c r="G155" s="18" t="s">
        <v>88</v>
      </c>
      <c r="H155" s="18" t="s">
        <v>20</v>
      </c>
      <c r="I155" s="18" t="s">
        <v>24</v>
      </c>
      <c r="J155" s="18" t="s">
        <v>35</v>
      </c>
      <c r="K155" s="18" t="s">
        <v>38</v>
      </c>
      <c r="L155" s="18" t="s">
        <v>42</v>
      </c>
      <c r="M155" s="18" t="s">
        <v>50</v>
      </c>
      <c r="N155" s="18" t="s">
        <v>66</v>
      </c>
      <c r="O155" s="20">
        <f>2013-Table1[[#This Row],[Startup Year]]</f>
        <v>13</v>
      </c>
      <c r="P155" s="20"/>
      <c r="Q155" s="20">
        <f>VLOOKUP(E155,'Int. Pa.'!$B$3:$C$58,2,FALSE)</f>
        <v>1</v>
      </c>
      <c r="R155" s="20">
        <f>VLOOKUP(F155,'Int. Pa.'!$B$3:$C$58,2,FALSE)</f>
        <v>10</v>
      </c>
      <c r="S155" s="20">
        <f>VLOOKUP(G155,'Int. Pa.'!$B$3:$C$58,2,FALSE)</f>
        <v>0</v>
      </c>
      <c r="T155" s="20">
        <f>VLOOKUP(H155,'Int. Pa.'!$B$3:$C$58,2,FALSE)</f>
        <v>1</v>
      </c>
      <c r="U155" s="20">
        <f>VLOOKUP(I155,'Int. Pa.'!$B$3:$C$58,2,FALSE)</f>
        <v>0</v>
      </c>
      <c r="V155" s="20">
        <f>VLOOKUP(J155,'Int. Pa.'!$B$3:$C$58,2,FALSE)</f>
        <v>10</v>
      </c>
      <c r="W155" s="20">
        <f>VLOOKUP(K155,'Int. Pa.'!$B$3:$C$58,2,FALSE)</f>
        <v>1</v>
      </c>
      <c r="X155" s="20">
        <f>VLOOKUP(L155,'Int. Pa.'!$B$3:$C$58,2,FALSE)</f>
        <v>1</v>
      </c>
      <c r="Y155" s="20">
        <f>VLOOKUP(M155,'Int. Pa.'!$B$3:$C$58,2,FALSE)</f>
        <v>5</v>
      </c>
      <c r="Z155" s="20">
        <f>VLOOKUP(N155,'Int. Pa.'!$B$3:$C$58,2,FALSE)</f>
        <v>6</v>
      </c>
      <c r="AA155" s="20">
        <f t="shared" si="4"/>
        <v>3</v>
      </c>
      <c r="AB155" s="20">
        <f t="shared" si="5"/>
        <v>34.166666666666664</v>
      </c>
    </row>
    <row r="156" spans="1:28">
      <c r="A156" s="84">
        <v>2</v>
      </c>
      <c r="B156" s="81">
        <v>661110201</v>
      </c>
      <c r="C156" s="82" t="s">
        <v>274</v>
      </c>
      <c r="D156" s="86">
        <v>2000</v>
      </c>
      <c r="E156" s="18" t="s">
        <v>7</v>
      </c>
      <c r="F156" s="18" t="s">
        <v>2</v>
      </c>
      <c r="G156" s="18" t="s">
        <v>88</v>
      </c>
      <c r="H156" s="18" t="s">
        <v>20</v>
      </c>
      <c r="I156" s="18" t="s">
        <v>24</v>
      </c>
      <c r="J156" s="18" t="s">
        <v>35</v>
      </c>
      <c r="K156" s="18" t="s">
        <v>38</v>
      </c>
      <c r="L156" s="18" t="s">
        <v>42</v>
      </c>
      <c r="M156" s="18" t="s">
        <v>50</v>
      </c>
      <c r="N156" s="18" t="s">
        <v>66</v>
      </c>
      <c r="O156" s="20">
        <f>2013-Table1[[#This Row],[Startup Year]]</f>
        <v>13</v>
      </c>
      <c r="P156" s="20"/>
      <c r="Q156" s="20">
        <f>VLOOKUP(E156,'Int. Pa.'!$B$3:$C$58,2,FALSE)</f>
        <v>1</v>
      </c>
      <c r="R156" s="20">
        <f>VLOOKUP(F156,'Int. Pa.'!$B$3:$C$58,2,FALSE)</f>
        <v>10</v>
      </c>
      <c r="S156" s="20">
        <f>VLOOKUP(G156,'Int. Pa.'!$B$3:$C$58,2,FALSE)</f>
        <v>0</v>
      </c>
      <c r="T156" s="20">
        <f>VLOOKUP(H156,'Int. Pa.'!$B$3:$C$58,2,FALSE)</f>
        <v>1</v>
      </c>
      <c r="U156" s="20">
        <f>VLOOKUP(I156,'Int. Pa.'!$B$3:$C$58,2,FALSE)</f>
        <v>0</v>
      </c>
      <c r="V156" s="20">
        <f>VLOOKUP(J156,'Int. Pa.'!$B$3:$C$58,2,FALSE)</f>
        <v>10</v>
      </c>
      <c r="W156" s="20">
        <f>VLOOKUP(K156,'Int. Pa.'!$B$3:$C$58,2,FALSE)</f>
        <v>1</v>
      </c>
      <c r="X156" s="20">
        <f>VLOOKUP(L156,'Int. Pa.'!$B$3:$C$58,2,FALSE)</f>
        <v>1</v>
      </c>
      <c r="Y156" s="20">
        <f>VLOOKUP(M156,'Int. Pa.'!$B$3:$C$58,2,FALSE)</f>
        <v>5</v>
      </c>
      <c r="Z156" s="20">
        <f>VLOOKUP(N156,'Int. Pa.'!$B$3:$C$58,2,FALSE)</f>
        <v>6</v>
      </c>
      <c r="AA156" s="20">
        <f t="shared" si="4"/>
        <v>3</v>
      </c>
      <c r="AB156" s="20">
        <f t="shared" si="5"/>
        <v>34.166666666666664</v>
      </c>
    </row>
    <row r="157" spans="1:28">
      <c r="A157" s="84">
        <v>2</v>
      </c>
      <c r="B157" s="81">
        <v>671200001</v>
      </c>
      <c r="C157" s="82" t="s">
        <v>275</v>
      </c>
      <c r="D157" s="85">
        <v>2013</v>
      </c>
      <c r="E157" s="18" t="s">
        <v>7</v>
      </c>
      <c r="F157" s="18" t="s">
        <v>2</v>
      </c>
      <c r="G157" s="18" t="s">
        <v>88</v>
      </c>
      <c r="H157" s="18" t="s">
        <v>20</v>
      </c>
      <c r="I157" s="18" t="s">
        <v>24</v>
      </c>
      <c r="J157" s="18" t="s">
        <v>35</v>
      </c>
      <c r="K157" s="18" t="s">
        <v>38</v>
      </c>
      <c r="L157" s="18" t="s">
        <v>42</v>
      </c>
      <c r="M157" s="18" t="s">
        <v>50</v>
      </c>
      <c r="N157" s="18" t="s">
        <v>66</v>
      </c>
      <c r="O157" s="20">
        <f>2013-Table1[[#This Row],[Startup Year]]</f>
        <v>0</v>
      </c>
      <c r="P157" s="20"/>
      <c r="Q157" s="20">
        <f>VLOOKUP(E157,'Int. Pa.'!$B$3:$C$58,2,FALSE)</f>
        <v>1</v>
      </c>
      <c r="R157" s="20">
        <f>VLOOKUP(F157,'Int. Pa.'!$B$3:$C$58,2,FALSE)</f>
        <v>10</v>
      </c>
      <c r="S157" s="20">
        <f>VLOOKUP(G157,'Int. Pa.'!$B$3:$C$58,2,FALSE)</f>
        <v>0</v>
      </c>
      <c r="T157" s="20">
        <f>VLOOKUP(H157,'Int. Pa.'!$B$3:$C$58,2,FALSE)</f>
        <v>1</v>
      </c>
      <c r="U157" s="20">
        <f>VLOOKUP(I157,'Int. Pa.'!$B$3:$C$58,2,FALSE)</f>
        <v>0</v>
      </c>
      <c r="V157" s="20">
        <f>VLOOKUP(J157,'Int. Pa.'!$B$3:$C$58,2,FALSE)</f>
        <v>10</v>
      </c>
      <c r="W157" s="20">
        <f>VLOOKUP(K157,'Int. Pa.'!$B$3:$C$58,2,FALSE)</f>
        <v>1</v>
      </c>
      <c r="X157" s="20">
        <f>VLOOKUP(L157,'Int. Pa.'!$B$3:$C$58,2,FALSE)</f>
        <v>1</v>
      </c>
      <c r="Y157" s="20">
        <f>VLOOKUP(M157,'Int. Pa.'!$B$3:$C$58,2,FALSE)</f>
        <v>5</v>
      </c>
      <c r="Z157" s="20">
        <f>VLOOKUP(N157,'Int. Pa.'!$B$3:$C$58,2,FALSE)</f>
        <v>6</v>
      </c>
      <c r="AA157" s="20">
        <f t="shared" si="4"/>
        <v>0</v>
      </c>
      <c r="AB157" s="20">
        <f t="shared" si="5"/>
        <v>33.333333333333329</v>
      </c>
    </row>
    <row r="158" spans="1:28">
      <c r="A158" s="80">
        <v>2</v>
      </c>
      <c r="B158" s="81">
        <v>671210001</v>
      </c>
      <c r="C158" s="82" t="s">
        <v>688</v>
      </c>
      <c r="D158" s="83">
        <v>2000</v>
      </c>
      <c r="E158" s="18" t="s">
        <v>7</v>
      </c>
      <c r="F158" s="18" t="s">
        <v>2</v>
      </c>
      <c r="G158" s="18" t="s">
        <v>88</v>
      </c>
      <c r="H158" s="18" t="s">
        <v>20</v>
      </c>
      <c r="I158" s="18" t="s">
        <v>24</v>
      </c>
      <c r="J158" s="18" t="s">
        <v>35</v>
      </c>
      <c r="K158" s="18" t="s">
        <v>38</v>
      </c>
      <c r="L158" s="18" t="s">
        <v>42</v>
      </c>
      <c r="M158" s="18" t="s">
        <v>50</v>
      </c>
      <c r="N158" s="18" t="s">
        <v>66</v>
      </c>
      <c r="O158" s="20">
        <f>2013-Table1[[#This Row],[Startup Year]]</f>
        <v>13</v>
      </c>
      <c r="P158" s="20"/>
      <c r="Q158" s="20">
        <f>VLOOKUP(E158,'Int. Pa.'!$B$3:$C$58,2,FALSE)</f>
        <v>1</v>
      </c>
      <c r="R158" s="20">
        <f>VLOOKUP(F158,'Int. Pa.'!$B$3:$C$58,2,FALSE)</f>
        <v>10</v>
      </c>
      <c r="S158" s="20">
        <f>VLOOKUP(G158,'Int. Pa.'!$B$3:$C$58,2,FALSE)</f>
        <v>0</v>
      </c>
      <c r="T158" s="20">
        <f>VLOOKUP(H158,'Int. Pa.'!$B$3:$C$58,2,FALSE)</f>
        <v>1</v>
      </c>
      <c r="U158" s="20">
        <f>VLOOKUP(I158,'Int. Pa.'!$B$3:$C$58,2,FALSE)</f>
        <v>0</v>
      </c>
      <c r="V158" s="20">
        <f>VLOOKUP(J158,'Int. Pa.'!$B$3:$C$58,2,FALSE)</f>
        <v>10</v>
      </c>
      <c r="W158" s="20">
        <f>VLOOKUP(K158,'Int. Pa.'!$B$3:$C$58,2,FALSE)</f>
        <v>1</v>
      </c>
      <c r="X158" s="20">
        <f>VLOOKUP(L158,'Int. Pa.'!$B$3:$C$58,2,FALSE)</f>
        <v>1</v>
      </c>
      <c r="Y158" s="20">
        <f>VLOOKUP(M158,'Int. Pa.'!$B$3:$C$58,2,FALSE)</f>
        <v>5</v>
      </c>
      <c r="Z158" s="20">
        <f>VLOOKUP(N158,'Int. Pa.'!$B$3:$C$58,2,FALSE)</f>
        <v>6</v>
      </c>
      <c r="AA158" s="20">
        <f t="shared" si="4"/>
        <v>3</v>
      </c>
      <c r="AB158" s="20">
        <f t="shared" si="5"/>
        <v>34.166666666666664</v>
      </c>
    </row>
    <row r="159" spans="1:28">
      <c r="A159" s="80">
        <v>2</v>
      </c>
      <c r="B159" s="81">
        <v>671210002</v>
      </c>
      <c r="C159" s="82" t="s">
        <v>690</v>
      </c>
      <c r="D159" s="83">
        <v>2000</v>
      </c>
      <c r="E159" s="18" t="s">
        <v>7</v>
      </c>
      <c r="F159" s="18" t="s">
        <v>2</v>
      </c>
      <c r="G159" s="18" t="s">
        <v>88</v>
      </c>
      <c r="H159" s="18" t="s">
        <v>20</v>
      </c>
      <c r="I159" s="18" t="s">
        <v>24</v>
      </c>
      <c r="J159" s="18" t="s">
        <v>35</v>
      </c>
      <c r="K159" s="18" t="s">
        <v>38</v>
      </c>
      <c r="L159" s="18" t="s">
        <v>42</v>
      </c>
      <c r="M159" s="18" t="s">
        <v>50</v>
      </c>
      <c r="N159" s="18" t="s">
        <v>66</v>
      </c>
      <c r="O159" s="20">
        <f>2013-Table1[[#This Row],[Startup Year]]</f>
        <v>13</v>
      </c>
      <c r="P159" s="20"/>
      <c r="Q159" s="20">
        <f>VLOOKUP(E159,'Int. Pa.'!$B$3:$C$58,2,FALSE)</f>
        <v>1</v>
      </c>
      <c r="R159" s="20">
        <f>VLOOKUP(F159,'Int. Pa.'!$B$3:$C$58,2,FALSE)</f>
        <v>10</v>
      </c>
      <c r="S159" s="20">
        <f>VLOOKUP(G159,'Int. Pa.'!$B$3:$C$58,2,FALSE)</f>
        <v>0</v>
      </c>
      <c r="T159" s="20">
        <f>VLOOKUP(H159,'Int. Pa.'!$B$3:$C$58,2,FALSE)</f>
        <v>1</v>
      </c>
      <c r="U159" s="20">
        <f>VLOOKUP(I159,'Int. Pa.'!$B$3:$C$58,2,FALSE)</f>
        <v>0</v>
      </c>
      <c r="V159" s="20">
        <f>VLOOKUP(J159,'Int. Pa.'!$B$3:$C$58,2,FALSE)</f>
        <v>10</v>
      </c>
      <c r="W159" s="20">
        <f>VLOOKUP(K159,'Int. Pa.'!$B$3:$C$58,2,FALSE)</f>
        <v>1</v>
      </c>
      <c r="X159" s="20">
        <f>VLOOKUP(L159,'Int. Pa.'!$B$3:$C$58,2,FALSE)</f>
        <v>1</v>
      </c>
      <c r="Y159" s="20">
        <f>VLOOKUP(M159,'Int. Pa.'!$B$3:$C$58,2,FALSE)</f>
        <v>5</v>
      </c>
      <c r="Z159" s="20">
        <f>VLOOKUP(N159,'Int. Pa.'!$B$3:$C$58,2,FALSE)</f>
        <v>6</v>
      </c>
      <c r="AA159" s="20">
        <f t="shared" si="4"/>
        <v>3</v>
      </c>
      <c r="AB159" s="20">
        <f t="shared" si="5"/>
        <v>34.166666666666664</v>
      </c>
    </row>
    <row r="160" spans="1:28">
      <c r="A160" s="84">
        <v>2</v>
      </c>
      <c r="B160" s="81">
        <v>671210101</v>
      </c>
      <c r="C160" s="82" t="s">
        <v>276</v>
      </c>
      <c r="D160" s="85">
        <v>2013</v>
      </c>
      <c r="E160" s="18" t="s">
        <v>7</v>
      </c>
      <c r="F160" s="18" t="s">
        <v>2</v>
      </c>
      <c r="G160" s="18" t="s">
        <v>88</v>
      </c>
      <c r="H160" s="18" t="s">
        <v>20</v>
      </c>
      <c r="I160" s="18" t="s">
        <v>24</v>
      </c>
      <c r="J160" s="18" t="s">
        <v>35</v>
      </c>
      <c r="K160" s="18" t="s">
        <v>38</v>
      </c>
      <c r="L160" s="18" t="s">
        <v>42</v>
      </c>
      <c r="M160" s="18" t="s">
        <v>50</v>
      </c>
      <c r="N160" s="18" t="s">
        <v>66</v>
      </c>
      <c r="O160" s="20">
        <f>2013-Table1[[#This Row],[Startup Year]]</f>
        <v>0</v>
      </c>
      <c r="P160" s="20"/>
      <c r="Q160" s="20">
        <f>VLOOKUP(E160,'Int. Pa.'!$B$3:$C$58,2,FALSE)</f>
        <v>1</v>
      </c>
      <c r="R160" s="20">
        <f>VLOOKUP(F160,'Int. Pa.'!$B$3:$C$58,2,FALSE)</f>
        <v>10</v>
      </c>
      <c r="S160" s="20">
        <f>VLOOKUP(G160,'Int. Pa.'!$B$3:$C$58,2,FALSE)</f>
        <v>0</v>
      </c>
      <c r="T160" s="20">
        <f>VLOOKUP(H160,'Int. Pa.'!$B$3:$C$58,2,FALSE)</f>
        <v>1</v>
      </c>
      <c r="U160" s="20">
        <f>VLOOKUP(I160,'Int. Pa.'!$B$3:$C$58,2,FALSE)</f>
        <v>0</v>
      </c>
      <c r="V160" s="20">
        <f>VLOOKUP(J160,'Int. Pa.'!$B$3:$C$58,2,FALSE)</f>
        <v>10</v>
      </c>
      <c r="W160" s="20">
        <f>VLOOKUP(K160,'Int. Pa.'!$B$3:$C$58,2,FALSE)</f>
        <v>1</v>
      </c>
      <c r="X160" s="20">
        <f>VLOOKUP(L160,'Int. Pa.'!$B$3:$C$58,2,FALSE)</f>
        <v>1</v>
      </c>
      <c r="Y160" s="20">
        <f>VLOOKUP(M160,'Int. Pa.'!$B$3:$C$58,2,FALSE)</f>
        <v>5</v>
      </c>
      <c r="Z160" s="20">
        <f>VLOOKUP(N160,'Int. Pa.'!$B$3:$C$58,2,FALSE)</f>
        <v>6</v>
      </c>
      <c r="AA160" s="20">
        <f t="shared" si="4"/>
        <v>0</v>
      </c>
      <c r="AB160" s="20">
        <f t="shared" si="5"/>
        <v>33.333333333333329</v>
      </c>
    </row>
    <row r="161" spans="1:28">
      <c r="A161" s="80">
        <v>2</v>
      </c>
      <c r="B161" s="81">
        <v>671210102</v>
      </c>
      <c r="C161" s="82" t="s">
        <v>692</v>
      </c>
      <c r="D161" s="83">
        <v>2000</v>
      </c>
      <c r="E161" s="18" t="s">
        <v>7</v>
      </c>
      <c r="F161" s="18" t="s">
        <v>2</v>
      </c>
      <c r="G161" s="18" t="s">
        <v>88</v>
      </c>
      <c r="H161" s="18" t="s">
        <v>20</v>
      </c>
      <c r="I161" s="18" t="s">
        <v>24</v>
      </c>
      <c r="J161" s="18" t="s">
        <v>35</v>
      </c>
      <c r="K161" s="18" t="s">
        <v>38</v>
      </c>
      <c r="L161" s="18" t="s">
        <v>42</v>
      </c>
      <c r="M161" s="18" t="s">
        <v>50</v>
      </c>
      <c r="N161" s="18" t="s">
        <v>66</v>
      </c>
      <c r="O161" s="20">
        <f>2013-Table1[[#This Row],[Startup Year]]</f>
        <v>13</v>
      </c>
      <c r="P161" s="20"/>
      <c r="Q161" s="20">
        <f>VLOOKUP(E161,'Int. Pa.'!$B$3:$C$58,2,FALSE)</f>
        <v>1</v>
      </c>
      <c r="R161" s="20">
        <f>VLOOKUP(F161,'Int. Pa.'!$B$3:$C$58,2,FALSE)</f>
        <v>10</v>
      </c>
      <c r="S161" s="20">
        <f>VLOOKUP(G161,'Int. Pa.'!$B$3:$C$58,2,FALSE)</f>
        <v>0</v>
      </c>
      <c r="T161" s="20">
        <f>VLOOKUP(H161,'Int. Pa.'!$B$3:$C$58,2,FALSE)</f>
        <v>1</v>
      </c>
      <c r="U161" s="20">
        <f>VLOOKUP(I161,'Int. Pa.'!$B$3:$C$58,2,FALSE)</f>
        <v>0</v>
      </c>
      <c r="V161" s="20">
        <f>VLOOKUP(J161,'Int. Pa.'!$B$3:$C$58,2,FALSE)</f>
        <v>10</v>
      </c>
      <c r="W161" s="20">
        <f>VLOOKUP(K161,'Int. Pa.'!$B$3:$C$58,2,FALSE)</f>
        <v>1</v>
      </c>
      <c r="X161" s="20">
        <f>VLOOKUP(L161,'Int. Pa.'!$B$3:$C$58,2,FALSE)</f>
        <v>1</v>
      </c>
      <c r="Y161" s="20">
        <f>VLOOKUP(M161,'Int. Pa.'!$B$3:$C$58,2,FALSE)</f>
        <v>5</v>
      </c>
      <c r="Z161" s="20">
        <f>VLOOKUP(N161,'Int. Pa.'!$B$3:$C$58,2,FALSE)</f>
        <v>6</v>
      </c>
      <c r="AA161" s="20">
        <f t="shared" si="4"/>
        <v>3</v>
      </c>
      <c r="AB161" s="20">
        <f t="shared" si="5"/>
        <v>34.166666666666664</v>
      </c>
    </row>
    <row r="162" spans="1:28">
      <c r="A162" s="84">
        <v>2</v>
      </c>
      <c r="B162" s="81">
        <v>671500001</v>
      </c>
      <c r="C162" s="82" t="s">
        <v>725</v>
      </c>
      <c r="D162" s="85">
        <v>2000</v>
      </c>
      <c r="E162" s="18" t="s">
        <v>7</v>
      </c>
      <c r="F162" s="18" t="s">
        <v>2</v>
      </c>
      <c r="G162" s="18" t="s">
        <v>88</v>
      </c>
      <c r="H162" s="18" t="s">
        <v>20</v>
      </c>
      <c r="I162" s="18" t="s">
        <v>24</v>
      </c>
      <c r="J162" s="18" t="s">
        <v>35</v>
      </c>
      <c r="K162" s="18" t="s">
        <v>38</v>
      </c>
      <c r="L162" s="18" t="s">
        <v>42</v>
      </c>
      <c r="M162" s="18" t="s">
        <v>50</v>
      </c>
      <c r="N162" s="18" t="s">
        <v>66</v>
      </c>
      <c r="O162" s="20">
        <f>2013-Table1[[#This Row],[Startup Year]]</f>
        <v>13</v>
      </c>
      <c r="P162" s="20"/>
      <c r="Q162" s="20">
        <f>VLOOKUP(E162,'Int. Pa.'!$B$3:$C$58,2,FALSE)</f>
        <v>1</v>
      </c>
      <c r="R162" s="20">
        <f>VLOOKUP(F162,'Int. Pa.'!$B$3:$C$58,2,FALSE)</f>
        <v>10</v>
      </c>
      <c r="S162" s="20">
        <f>VLOOKUP(G162,'Int. Pa.'!$B$3:$C$58,2,FALSE)</f>
        <v>0</v>
      </c>
      <c r="T162" s="20">
        <f>VLOOKUP(H162,'Int. Pa.'!$B$3:$C$58,2,FALSE)</f>
        <v>1</v>
      </c>
      <c r="U162" s="20">
        <f>VLOOKUP(I162,'Int. Pa.'!$B$3:$C$58,2,FALSE)</f>
        <v>0</v>
      </c>
      <c r="V162" s="20">
        <f>VLOOKUP(J162,'Int. Pa.'!$B$3:$C$58,2,FALSE)</f>
        <v>10</v>
      </c>
      <c r="W162" s="20">
        <f>VLOOKUP(K162,'Int. Pa.'!$B$3:$C$58,2,FALSE)</f>
        <v>1</v>
      </c>
      <c r="X162" s="20">
        <f>VLOOKUP(L162,'Int. Pa.'!$B$3:$C$58,2,FALSE)</f>
        <v>1</v>
      </c>
      <c r="Y162" s="20">
        <f>VLOOKUP(M162,'Int. Pa.'!$B$3:$C$58,2,FALSE)</f>
        <v>5</v>
      </c>
      <c r="Z162" s="20">
        <f>VLOOKUP(N162,'Int. Pa.'!$B$3:$C$58,2,FALSE)</f>
        <v>6</v>
      </c>
      <c r="AA162" s="20">
        <f t="shared" si="4"/>
        <v>3</v>
      </c>
      <c r="AB162" s="20">
        <f t="shared" si="5"/>
        <v>34.166666666666664</v>
      </c>
    </row>
    <row r="163" spans="1:28">
      <c r="A163" s="84">
        <v>2</v>
      </c>
      <c r="B163" s="81">
        <v>673110001</v>
      </c>
      <c r="C163" s="82" t="s">
        <v>277</v>
      </c>
      <c r="D163" s="85">
        <v>1988</v>
      </c>
      <c r="E163" s="18" t="s">
        <v>7</v>
      </c>
      <c r="F163" s="18" t="s">
        <v>2</v>
      </c>
      <c r="G163" s="18" t="s">
        <v>88</v>
      </c>
      <c r="H163" s="18" t="s">
        <v>20</v>
      </c>
      <c r="I163" s="18" t="s">
        <v>24</v>
      </c>
      <c r="J163" s="18" t="s">
        <v>35</v>
      </c>
      <c r="K163" s="18" t="s">
        <v>38</v>
      </c>
      <c r="L163" s="18" t="s">
        <v>42</v>
      </c>
      <c r="M163" s="18" t="s">
        <v>50</v>
      </c>
      <c r="N163" s="18" t="s">
        <v>66</v>
      </c>
      <c r="O163" s="20">
        <f>2013-Table1[[#This Row],[Startup Year]]</f>
        <v>25</v>
      </c>
      <c r="P163" s="20"/>
      <c r="Q163" s="20">
        <f>VLOOKUP(E163,'Int. Pa.'!$B$3:$C$58,2,FALSE)</f>
        <v>1</v>
      </c>
      <c r="R163" s="20">
        <f>VLOOKUP(F163,'Int. Pa.'!$B$3:$C$58,2,FALSE)</f>
        <v>10</v>
      </c>
      <c r="S163" s="20">
        <f>VLOOKUP(G163,'Int. Pa.'!$B$3:$C$58,2,FALSE)</f>
        <v>0</v>
      </c>
      <c r="T163" s="20">
        <f>VLOOKUP(H163,'Int. Pa.'!$B$3:$C$58,2,FALSE)</f>
        <v>1</v>
      </c>
      <c r="U163" s="20">
        <f>VLOOKUP(I163,'Int. Pa.'!$B$3:$C$58,2,FALSE)</f>
        <v>0</v>
      </c>
      <c r="V163" s="20">
        <f>VLOOKUP(J163,'Int. Pa.'!$B$3:$C$58,2,FALSE)</f>
        <v>10</v>
      </c>
      <c r="W163" s="20">
        <f>VLOOKUP(K163,'Int. Pa.'!$B$3:$C$58,2,FALSE)</f>
        <v>1</v>
      </c>
      <c r="X163" s="20">
        <f>VLOOKUP(L163,'Int. Pa.'!$B$3:$C$58,2,FALSE)</f>
        <v>1</v>
      </c>
      <c r="Y163" s="20">
        <f>VLOOKUP(M163,'Int. Pa.'!$B$3:$C$58,2,FALSE)</f>
        <v>5</v>
      </c>
      <c r="Z163" s="20">
        <f>VLOOKUP(N163,'Int. Pa.'!$B$3:$C$58,2,FALSE)</f>
        <v>6</v>
      </c>
      <c r="AA163" s="20">
        <f t="shared" si="4"/>
        <v>6</v>
      </c>
      <c r="AB163" s="20">
        <f t="shared" si="5"/>
        <v>34.999999999999993</v>
      </c>
    </row>
    <row r="164" spans="1:28">
      <c r="A164" s="84">
        <v>2</v>
      </c>
      <c r="B164" s="81">
        <v>673110002</v>
      </c>
      <c r="C164" s="82" t="s">
        <v>278</v>
      </c>
      <c r="D164" s="85">
        <v>1988</v>
      </c>
      <c r="E164" s="18" t="s">
        <v>7</v>
      </c>
      <c r="F164" s="18" t="s">
        <v>2</v>
      </c>
      <c r="G164" s="18" t="s">
        <v>88</v>
      </c>
      <c r="H164" s="18" t="s">
        <v>20</v>
      </c>
      <c r="I164" s="18" t="s">
        <v>24</v>
      </c>
      <c r="J164" s="18" t="s">
        <v>35</v>
      </c>
      <c r="K164" s="18" t="s">
        <v>38</v>
      </c>
      <c r="L164" s="18" t="s">
        <v>42</v>
      </c>
      <c r="M164" s="18" t="s">
        <v>50</v>
      </c>
      <c r="N164" s="18" t="s">
        <v>66</v>
      </c>
      <c r="O164" s="20">
        <f>2013-Table1[[#This Row],[Startup Year]]</f>
        <v>25</v>
      </c>
      <c r="P164" s="20"/>
      <c r="Q164" s="20">
        <f>VLOOKUP(E164,'Int. Pa.'!$B$3:$C$58,2,FALSE)</f>
        <v>1</v>
      </c>
      <c r="R164" s="20">
        <f>VLOOKUP(F164,'Int. Pa.'!$B$3:$C$58,2,FALSE)</f>
        <v>10</v>
      </c>
      <c r="S164" s="20">
        <f>VLOOKUP(G164,'Int. Pa.'!$B$3:$C$58,2,FALSE)</f>
        <v>0</v>
      </c>
      <c r="T164" s="20">
        <f>VLOOKUP(H164,'Int. Pa.'!$B$3:$C$58,2,FALSE)</f>
        <v>1</v>
      </c>
      <c r="U164" s="20">
        <f>VLOOKUP(I164,'Int. Pa.'!$B$3:$C$58,2,FALSE)</f>
        <v>0</v>
      </c>
      <c r="V164" s="20">
        <f>VLOOKUP(J164,'Int. Pa.'!$B$3:$C$58,2,FALSE)</f>
        <v>10</v>
      </c>
      <c r="W164" s="20">
        <f>VLOOKUP(K164,'Int. Pa.'!$B$3:$C$58,2,FALSE)</f>
        <v>1</v>
      </c>
      <c r="X164" s="20">
        <f>VLOOKUP(L164,'Int. Pa.'!$B$3:$C$58,2,FALSE)</f>
        <v>1</v>
      </c>
      <c r="Y164" s="20">
        <f>VLOOKUP(M164,'Int. Pa.'!$B$3:$C$58,2,FALSE)</f>
        <v>5</v>
      </c>
      <c r="Z164" s="20">
        <f>VLOOKUP(N164,'Int. Pa.'!$B$3:$C$58,2,FALSE)</f>
        <v>6</v>
      </c>
      <c r="AA164" s="20">
        <f t="shared" si="4"/>
        <v>6</v>
      </c>
      <c r="AB164" s="20">
        <f t="shared" si="5"/>
        <v>34.999999999999993</v>
      </c>
    </row>
    <row r="165" spans="1:28">
      <c r="A165" s="84">
        <v>2</v>
      </c>
      <c r="B165" s="81">
        <v>673110003</v>
      </c>
      <c r="C165" s="82" t="s">
        <v>279</v>
      </c>
      <c r="D165" s="85">
        <v>2002</v>
      </c>
      <c r="E165" s="18" t="s">
        <v>7</v>
      </c>
      <c r="F165" s="18" t="s">
        <v>2</v>
      </c>
      <c r="G165" s="18" t="s">
        <v>88</v>
      </c>
      <c r="H165" s="18" t="s">
        <v>20</v>
      </c>
      <c r="I165" s="18" t="s">
        <v>24</v>
      </c>
      <c r="J165" s="18" t="s">
        <v>35</v>
      </c>
      <c r="K165" s="18" t="s">
        <v>38</v>
      </c>
      <c r="L165" s="18" t="s">
        <v>42</v>
      </c>
      <c r="M165" s="18" t="s">
        <v>50</v>
      </c>
      <c r="N165" s="18" t="s">
        <v>66</v>
      </c>
      <c r="O165" s="20">
        <f>2013-Table1[[#This Row],[Startup Year]]</f>
        <v>11</v>
      </c>
      <c r="P165" s="20"/>
      <c r="Q165" s="20">
        <f>VLOOKUP(E165,'Int. Pa.'!$B$3:$C$58,2,FALSE)</f>
        <v>1</v>
      </c>
      <c r="R165" s="20">
        <f>VLOOKUP(F165,'Int. Pa.'!$B$3:$C$58,2,FALSE)</f>
        <v>10</v>
      </c>
      <c r="S165" s="20">
        <f>VLOOKUP(G165,'Int. Pa.'!$B$3:$C$58,2,FALSE)</f>
        <v>0</v>
      </c>
      <c r="T165" s="20">
        <f>VLOOKUP(H165,'Int. Pa.'!$B$3:$C$58,2,FALSE)</f>
        <v>1</v>
      </c>
      <c r="U165" s="20">
        <f>VLOOKUP(I165,'Int. Pa.'!$B$3:$C$58,2,FALSE)</f>
        <v>0</v>
      </c>
      <c r="V165" s="20">
        <f>VLOOKUP(J165,'Int. Pa.'!$B$3:$C$58,2,FALSE)</f>
        <v>10</v>
      </c>
      <c r="W165" s="20">
        <f>VLOOKUP(K165,'Int. Pa.'!$B$3:$C$58,2,FALSE)</f>
        <v>1</v>
      </c>
      <c r="X165" s="20">
        <f>VLOOKUP(L165,'Int. Pa.'!$B$3:$C$58,2,FALSE)</f>
        <v>1</v>
      </c>
      <c r="Y165" s="20">
        <f>VLOOKUP(M165,'Int. Pa.'!$B$3:$C$58,2,FALSE)</f>
        <v>5</v>
      </c>
      <c r="Z165" s="20">
        <f>VLOOKUP(N165,'Int. Pa.'!$B$3:$C$58,2,FALSE)</f>
        <v>6</v>
      </c>
      <c r="AA165" s="20">
        <f t="shared" si="4"/>
        <v>3</v>
      </c>
      <c r="AB165" s="20">
        <f t="shared" si="5"/>
        <v>34.166666666666664</v>
      </c>
    </row>
    <row r="166" spans="1:28">
      <c r="A166" s="84">
        <v>2</v>
      </c>
      <c r="B166" s="81">
        <v>673110004</v>
      </c>
      <c r="C166" s="82" t="s">
        <v>280</v>
      </c>
      <c r="D166" s="85">
        <v>2013</v>
      </c>
      <c r="E166" s="18" t="s">
        <v>7</v>
      </c>
      <c r="F166" s="18" t="s">
        <v>2</v>
      </c>
      <c r="G166" s="18" t="s">
        <v>88</v>
      </c>
      <c r="H166" s="18" t="s">
        <v>20</v>
      </c>
      <c r="I166" s="18" t="s">
        <v>24</v>
      </c>
      <c r="J166" s="18" t="s">
        <v>35</v>
      </c>
      <c r="K166" s="18" t="s">
        <v>38</v>
      </c>
      <c r="L166" s="18" t="s">
        <v>42</v>
      </c>
      <c r="M166" s="18" t="s">
        <v>50</v>
      </c>
      <c r="N166" s="18" t="s">
        <v>66</v>
      </c>
      <c r="O166" s="20">
        <f>2013-Table1[[#This Row],[Startup Year]]</f>
        <v>0</v>
      </c>
      <c r="P166" s="20"/>
      <c r="Q166" s="20">
        <f>VLOOKUP(E166,'Int. Pa.'!$B$3:$C$58,2,FALSE)</f>
        <v>1</v>
      </c>
      <c r="R166" s="20">
        <f>VLOOKUP(F166,'Int. Pa.'!$B$3:$C$58,2,FALSE)</f>
        <v>10</v>
      </c>
      <c r="S166" s="20">
        <f>VLOOKUP(G166,'Int. Pa.'!$B$3:$C$58,2,FALSE)</f>
        <v>0</v>
      </c>
      <c r="T166" s="20">
        <f>VLOOKUP(H166,'Int. Pa.'!$B$3:$C$58,2,FALSE)</f>
        <v>1</v>
      </c>
      <c r="U166" s="20">
        <f>VLOOKUP(I166,'Int. Pa.'!$B$3:$C$58,2,FALSE)</f>
        <v>0</v>
      </c>
      <c r="V166" s="20">
        <f>VLOOKUP(J166,'Int. Pa.'!$B$3:$C$58,2,FALSE)</f>
        <v>10</v>
      </c>
      <c r="W166" s="20">
        <f>VLOOKUP(K166,'Int. Pa.'!$B$3:$C$58,2,FALSE)</f>
        <v>1</v>
      </c>
      <c r="X166" s="20">
        <f>VLOOKUP(L166,'Int. Pa.'!$B$3:$C$58,2,FALSE)</f>
        <v>1</v>
      </c>
      <c r="Y166" s="20">
        <f>VLOOKUP(M166,'Int. Pa.'!$B$3:$C$58,2,FALSE)</f>
        <v>5</v>
      </c>
      <c r="Z166" s="20">
        <f>VLOOKUP(N166,'Int. Pa.'!$B$3:$C$58,2,FALSE)</f>
        <v>6</v>
      </c>
      <c r="AA166" s="20">
        <f t="shared" si="4"/>
        <v>0</v>
      </c>
      <c r="AB166" s="20">
        <f t="shared" si="5"/>
        <v>33.333333333333329</v>
      </c>
    </row>
    <row r="167" spans="1:28">
      <c r="A167" s="84">
        <v>2</v>
      </c>
      <c r="B167" s="81">
        <v>673110005</v>
      </c>
      <c r="C167" s="82" t="s">
        <v>281</v>
      </c>
      <c r="D167" s="85">
        <v>2013</v>
      </c>
      <c r="E167" s="18" t="s">
        <v>7</v>
      </c>
      <c r="F167" s="18" t="s">
        <v>2</v>
      </c>
      <c r="G167" s="18" t="s">
        <v>88</v>
      </c>
      <c r="H167" s="18" t="s">
        <v>20</v>
      </c>
      <c r="I167" s="18" t="s">
        <v>24</v>
      </c>
      <c r="J167" s="18" t="s">
        <v>35</v>
      </c>
      <c r="K167" s="18" t="s">
        <v>38</v>
      </c>
      <c r="L167" s="18" t="s">
        <v>42</v>
      </c>
      <c r="M167" s="18" t="s">
        <v>50</v>
      </c>
      <c r="N167" s="18" t="s">
        <v>66</v>
      </c>
      <c r="O167" s="20">
        <f>2013-Table1[[#This Row],[Startup Year]]</f>
        <v>0</v>
      </c>
      <c r="P167" s="20"/>
      <c r="Q167" s="20">
        <f>VLOOKUP(E167,'Int. Pa.'!$B$3:$C$58,2,FALSE)</f>
        <v>1</v>
      </c>
      <c r="R167" s="20">
        <f>VLOOKUP(F167,'Int. Pa.'!$B$3:$C$58,2,FALSE)</f>
        <v>10</v>
      </c>
      <c r="S167" s="20">
        <f>VLOOKUP(G167,'Int. Pa.'!$B$3:$C$58,2,FALSE)</f>
        <v>0</v>
      </c>
      <c r="T167" s="20">
        <f>VLOOKUP(H167,'Int. Pa.'!$B$3:$C$58,2,FALSE)</f>
        <v>1</v>
      </c>
      <c r="U167" s="20">
        <f>VLOOKUP(I167,'Int. Pa.'!$B$3:$C$58,2,FALSE)</f>
        <v>0</v>
      </c>
      <c r="V167" s="20">
        <f>VLOOKUP(J167,'Int. Pa.'!$B$3:$C$58,2,FALSE)</f>
        <v>10</v>
      </c>
      <c r="W167" s="20">
        <f>VLOOKUP(K167,'Int. Pa.'!$B$3:$C$58,2,FALSE)</f>
        <v>1</v>
      </c>
      <c r="X167" s="20">
        <f>VLOOKUP(L167,'Int. Pa.'!$B$3:$C$58,2,FALSE)</f>
        <v>1</v>
      </c>
      <c r="Y167" s="20">
        <f>VLOOKUP(M167,'Int. Pa.'!$B$3:$C$58,2,FALSE)</f>
        <v>5</v>
      </c>
      <c r="Z167" s="20">
        <f>VLOOKUP(N167,'Int. Pa.'!$B$3:$C$58,2,FALSE)</f>
        <v>6</v>
      </c>
      <c r="AA167" s="20">
        <f t="shared" si="4"/>
        <v>0</v>
      </c>
      <c r="AB167" s="20">
        <f t="shared" si="5"/>
        <v>33.333333333333329</v>
      </c>
    </row>
    <row r="168" spans="1:28">
      <c r="A168" s="84">
        <v>2</v>
      </c>
      <c r="B168" s="81">
        <v>673110103</v>
      </c>
      <c r="C168" s="82" t="s">
        <v>282</v>
      </c>
      <c r="D168" s="85">
        <v>2013</v>
      </c>
      <c r="E168" s="18" t="s">
        <v>7</v>
      </c>
      <c r="F168" s="18" t="s">
        <v>2</v>
      </c>
      <c r="G168" s="18" t="s">
        <v>88</v>
      </c>
      <c r="H168" s="18" t="s">
        <v>20</v>
      </c>
      <c r="I168" s="18" t="s">
        <v>24</v>
      </c>
      <c r="J168" s="18" t="s">
        <v>35</v>
      </c>
      <c r="K168" s="18" t="s">
        <v>38</v>
      </c>
      <c r="L168" s="18" t="s">
        <v>42</v>
      </c>
      <c r="M168" s="18" t="s">
        <v>50</v>
      </c>
      <c r="N168" s="18" t="s">
        <v>66</v>
      </c>
      <c r="O168" s="20">
        <f>2013-Table1[[#This Row],[Startup Year]]</f>
        <v>0</v>
      </c>
      <c r="P168" s="20"/>
      <c r="Q168" s="20">
        <f>VLOOKUP(E168,'Int. Pa.'!$B$3:$C$58,2,FALSE)</f>
        <v>1</v>
      </c>
      <c r="R168" s="20">
        <f>VLOOKUP(F168,'Int. Pa.'!$B$3:$C$58,2,FALSE)</f>
        <v>10</v>
      </c>
      <c r="S168" s="20">
        <f>VLOOKUP(G168,'Int. Pa.'!$B$3:$C$58,2,FALSE)</f>
        <v>0</v>
      </c>
      <c r="T168" s="20">
        <f>VLOOKUP(H168,'Int. Pa.'!$B$3:$C$58,2,FALSE)</f>
        <v>1</v>
      </c>
      <c r="U168" s="20">
        <f>VLOOKUP(I168,'Int. Pa.'!$B$3:$C$58,2,FALSE)</f>
        <v>0</v>
      </c>
      <c r="V168" s="20">
        <f>VLOOKUP(J168,'Int. Pa.'!$B$3:$C$58,2,FALSE)</f>
        <v>10</v>
      </c>
      <c r="W168" s="20">
        <f>VLOOKUP(K168,'Int. Pa.'!$B$3:$C$58,2,FALSE)</f>
        <v>1</v>
      </c>
      <c r="X168" s="20">
        <f>VLOOKUP(L168,'Int. Pa.'!$B$3:$C$58,2,FALSE)</f>
        <v>1</v>
      </c>
      <c r="Y168" s="20">
        <f>VLOOKUP(M168,'Int. Pa.'!$B$3:$C$58,2,FALSE)</f>
        <v>5</v>
      </c>
      <c r="Z168" s="20">
        <f>VLOOKUP(N168,'Int. Pa.'!$B$3:$C$58,2,FALSE)</f>
        <v>6</v>
      </c>
      <c r="AA168" s="20">
        <f t="shared" si="4"/>
        <v>0</v>
      </c>
      <c r="AB168" s="20">
        <f t="shared" si="5"/>
        <v>33.333333333333329</v>
      </c>
    </row>
    <row r="169" spans="1:28">
      <c r="A169" s="84">
        <v>2</v>
      </c>
      <c r="B169" s="81">
        <v>673200001</v>
      </c>
      <c r="C169" s="82" t="s">
        <v>283</v>
      </c>
      <c r="D169" s="85">
        <v>1988</v>
      </c>
      <c r="E169" s="18" t="s">
        <v>7</v>
      </c>
      <c r="F169" s="18" t="s">
        <v>2</v>
      </c>
      <c r="G169" s="18" t="s">
        <v>88</v>
      </c>
      <c r="H169" s="18" t="s">
        <v>20</v>
      </c>
      <c r="I169" s="18" t="s">
        <v>24</v>
      </c>
      <c r="J169" s="18" t="s">
        <v>35</v>
      </c>
      <c r="K169" s="18" t="s">
        <v>38</v>
      </c>
      <c r="L169" s="18" t="s">
        <v>42</v>
      </c>
      <c r="M169" s="18" t="s">
        <v>50</v>
      </c>
      <c r="N169" s="18" t="s">
        <v>66</v>
      </c>
      <c r="O169" s="20">
        <f>2013-Table1[[#This Row],[Startup Year]]</f>
        <v>25</v>
      </c>
      <c r="P169" s="20"/>
      <c r="Q169" s="20">
        <f>VLOOKUP(E169,'Int. Pa.'!$B$3:$C$58,2,FALSE)</f>
        <v>1</v>
      </c>
      <c r="R169" s="20">
        <f>VLOOKUP(F169,'Int. Pa.'!$B$3:$C$58,2,FALSE)</f>
        <v>10</v>
      </c>
      <c r="S169" s="20">
        <f>VLOOKUP(G169,'Int. Pa.'!$B$3:$C$58,2,FALSE)</f>
        <v>0</v>
      </c>
      <c r="T169" s="20">
        <f>VLOOKUP(H169,'Int. Pa.'!$B$3:$C$58,2,FALSE)</f>
        <v>1</v>
      </c>
      <c r="U169" s="20">
        <f>VLOOKUP(I169,'Int. Pa.'!$B$3:$C$58,2,FALSE)</f>
        <v>0</v>
      </c>
      <c r="V169" s="20">
        <f>VLOOKUP(J169,'Int. Pa.'!$B$3:$C$58,2,FALSE)</f>
        <v>10</v>
      </c>
      <c r="W169" s="20">
        <f>VLOOKUP(K169,'Int. Pa.'!$B$3:$C$58,2,FALSE)</f>
        <v>1</v>
      </c>
      <c r="X169" s="20">
        <f>VLOOKUP(L169,'Int. Pa.'!$B$3:$C$58,2,FALSE)</f>
        <v>1</v>
      </c>
      <c r="Y169" s="20">
        <f>VLOOKUP(M169,'Int. Pa.'!$B$3:$C$58,2,FALSE)</f>
        <v>5</v>
      </c>
      <c r="Z169" s="20">
        <f>VLOOKUP(N169,'Int. Pa.'!$B$3:$C$58,2,FALSE)</f>
        <v>6</v>
      </c>
      <c r="AA169" s="20">
        <f t="shared" si="4"/>
        <v>6</v>
      </c>
      <c r="AB169" s="20">
        <f t="shared" si="5"/>
        <v>34.999999999999993</v>
      </c>
    </row>
    <row r="170" spans="1:28">
      <c r="A170" s="84">
        <v>2</v>
      </c>
      <c r="B170" s="81">
        <v>673200002</v>
      </c>
      <c r="C170" s="82" t="s">
        <v>284</v>
      </c>
      <c r="D170" s="85">
        <v>1988</v>
      </c>
      <c r="E170" s="18" t="s">
        <v>7</v>
      </c>
      <c r="F170" s="18" t="s">
        <v>2</v>
      </c>
      <c r="G170" s="18" t="s">
        <v>88</v>
      </c>
      <c r="H170" s="18" t="s">
        <v>20</v>
      </c>
      <c r="I170" s="18" t="s">
        <v>24</v>
      </c>
      <c r="J170" s="18" t="s">
        <v>35</v>
      </c>
      <c r="K170" s="18" t="s">
        <v>38</v>
      </c>
      <c r="L170" s="18" t="s">
        <v>42</v>
      </c>
      <c r="M170" s="18" t="s">
        <v>50</v>
      </c>
      <c r="N170" s="18" t="s">
        <v>66</v>
      </c>
      <c r="O170" s="20">
        <f>2013-Table1[[#This Row],[Startup Year]]</f>
        <v>25</v>
      </c>
      <c r="P170" s="20"/>
      <c r="Q170" s="20">
        <f>VLOOKUP(E170,'Int. Pa.'!$B$3:$C$58,2,FALSE)</f>
        <v>1</v>
      </c>
      <c r="R170" s="20">
        <f>VLOOKUP(F170,'Int. Pa.'!$B$3:$C$58,2,FALSE)</f>
        <v>10</v>
      </c>
      <c r="S170" s="20">
        <f>VLOOKUP(G170,'Int. Pa.'!$B$3:$C$58,2,FALSE)</f>
        <v>0</v>
      </c>
      <c r="T170" s="20">
        <f>VLOOKUP(H170,'Int. Pa.'!$B$3:$C$58,2,FALSE)</f>
        <v>1</v>
      </c>
      <c r="U170" s="20">
        <f>VLOOKUP(I170,'Int. Pa.'!$B$3:$C$58,2,FALSE)</f>
        <v>0</v>
      </c>
      <c r="V170" s="20">
        <f>VLOOKUP(J170,'Int. Pa.'!$B$3:$C$58,2,FALSE)</f>
        <v>10</v>
      </c>
      <c r="W170" s="20">
        <f>VLOOKUP(K170,'Int. Pa.'!$B$3:$C$58,2,FALSE)</f>
        <v>1</v>
      </c>
      <c r="X170" s="20">
        <f>VLOOKUP(L170,'Int. Pa.'!$B$3:$C$58,2,FALSE)</f>
        <v>1</v>
      </c>
      <c r="Y170" s="20">
        <f>VLOOKUP(M170,'Int. Pa.'!$B$3:$C$58,2,FALSE)</f>
        <v>5</v>
      </c>
      <c r="Z170" s="20">
        <f>VLOOKUP(N170,'Int. Pa.'!$B$3:$C$58,2,FALSE)</f>
        <v>6</v>
      </c>
      <c r="AA170" s="20">
        <f t="shared" si="4"/>
        <v>6</v>
      </c>
      <c r="AB170" s="20">
        <f t="shared" si="5"/>
        <v>34.999999999999993</v>
      </c>
    </row>
    <row r="171" spans="1:28">
      <c r="A171" s="84">
        <v>2</v>
      </c>
      <c r="B171" s="81">
        <v>673500001</v>
      </c>
      <c r="C171" s="82" t="s">
        <v>285</v>
      </c>
      <c r="D171" s="85">
        <v>2013</v>
      </c>
      <c r="E171" s="18" t="s">
        <v>7</v>
      </c>
      <c r="F171" s="18" t="s">
        <v>2</v>
      </c>
      <c r="G171" s="18" t="s">
        <v>88</v>
      </c>
      <c r="H171" s="18" t="s">
        <v>20</v>
      </c>
      <c r="I171" s="18" t="s">
        <v>24</v>
      </c>
      <c r="J171" s="18" t="s">
        <v>35</v>
      </c>
      <c r="K171" s="18" t="s">
        <v>38</v>
      </c>
      <c r="L171" s="18" t="s">
        <v>42</v>
      </c>
      <c r="M171" s="18" t="s">
        <v>50</v>
      </c>
      <c r="N171" s="18" t="s">
        <v>66</v>
      </c>
      <c r="O171" s="20">
        <f>2013-Table1[[#This Row],[Startup Year]]</f>
        <v>0</v>
      </c>
      <c r="P171" s="20"/>
      <c r="Q171" s="20">
        <f>VLOOKUP(E171,'Int. Pa.'!$B$3:$C$58,2,FALSE)</f>
        <v>1</v>
      </c>
      <c r="R171" s="20">
        <f>VLOOKUP(F171,'Int. Pa.'!$B$3:$C$58,2,FALSE)</f>
        <v>10</v>
      </c>
      <c r="S171" s="20">
        <f>VLOOKUP(G171,'Int. Pa.'!$B$3:$C$58,2,FALSE)</f>
        <v>0</v>
      </c>
      <c r="T171" s="20">
        <f>VLOOKUP(H171,'Int. Pa.'!$B$3:$C$58,2,FALSE)</f>
        <v>1</v>
      </c>
      <c r="U171" s="20">
        <f>VLOOKUP(I171,'Int. Pa.'!$B$3:$C$58,2,FALSE)</f>
        <v>0</v>
      </c>
      <c r="V171" s="20">
        <f>VLOOKUP(J171,'Int. Pa.'!$B$3:$C$58,2,FALSE)</f>
        <v>10</v>
      </c>
      <c r="W171" s="20">
        <f>VLOOKUP(K171,'Int. Pa.'!$B$3:$C$58,2,FALSE)</f>
        <v>1</v>
      </c>
      <c r="X171" s="20">
        <f>VLOOKUP(L171,'Int. Pa.'!$B$3:$C$58,2,FALSE)</f>
        <v>1</v>
      </c>
      <c r="Y171" s="20">
        <f>VLOOKUP(M171,'Int. Pa.'!$B$3:$C$58,2,FALSE)</f>
        <v>5</v>
      </c>
      <c r="Z171" s="20">
        <f>VLOOKUP(N171,'Int. Pa.'!$B$3:$C$58,2,FALSE)</f>
        <v>6</v>
      </c>
      <c r="AA171" s="20">
        <f t="shared" si="4"/>
        <v>0</v>
      </c>
      <c r="AB171" s="20">
        <f t="shared" si="5"/>
        <v>33.333333333333329</v>
      </c>
    </row>
    <row r="172" spans="1:28">
      <c r="A172" s="84">
        <v>2</v>
      </c>
      <c r="B172" s="81">
        <v>673600001</v>
      </c>
      <c r="C172" s="82" t="s">
        <v>286</v>
      </c>
      <c r="D172" s="85">
        <v>2013</v>
      </c>
      <c r="E172" s="18" t="s">
        <v>7</v>
      </c>
      <c r="F172" s="18" t="s">
        <v>2</v>
      </c>
      <c r="G172" s="18" t="s">
        <v>88</v>
      </c>
      <c r="H172" s="18" t="s">
        <v>20</v>
      </c>
      <c r="I172" s="18" t="s">
        <v>24</v>
      </c>
      <c r="J172" s="18" t="s">
        <v>35</v>
      </c>
      <c r="K172" s="18" t="s">
        <v>38</v>
      </c>
      <c r="L172" s="18" t="s">
        <v>42</v>
      </c>
      <c r="M172" s="18" t="s">
        <v>50</v>
      </c>
      <c r="N172" s="18" t="s">
        <v>66</v>
      </c>
      <c r="O172" s="20">
        <f>2013-Table1[[#This Row],[Startup Year]]</f>
        <v>0</v>
      </c>
      <c r="P172" s="20"/>
      <c r="Q172" s="20">
        <f>VLOOKUP(E172,'Int. Pa.'!$B$3:$C$58,2,FALSE)</f>
        <v>1</v>
      </c>
      <c r="R172" s="20">
        <f>VLOOKUP(F172,'Int. Pa.'!$B$3:$C$58,2,FALSE)</f>
        <v>10</v>
      </c>
      <c r="S172" s="20">
        <f>VLOOKUP(G172,'Int. Pa.'!$B$3:$C$58,2,FALSE)</f>
        <v>0</v>
      </c>
      <c r="T172" s="20">
        <f>VLOOKUP(H172,'Int. Pa.'!$B$3:$C$58,2,FALSE)</f>
        <v>1</v>
      </c>
      <c r="U172" s="20">
        <f>VLOOKUP(I172,'Int. Pa.'!$B$3:$C$58,2,FALSE)</f>
        <v>0</v>
      </c>
      <c r="V172" s="20">
        <f>VLOOKUP(J172,'Int. Pa.'!$B$3:$C$58,2,FALSE)</f>
        <v>10</v>
      </c>
      <c r="W172" s="20">
        <f>VLOOKUP(K172,'Int. Pa.'!$B$3:$C$58,2,FALSE)</f>
        <v>1</v>
      </c>
      <c r="X172" s="20">
        <f>VLOOKUP(L172,'Int. Pa.'!$B$3:$C$58,2,FALSE)</f>
        <v>1</v>
      </c>
      <c r="Y172" s="20">
        <f>VLOOKUP(M172,'Int. Pa.'!$B$3:$C$58,2,FALSE)</f>
        <v>5</v>
      </c>
      <c r="Z172" s="20">
        <f>VLOOKUP(N172,'Int. Pa.'!$B$3:$C$58,2,FALSE)</f>
        <v>6</v>
      </c>
      <c r="AA172" s="20">
        <f t="shared" si="4"/>
        <v>0</v>
      </c>
      <c r="AB172" s="20">
        <f t="shared" si="5"/>
        <v>33.333333333333329</v>
      </c>
    </row>
    <row r="173" spans="1:28">
      <c r="A173" s="84">
        <v>2</v>
      </c>
      <c r="B173" s="81">
        <v>673700001</v>
      </c>
      <c r="C173" s="82" t="s">
        <v>287</v>
      </c>
      <c r="D173" s="85">
        <v>2013</v>
      </c>
      <c r="E173" s="18" t="s">
        <v>7</v>
      </c>
      <c r="F173" s="18" t="s">
        <v>2</v>
      </c>
      <c r="G173" s="18" t="s">
        <v>88</v>
      </c>
      <c r="H173" s="18" t="s">
        <v>20</v>
      </c>
      <c r="I173" s="18" t="s">
        <v>24</v>
      </c>
      <c r="J173" s="18" t="s">
        <v>35</v>
      </c>
      <c r="K173" s="18" t="s">
        <v>38</v>
      </c>
      <c r="L173" s="18" t="s">
        <v>42</v>
      </c>
      <c r="M173" s="18" t="s">
        <v>50</v>
      </c>
      <c r="N173" s="18" t="s">
        <v>66</v>
      </c>
      <c r="O173" s="20">
        <f>2013-Table1[[#This Row],[Startup Year]]</f>
        <v>0</v>
      </c>
      <c r="P173" s="20"/>
      <c r="Q173" s="20">
        <f>VLOOKUP(E173,'Int. Pa.'!$B$3:$C$58,2,FALSE)</f>
        <v>1</v>
      </c>
      <c r="R173" s="20">
        <f>VLOOKUP(F173,'Int. Pa.'!$B$3:$C$58,2,FALSE)</f>
        <v>10</v>
      </c>
      <c r="S173" s="20">
        <f>VLOOKUP(G173,'Int. Pa.'!$B$3:$C$58,2,FALSE)</f>
        <v>0</v>
      </c>
      <c r="T173" s="20">
        <f>VLOOKUP(H173,'Int. Pa.'!$B$3:$C$58,2,FALSE)</f>
        <v>1</v>
      </c>
      <c r="U173" s="20">
        <f>VLOOKUP(I173,'Int. Pa.'!$B$3:$C$58,2,FALSE)</f>
        <v>0</v>
      </c>
      <c r="V173" s="20">
        <f>VLOOKUP(J173,'Int. Pa.'!$B$3:$C$58,2,FALSE)</f>
        <v>10</v>
      </c>
      <c r="W173" s="20">
        <f>VLOOKUP(K173,'Int. Pa.'!$B$3:$C$58,2,FALSE)</f>
        <v>1</v>
      </c>
      <c r="X173" s="20">
        <f>VLOOKUP(L173,'Int. Pa.'!$B$3:$C$58,2,FALSE)</f>
        <v>1</v>
      </c>
      <c r="Y173" s="20">
        <f>VLOOKUP(M173,'Int. Pa.'!$B$3:$C$58,2,FALSE)</f>
        <v>5</v>
      </c>
      <c r="Z173" s="20">
        <f>VLOOKUP(N173,'Int. Pa.'!$B$3:$C$58,2,FALSE)</f>
        <v>6</v>
      </c>
      <c r="AA173" s="20">
        <f t="shared" si="4"/>
        <v>0</v>
      </c>
      <c r="AB173" s="20">
        <f t="shared" si="5"/>
        <v>33.333333333333329</v>
      </c>
    </row>
    <row r="174" spans="1:28">
      <c r="A174" s="84">
        <v>2</v>
      </c>
      <c r="B174" s="81">
        <v>674100001</v>
      </c>
      <c r="C174" s="82" t="s">
        <v>288</v>
      </c>
      <c r="D174" s="85">
        <v>2013</v>
      </c>
      <c r="E174" s="18" t="s">
        <v>7</v>
      </c>
      <c r="F174" s="18" t="s">
        <v>2</v>
      </c>
      <c r="G174" s="18" t="s">
        <v>88</v>
      </c>
      <c r="H174" s="18" t="s">
        <v>20</v>
      </c>
      <c r="I174" s="18" t="s">
        <v>24</v>
      </c>
      <c r="J174" s="18" t="s">
        <v>35</v>
      </c>
      <c r="K174" s="18" t="s">
        <v>38</v>
      </c>
      <c r="L174" s="18" t="s">
        <v>42</v>
      </c>
      <c r="M174" s="18" t="s">
        <v>50</v>
      </c>
      <c r="N174" s="18" t="s">
        <v>66</v>
      </c>
      <c r="O174" s="20">
        <f>2013-Table1[[#This Row],[Startup Year]]</f>
        <v>0</v>
      </c>
      <c r="P174" s="20"/>
      <c r="Q174" s="20">
        <f>VLOOKUP(E174,'Int. Pa.'!$B$3:$C$58,2,FALSE)</f>
        <v>1</v>
      </c>
      <c r="R174" s="20">
        <f>VLOOKUP(F174,'Int. Pa.'!$B$3:$C$58,2,FALSE)</f>
        <v>10</v>
      </c>
      <c r="S174" s="20">
        <f>VLOOKUP(G174,'Int. Pa.'!$B$3:$C$58,2,FALSE)</f>
        <v>0</v>
      </c>
      <c r="T174" s="20">
        <f>VLOOKUP(H174,'Int. Pa.'!$B$3:$C$58,2,FALSE)</f>
        <v>1</v>
      </c>
      <c r="U174" s="20">
        <f>VLOOKUP(I174,'Int. Pa.'!$B$3:$C$58,2,FALSE)</f>
        <v>0</v>
      </c>
      <c r="V174" s="20">
        <f>VLOOKUP(J174,'Int. Pa.'!$B$3:$C$58,2,FALSE)</f>
        <v>10</v>
      </c>
      <c r="W174" s="20">
        <f>VLOOKUP(K174,'Int. Pa.'!$B$3:$C$58,2,FALSE)</f>
        <v>1</v>
      </c>
      <c r="X174" s="20">
        <f>VLOOKUP(L174,'Int. Pa.'!$B$3:$C$58,2,FALSE)</f>
        <v>1</v>
      </c>
      <c r="Y174" s="20">
        <f>VLOOKUP(M174,'Int. Pa.'!$B$3:$C$58,2,FALSE)</f>
        <v>5</v>
      </c>
      <c r="Z174" s="20">
        <f>VLOOKUP(N174,'Int. Pa.'!$B$3:$C$58,2,FALSE)</f>
        <v>6</v>
      </c>
      <c r="AA174" s="20">
        <f t="shared" si="4"/>
        <v>0</v>
      </c>
      <c r="AB174" s="20">
        <f t="shared" si="5"/>
        <v>33.333333333333329</v>
      </c>
    </row>
    <row r="175" spans="1:28">
      <c r="A175" s="84">
        <v>2</v>
      </c>
      <c r="B175" s="81">
        <v>692110101</v>
      </c>
      <c r="C175" s="82" t="s">
        <v>712</v>
      </c>
      <c r="D175" s="85">
        <v>2013</v>
      </c>
      <c r="E175" s="18" t="s">
        <v>7</v>
      </c>
      <c r="F175" s="18" t="s">
        <v>2</v>
      </c>
      <c r="G175" s="18" t="s">
        <v>88</v>
      </c>
      <c r="H175" s="18" t="s">
        <v>20</v>
      </c>
      <c r="I175" s="18" t="s">
        <v>24</v>
      </c>
      <c r="J175" s="18" t="s">
        <v>35</v>
      </c>
      <c r="K175" s="18" t="s">
        <v>38</v>
      </c>
      <c r="L175" s="18" t="s">
        <v>42</v>
      </c>
      <c r="M175" s="18" t="s">
        <v>50</v>
      </c>
      <c r="N175" s="18" t="s">
        <v>66</v>
      </c>
      <c r="O175" s="20">
        <f>2013-Table1[[#This Row],[Startup Year]]</f>
        <v>0</v>
      </c>
      <c r="P175" s="20"/>
      <c r="Q175" s="20">
        <f>VLOOKUP(E175,'Int. Pa.'!$B$3:$C$58,2,FALSE)</f>
        <v>1</v>
      </c>
      <c r="R175" s="20">
        <f>VLOOKUP(F175,'Int. Pa.'!$B$3:$C$58,2,FALSE)</f>
        <v>10</v>
      </c>
      <c r="S175" s="20">
        <f>VLOOKUP(G175,'Int. Pa.'!$B$3:$C$58,2,FALSE)</f>
        <v>0</v>
      </c>
      <c r="T175" s="20">
        <f>VLOOKUP(H175,'Int. Pa.'!$B$3:$C$58,2,FALSE)</f>
        <v>1</v>
      </c>
      <c r="U175" s="20">
        <f>VLOOKUP(I175,'Int. Pa.'!$B$3:$C$58,2,FALSE)</f>
        <v>0</v>
      </c>
      <c r="V175" s="20">
        <f>VLOOKUP(J175,'Int. Pa.'!$B$3:$C$58,2,FALSE)</f>
        <v>10</v>
      </c>
      <c r="W175" s="20">
        <f>VLOOKUP(K175,'Int. Pa.'!$B$3:$C$58,2,FALSE)</f>
        <v>1</v>
      </c>
      <c r="X175" s="20">
        <f>VLOOKUP(L175,'Int. Pa.'!$B$3:$C$58,2,FALSE)</f>
        <v>1</v>
      </c>
      <c r="Y175" s="20">
        <f>VLOOKUP(M175,'Int. Pa.'!$B$3:$C$58,2,FALSE)</f>
        <v>5</v>
      </c>
      <c r="Z175" s="20">
        <f>VLOOKUP(N175,'Int. Pa.'!$B$3:$C$58,2,FALSE)</f>
        <v>6</v>
      </c>
      <c r="AA175" s="20">
        <f t="shared" si="4"/>
        <v>0</v>
      </c>
      <c r="AB175" s="20">
        <f t="shared" si="5"/>
        <v>33.333333333333329</v>
      </c>
    </row>
    <row r="176" spans="1:28">
      <c r="A176" s="84">
        <v>2</v>
      </c>
      <c r="B176" s="81">
        <v>692110103</v>
      </c>
      <c r="C176" s="82" t="s">
        <v>289</v>
      </c>
      <c r="D176" s="86">
        <v>2000</v>
      </c>
      <c r="E176" s="18" t="s">
        <v>7</v>
      </c>
      <c r="F176" s="18" t="s">
        <v>2</v>
      </c>
      <c r="G176" s="18" t="s">
        <v>88</v>
      </c>
      <c r="H176" s="18" t="s">
        <v>20</v>
      </c>
      <c r="I176" s="18" t="s">
        <v>24</v>
      </c>
      <c r="J176" s="18" t="s">
        <v>35</v>
      </c>
      <c r="K176" s="18" t="s">
        <v>38</v>
      </c>
      <c r="L176" s="18" t="s">
        <v>42</v>
      </c>
      <c r="M176" s="18" t="s">
        <v>50</v>
      </c>
      <c r="N176" s="18" t="s">
        <v>66</v>
      </c>
      <c r="O176" s="20">
        <f>2013-Table1[[#This Row],[Startup Year]]</f>
        <v>13</v>
      </c>
      <c r="P176" s="20"/>
      <c r="Q176" s="20">
        <f>VLOOKUP(E176,'Int. Pa.'!$B$3:$C$58,2,FALSE)</f>
        <v>1</v>
      </c>
      <c r="R176" s="20">
        <f>VLOOKUP(F176,'Int. Pa.'!$B$3:$C$58,2,FALSE)</f>
        <v>10</v>
      </c>
      <c r="S176" s="20">
        <f>VLOOKUP(G176,'Int. Pa.'!$B$3:$C$58,2,FALSE)</f>
        <v>0</v>
      </c>
      <c r="T176" s="20">
        <f>VLOOKUP(H176,'Int. Pa.'!$B$3:$C$58,2,FALSE)</f>
        <v>1</v>
      </c>
      <c r="U176" s="20">
        <f>VLOOKUP(I176,'Int. Pa.'!$B$3:$C$58,2,FALSE)</f>
        <v>0</v>
      </c>
      <c r="V176" s="20">
        <f>VLOOKUP(J176,'Int. Pa.'!$B$3:$C$58,2,FALSE)</f>
        <v>10</v>
      </c>
      <c r="W176" s="20">
        <f>VLOOKUP(K176,'Int. Pa.'!$B$3:$C$58,2,FALSE)</f>
        <v>1</v>
      </c>
      <c r="X176" s="20">
        <f>VLOOKUP(L176,'Int. Pa.'!$B$3:$C$58,2,FALSE)</f>
        <v>1</v>
      </c>
      <c r="Y176" s="20">
        <f>VLOOKUP(M176,'Int. Pa.'!$B$3:$C$58,2,FALSE)</f>
        <v>5</v>
      </c>
      <c r="Z176" s="20">
        <f>VLOOKUP(N176,'Int. Pa.'!$B$3:$C$58,2,FALSE)</f>
        <v>6</v>
      </c>
      <c r="AA176" s="20">
        <f t="shared" si="4"/>
        <v>3</v>
      </c>
      <c r="AB176" s="20">
        <f t="shared" si="5"/>
        <v>34.166666666666664</v>
      </c>
    </row>
    <row r="177" spans="1:28">
      <c r="A177" s="84">
        <v>3</v>
      </c>
      <c r="B177" s="81">
        <v>330</v>
      </c>
      <c r="C177" s="82" t="s">
        <v>290</v>
      </c>
      <c r="D177" s="86">
        <v>2000</v>
      </c>
      <c r="E177" s="18" t="s">
        <v>7</v>
      </c>
      <c r="F177" s="18" t="s">
        <v>2</v>
      </c>
      <c r="G177" s="18" t="s">
        <v>88</v>
      </c>
      <c r="H177" s="18" t="s">
        <v>20</v>
      </c>
      <c r="I177" s="18" t="s">
        <v>24</v>
      </c>
      <c r="J177" s="18" t="s">
        <v>35</v>
      </c>
      <c r="K177" s="18" t="s">
        <v>38</v>
      </c>
      <c r="L177" s="18" t="s">
        <v>42</v>
      </c>
      <c r="M177" s="18" t="s">
        <v>50</v>
      </c>
      <c r="N177" s="18" t="s">
        <v>66</v>
      </c>
      <c r="O177" s="20">
        <f>2013-Table1[[#This Row],[Startup Year]]</f>
        <v>13</v>
      </c>
      <c r="P177" s="20"/>
      <c r="Q177" s="20">
        <f>VLOOKUP(E177,'Int. Pa.'!$B$3:$C$58,2,FALSE)</f>
        <v>1</v>
      </c>
      <c r="R177" s="20">
        <f>VLOOKUP(F177,'Int. Pa.'!$B$3:$C$58,2,FALSE)</f>
        <v>10</v>
      </c>
      <c r="S177" s="20">
        <f>VLOOKUP(G177,'Int. Pa.'!$B$3:$C$58,2,FALSE)</f>
        <v>0</v>
      </c>
      <c r="T177" s="20">
        <f>VLOOKUP(H177,'Int. Pa.'!$B$3:$C$58,2,FALSE)</f>
        <v>1</v>
      </c>
      <c r="U177" s="20">
        <f>VLOOKUP(I177,'Int. Pa.'!$B$3:$C$58,2,FALSE)</f>
        <v>0</v>
      </c>
      <c r="V177" s="20">
        <f>VLOOKUP(J177,'Int. Pa.'!$B$3:$C$58,2,FALSE)</f>
        <v>10</v>
      </c>
      <c r="W177" s="20">
        <f>VLOOKUP(K177,'Int. Pa.'!$B$3:$C$58,2,FALSE)</f>
        <v>1</v>
      </c>
      <c r="X177" s="20">
        <f>VLOOKUP(L177,'Int. Pa.'!$B$3:$C$58,2,FALSE)</f>
        <v>1</v>
      </c>
      <c r="Y177" s="20">
        <f>VLOOKUP(M177,'Int. Pa.'!$B$3:$C$58,2,FALSE)</f>
        <v>5</v>
      </c>
      <c r="Z177" s="20">
        <f>VLOOKUP(N177,'Int. Pa.'!$B$3:$C$58,2,FALSE)</f>
        <v>6</v>
      </c>
      <c r="AA177" s="20">
        <f t="shared" ref="AA177:AA208" si="6">IF(O177&gt;40,10,ROUND((O177/4),0))</f>
        <v>3</v>
      </c>
      <c r="AB177" s="20">
        <f t="shared" ref="AB177:AB208" si="7">($E$1*Q177+$F$1*R177+$G$1*S177+$H$1*T177+$I$1*U177+$J$1*V177+$K$1*W177+$L$1*X177+$M$1*Y177+$N$1*Z177+$O$1*AA177)</f>
        <v>34.166666666666664</v>
      </c>
    </row>
    <row r="178" spans="1:28">
      <c r="A178" s="80">
        <v>3</v>
      </c>
      <c r="B178" s="81">
        <v>330100002</v>
      </c>
      <c r="C178" s="82" t="s">
        <v>742</v>
      </c>
      <c r="D178" s="83">
        <v>2000</v>
      </c>
      <c r="E178" s="18" t="s">
        <v>7</v>
      </c>
      <c r="F178" s="18" t="s">
        <v>2</v>
      </c>
      <c r="G178" s="18" t="s">
        <v>88</v>
      </c>
      <c r="H178" s="18" t="s">
        <v>20</v>
      </c>
      <c r="I178" s="18" t="s">
        <v>24</v>
      </c>
      <c r="J178" s="18" t="s">
        <v>35</v>
      </c>
      <c r="K178" s="18" t="s">
        <v>38</v>
      </c>
      <c r="L178" s="18" t="s">
        <v>42</v>
      </c>
      <c r="M178" s="18" t="s">
        <v>50</v>
      </c>
      <c r="N178" s="18" t="s">
        <v>66</v>
      </c>
      <c r="O178" s="20">
        <f>2013-Table1[[#This Row],[Startup Year]]</f>
        <v>13</v>
      </c>
      <c r="P178" s="20"/>
      <c r="Q178" s="20">
        <f>VLOOKUP(E178,'Int. Pa.'!$B$3:$C$58,2,FALSE)</f>
        <v>1</v>
      </c>
      <c r="R178" s="20">
        <f>VLOOKUP(F178,'Int. Pa.'!$B$3:$C$58,2,FALSE)</f>
        <v>10</v>
      </c>
      <c r="S178" s="20">
        <f>VLOOKUP(G178,'Int. Pa.'!$B$3:$C$58,2,FALSE)</f>
        <v>0</v>
      </c>
      <c r="T178" s="20">
        <f>VLOOKUP(H178,'Int. Pa.'!$B$3:$C$58,2,FALSE)</f>
        <v>1</v>
      </c>
      <c r="U178" s="20">
        <f>VLOOKUP(I178,'Int. Pa.'!$B$3:$C$58,2,FALSE)</f>
        <v>0</v>
      </c>
      <c r="V178" s="20">
        <f>VLOOKUP(J178,'Int. Pa.'!$B$3:$C$58,2,FALSE)</f>
        <v>10</v>
      </c>
      <c r="W178" s="20">
        <f>VLOOKUP(K178,'Int. Pa.'!$B$3:$C$58,2,FALSE)</f>
        <v>1</v>
      </c>
      <c r="X178" s="20">
        <f>VLOOKUP(L178,'Int. Pa.'!$B$3:$C$58,2,FALSE)</f>
        <v>1</v>
      </c>
      <c r="Y178" s="20">
        <f>VLOOKUP(M178,'Int. Pa.'!$B$3:$C$58,2,FALSE)</f>
        <v>5</v>
      </c>
      <c r="Z178" s="20">
        <f>VLOOKUP(N178,'Int. Pa.'!$B$3:$C$58,2,FALSE)</f>
        <v>6</v>
      </c>
      <c r="AA178" s="20">
        <f t="shared" si="6"/>
        <v>3</v>
      </c>
      <c r="AB178" s="20">
        <f t="shared" si="7"/>
        <v>34.166666666666664</v>
      </c>
    </row>
    <row r="179" spans="1:28">
      <c r="A179" s="80">
        <v>3</v>
      </c>
      <c r="B179" s="81">
        <v>330100003</v>
      </c>
      <c r="C179" s="82" t="s">
        <v>750</v>
      </c>
      <c r="D179" s="83">
        <v>2000</v>
      </c>
      <c r="E179" s="18" t="s">
        <v>7</v>
      </c>
      <c r="F179" s="18" t="s">
        <v>2</v>
      </c>
      <c r="G179" s="18" t="s">
        <v>88</v>
      </c>
      <c r="H179" s="18" t="s">
        <v>20</v>
      </c>
      <c r="I179" s="18" t="s">
        <v>24</v>
      </c>
      <c r="J179" s="18" t="s">
        <v>35</v>
      </c>
      <c r="K179" s="18" t="s">
        <v>38</v>
      </c>
      <c r="L179" s="18" t="s">
        <v>42</v>
      </c>
      <c r="M179" s="18" t="s">
        <v>50</v>
      </c>
      <c r="N179" s="18" t="s">
        <v>66</v>
      </c>
      <c r="O179" s="20">
        <f>2013-Table1[[#This Row],[Startup Year]]</f>
        <v>13</v>
      </c>
      <c r="P179" s="20"/>
      <c r="Q179" s="20">
        <f>VLOOKUP(E179,'Int. Pa.'!$B$3:$C$58,2,FALSE)</f>
        <v>1</v>
      </c>
      <c r="R179" s="20">
        <f>VLOOKUP(F179,'Int. Pa.'!$B$3:$C$58,2,FALSE)</f>
        <v>10</v>
      </c>
      <c r="S179" s="20">
        <f>VLOOKUP(G179,'Int. Pa.'!$B$3:$C$58,2,FALSE)</f>
        <v>0</v>
      </c>
      <c r="T179" s="20">
        <f>VLOOKUP(H179,'Int. Pa.'!$B$3:$C$58,2,FALSE)</f>
        <v>1</v>
      </c>
      <c r="U179" s="20">
        <f>VLOOKUP(I179,'Int. Pa.'!$B$3:$C$58,2,FALSE)</f>
        <v>0</v>
      </c>
      <c r="V179" s="20">
        <f>VLOOKUP(J179,'Int. Pa.'!$B$3:$C$58,2,FALSE)</f>
        <v>10</v>
      </c>
      <c r="W179" s="20">
        <f>VLOOKUP(K179,'Int. Pa.'!$B$3:$C$58,2,FALSE)</f>
        <v>1</v>
      </c>
      <c r="X179" s="20">
        <f>VLOOKUP(L179,'Int. Pa.'!$B$3:$C$58,2,FALSE)</f>
        <v>1</v>
      </c>
      <c r="Y179" s="20">
        <f>VLOOKUP(M179,'Int. Pa.'!$B$3:$C$58,2,FALSE)</f>
        <v>5</v>
      </c>
      <c r="Z179" s="20">
        <f>VLOOKUP(N179,'Int. Pa.'!$B$3:$C$58,2,FALSE)</f>
        <v>6</v>
      </c>
      <c r="AA179" s="20">
        <f t="shared" si="6"/>
        <v>3</v>
      </c>
      <c r="AB179" s="20">
        <f t="shared" si="7"/>
        <v>34.166666666666664</v>
      </c>
    </row>
    <row r="180" spans="1:28">
      <c r="A180" s="80">
        <v>3</v>
      </c>
      <c r="B180" s="81">
        <v>33010009</v>
      </c>
      <c r="C180" s="82" t="s">
        <v>769</v>
      </c>
      <c r="D180" s="83">
        <v>2000</v>
      </c>
      <c r="E180" s="18" t="s">
        <v>7</v>
      </c>
      <c r="F180" s="18" t="s">
        <v>2</v>
      </c>
      <c r="G180" s="18" t="s">
        <v>88</v>
      </c>
      <c r="H180" s="18" t="s">
        <v>20</v>
      </c>
      <c r="I180" s="18" t="s">
        <v>24</v>
      </c>
      <c r="J180" s="18" t="s">
        <v>35</v>
      </c>
      <c r="K180" s="18" t="s">
        <v>38</v>
      </c>
      <c r="L180" s="18" t="s">
        <v>42</v>
      </c>
      <c r="M180" s="18" t="s">
        <v>50</v>
      </c>
      <c r="N180" s="18" t="s">
        <v>66</v>
      </c>
      <c r="O180" s="20">
        <f>2013-Table1[[#This Row],[Startup Year]]</f>
        <v>13</v>
      </c>
      <c r="P180" s="20"/>
      <c r="Q180" s="20">
        <f>VLOOKUP(E180,'Int. Pa.'!$B$3:$C$58,2,FALSE)</f>
        <v>1</v>
      </c>
      <c r="R180" s="20">
        <f>VLOOKUP(F180,'Int. Pa.'!$B$3:$C$58,2,FALSE)</f>
        <v>10</v>
      </c>
      <c r="S180" s="20">
        <f>VLOOKUP(G180,'Int. Pa.'!$B$3:$C$58,2,FALSE)</f>
        <v>0</v>
      </c>
      <c r="T180" s="20">
        <f>VLOOKUP(H180,'Int. Pa.'!$B$3:$C$58,2,FALSE)</f>
        <v>1</v>
      </c>
      <c r="U180" s="20">
        <f>VLOOKUP(I180,'Int. Pa.'!$B$3:$C$58,2,FALSE)</f>
        <v>0</v>
      </c>
      <c r="V180" s="20">
        <f>VLOOKUP(J180,'Int. Pa.'!$B$3:$C$58,2,FALSE)</f>
        <v>10</v>
      </c>
      <c r="W180" s="20">
        <f>VLOOKUP(K180,'Int. Pa.'!$B$3:$C$58,2,FALSE)</f>
        <v>1</v>
      </c>
      <c r="X180" s="20">
        <f>VLOOKUP(L180,'Int. Pa.'!$B$3:$C$58,2,FALSE)</f>
        <v>1</v>
      </c>
      <c r="Y180" s="20">
        <f>VLOOKUP(M180,'Int. Pa.'!$B$3:$C$58,2,FALSE)</f>
        <v>5</v>
      </c>
      <c r="Z180" s="20">
        <f>VLOOKUP(N180,'Int. Pa.'!$B$3:$C$58,2,FALSE)</f>
        <v>6</v>
      </c>
      <c r="AA180" s="20">
        <f t="shared" si="6"/>
        <v>3</v>
      </c>
      <c r="AB180" s="20">
        <f t="shared" si="7"/>
        <v>34.166666666666664</v>
      </c>
    </row>
    <row r="181" spans="1:28">
      <c r="A181" s="87">
        <v>3</v>
      </c>
      <c r="B181" s="81">
        <v>330200002</v>
      </c>
      <c r="C181" s="89" t="s">
        <v>727</v>
      </c>
      <c r="D181" s="90">
        <v>2000</v>
      </c>
      <c r="E181" s="18" t="s">
        <v>7</v>
      </c>
      <c r="F181" s="18" t="s">
        <v>2</v>
      </c>
      <c r="G181" s="18" t="s">
        <v>88</v>
      </c>
      <c r="H181" s="18" t="s">
        <v>20</v>
      </c>
      <c r="I181" s="18" t="s">
        <v>24</v>
      </c>
      <c r="J181" s="18" t="s">
        <v>35</v>
      </c>
      <c r="K181" s="18" t="s">
        <v>38</v>
      </c>
      <c r="L181" s="18" t="s">
        <v>42</v>
      </c>
      <c r="M181" s="18" t="s">
        <v>50</v>
      </c>
      <c r="N181" s="18" t="s">
        <v>66</v>
      </c>
      <c r="O181" s="20">
        <f>2013-Table1[[#This Row],[Startup Year]]</f>
        <v>13</v>
      </c>
      <c r="P181" s="20"/>
      <c r="Q181" s="20">
        <f>VLOOKUP(E181,'Int. Pa.'!$B$3:$C$58,2,FALSE)</f>
        <v>1</v>
      </c>
      <c r="R181" s="20">
        <f>VLOOKUP(F181,'Int. Pa.'!$B$3:$C$58,2,FALSE)</f>
        <v>10</v>
      </c>
      <c r="S181" s="20">
        <f>VLOOKUP(G181,'Int. Pa.'!$B$3:$C$58,2,FALSE)</f>
        <v>0</v>
      </c>
      <c r="T181" s="20">
        <f>VLOOKUP(H181,'Int. Pa.'!$B$3:$C$58,2,FALSE)</f>
        <v>1</v>
      </c>
      <c r="U181" s="20">
        <f>VLOOKUP(I181,'Int. Pa.'!$B$3:$C$58,2,FALSE)</f>
        <v>0</v>
      </c>
      <c r="V181" s="20">
        <f>VLOOKUP(J181,'Int. Pa.'!$B$3:$C$58,2,FALSE)</f>
        <v>10</v>
      </c>
      <c r="W181" s="20">
        <f>VLOOKUP(K181,'Int. Pa.'!$B$3:$C$58,2,FALSE)</f>
        <v>1</v>
      </c>
      <c r="X181" s="20">
        <f>VLOOKUP(L181,'Int. Pa.'!$B$3:$C$58,2,FALSE)</f>
        <v>1</v>
      </c>
      <c r="Y181" s="20">
        <f>VLOOKUP(M181,'Int. Pa.'!$B$3:$C$58,2,FALSE)</f>
        <v>5</v>
      </c>
      <c r="Z181" s="20">
        <f>VLOOKUP(N181,'Int. Pa.'!$B$3:$C$58,2,FALSE)</f>
        <v>6</v>
      </c>
      <c r="AA181" s="20">
        <f t="shared" si="6"/>
        <v>3</v>
      </c>
      <c r="AB181" s="20">
        <f t="shared" si="7"/>
        <v>34.166666666666664</v>
      </c>
    </row>
    <row r="182" spans="1:28">
      <c r="A182" s="80">
        <v>3</v>
      </c>
      <c r="B182" s="81">
        <v>330300001</v>
      </c>
      <c r="C182" s="82" t="s">
        <v>733</v>
      </c>
      <c r="D182" s="83">
        <v>2000</v>
      </c>
      <c r="E182" s="18" t="s">
        <v>7</v>
      </c>
      <c r="F182" s="18" t="s">
        <v>2</v>
      </c>
      <c r="G182" s="18" t="s">
        <v>88</v>
      </c>
      <c r="H182" s="18" t="s">
        <v>20</v>
      </c>
      <c r="I182" s="18" t="s">
        <v>24</v>
      </c>
      <c r="J182" s="18" t="s">
        <v>35</v>
      </c>
      <c r="K182" s="18" t="s">
        <v>38</v>
      </c>
      <c r="L182" s="18" t="s">
        <v>42</v>
      </c>
      <c r="M182" s="18" t="s">
        <v>50</v>
      </c>
      <c r="N182" s="18" t="s">
        <v>66</v>
      </c>
      <c r="O182" s="20">
        <f>2013-Table1[[#This Row],[Startup Year]]</f>
        <v>13</v>
      </c>
      <c r="P182" s="20"/>
      <c r="Q182" s="20">
        <f>VLOOKUP(E182,'Int. Pa.'!$B$3:$C$58,2,FALSE)</f>
        <v>1</v>
      </c>
      <c r="R182" s="20">
        <f>VLOOKUP(F182,'Int. Pa.'!$B$3:$C$58,2,FALSE)</f>
        <v>10</v>
      </c>
      <c r="S182" s="20">
        <f>VLOOKUP(G182,'Int. Pa.'!$B$3:$C$58,2,FALSE)</f>
        <v>0</v>
      </c>
      <c r="T182" s="20">
        <f>VLOOKUP(H182,'Int. Pa.'!$B$3:$C$58,2,FALSE)</f>
        <v>1</v>
      </c>
      <c r="U182" s="20">
        <f>VLOOKUP(I182,'Int. Pa.'!$B$3:$C$58,2,FALSE)</f>
        <v>0</v>
      </c>
      <c r="V182" s="20">
        <f>VLOOKUP(J182,'Int. Pa.'!$B$3:$C$58,2,FALSE)</f>
        <v>10</v>
      </c>
      <c r="W182" s="20">
        <f>VLOOKUP(K182,'Int. Pa.'!$B$3:$C$58,2,FALSE)</f>
        <v>1</v>
      </c>
      <c r="X182" s="20">
        <f>VLOOKUP(L182,'Int. Pa.'!$B$3:$C$58,2,FALSE)</f>
        <v>1</v>
      </c>
      <c r="Y182" s="20">
        <f>VLOOKUP(M182,'Int. Pa.'!$B$3:$C$58,2,FALSE)</f>
        <v>5</v>
      </c>
      <c r="Z182" s="20">
        <f>VLOOKUP(N182,'Int. Pa.'!$B$3:$C$58,2,FALSE)</f>
        <v>6</v>
      </c>
      <c r="AA182" s="20">
        <f t="shared" si="6"/>
        <v>3</v>
      </c>
      <c r="AB182" s="20">
        <f t="shared" si="7"/>
        <v>34.166666666666664</v>
      </c>
    </row>
    <row r="183" spans="1:28">
      <c r="A183" s="80">
        <v>3</v>
      </c>
      <c r="B183" s="81">
        <v>330300001</v>
      </c>
      <c r="C183" s="82" t="s">
        <v>734</v>
      </c>
      <c r="D183" s="83">
        <v>2000</v>
      </c>
      <c r="E183" s="18" t="s">
        <v>7</v>
      </c>
      <c r="F183" s="18" t="s">
        <v>2</v>
      </c>
      <c r="G183" s="18" t="s">
        <v>88</v>
      </c>
      <c r="H183" s="18" t="s">
        <v>20</v>
      </c>
      <c r="I183" s="18" t="s">
        <v>24</v>
      </c>
      <c r="J183" s="18" t="s">
        <v>35</v>
      </c>
      <c r="K183" s="18" t="s">
        <v>38</v>
      </c>
      <c r="L183" s="18" t="s">
        <v>42</v>
      </c>
      <c r="M183" s="18" t="s">
        <v>50</v>
      </c>
      <c r="N183" s="18" t="s">
        <v>66</v>
      </c>
      <c r="O183" s="20">
        <f>2013-Table1[[#This Row],[Startup Year]]</f>
        <v>13</v>
      </c>
      <c r="P183" s="20"/>
      <c r="Q183" s="20">
        <f>VLOOKUP(E183,'Int. Pa.'!$B$3:$C$58,2,FALSE)</f>
        <v>1</v>
      </c>
      <c r="R183" s="20">
        <f>VLOOKUP(F183,'Int. Pa.'!$B$3:$C$58,2,FALSE)</f>
        <v>10</v>
      </c>
      <c r="S183" s="20">
        <f>VLOOKUP(G183,'Int. Pa.'!$B$3:$C$58,2,FALSE)</f>
        <v>0</v>
      </c>
      <c r="T183" s="20">
        <f>VLOOKUP(H183,'Int. Pa.'!$B$3:$C$58,2,FALSE)</f>
        <v>1</v>
      </c>
      <c r="U183" s="20">
        <f>VLOOKUP(I183,'Int. Pa.'!$B$3:$C$58,2,FALSE)</f>
        <v>0</v>
      </c>
      <c r="V183" s="20">
        <f>VLOOKUP(J183,'Int. Pa.'!$B$3:$C$58,2,FALSE)</f>
        <v>10</v>
      </c>
      <c r="W183" s="20">
        <f>VLOOKUP(K183,'Int. Pa.'!$B$3:$C$58,2,FALSE)</f>
        <v>1</v>
      </c>
      <c r="X183" s="20">
        <f>VLOOKUP(L183,'Int. Pa.'!$B$3:$C$58,2,FALSE)</f>
        <v>1</v>
      </c>
      <c r="Y183" s="20">
        <f>VLOOKUP(M183,'Int. Pa.'!$B$3:$C$58,2,FALSE)</f>
        <v>5</v>
      </c>
      <c r="Z183" s="20">
        <f>VLOOKUP(N183,'Int. Pa.'!$B$3:$C$58,2,FALSE)</f>
        <v>6</v>
      </c>
      <c r="AA183" s="20">
        <f t="shared" si="6"/>
        <v>3</v>
      </c>
      <c r="AB183" s="20">
        <f t="shared" si="7"/>
        <v>34.166666666666664</v>
      </c>
    </row>
    <row r="184" spans="1:28">
      <c r="A184" s="80">
        <v>3</v>
      </c>
      <c r="B184" s="81">
        <v>330400008</v>
      </c>
      <c r="C184" s="82" t="s">
        <v>729</v>
      </c>
      <c r="D184" s="83">
        <v>2000</v>
      </c>
      <c r="E184" s="18" t="s">
        <v>7</v>
      </c>
      <c r="F184" s="18" t="s">
        <v>2</v>
      </c>
      <c r="G184" s="18" t="s">
        <v>88</v>
      </c>
      <c r="H184" s="18" t="s">
        <v>20</v>
      </c>
      <c r="I184" s="18" t="s">
        <v>24</v>
      </c>
      <c r="J184" s="18" t="s">
        <v>35</v>
      </c>
      <c r="K184" s="18" t="s">
        <v>38</v>
      </c>
      <c r="L184" s="18" t="s">
        <v>42</v>
      </c>
      <c r="M184" s="18" t="s">
        <v>50</v>
      </c>
      <c r="N184" s="18" t="s">
        <v>66</v>
      </c>
      <c r="O184" s="20">
        <f>2013-Table1[[#This Row],[Startup Year]]</f>
        <v>13</v>
      </c>
      <c r="P184" s="20"/>
      <c r="Q184" s="20">
        <f>VLOOKUP(E184,'Int. Pa.'!$B$3:$C$58,2,FALSE)</f>
        <v>1</v>
      </c>
      <c r="R184" s="20">
        <f>VLOOKUP(F184,'Int. Pa.'!$B$3:$C$58,2,FALSE)</f>
        <v>10</v>
      </c>
      <c r="S184" s="20">
        <f>VLOOKUP(G184,'Int. Pa.'!$B$3:$C$58,2,FALSE)</f>
        <v>0</v>
      </c>
      <c r="T184" s="20">
        <f>VLOOKUP(H184,'Int. Pa.'!$B$3:$C$58,2,FALSE)</f>
        <v>1</v>
      </c>
      <c r="U184" s="20">
        <f>VLOOKUP(I184,'Int. Pa.'!$B$3:$C$58,2,FALSE)</f>
        <v>0</v>
      </c>
      <c r="V184" s="20">
        <f>VLOOKUP(J184,'Int. Pa.'!$B$3:$C$58,2,FALSE)</f>
        <v>10</v>
      </c>
      <c r="W184" s="20">
        <f>VLOOKUP(K184,'Int. Pa.'!$B$3:$C$58,2,FALSE)</f>
        <v>1</v>
      </c>
      <c r="X184" s="20">
        <f>VLOOKUP(L184,'Int. Pa.'!$B$3:$C$58,2,FALSE)</f>
        <v>1</v>
      </c>
      <c r="Y184" s="20">
        <f>VLOOKUP(M184,'Int. Pa.'!$B$3:$C$58,2,FALSE)</f>
        <v>5</v>
      </c>
      <c r="Z184" s="20">
        <f>VLOOKUP(N184,'Int. Pa.'!$B$3:$C$58,2,FALSE)</f>
        <v>6</v>
      </c>
      <c r="AA184" s="20">
        <f t="shared" si="6"/>
        <v>3</v>
      </c>
      <c r="AB184" s="20">
        <f t="shared" si="7"/>
        <v>34.166666666666664</v>
      </c>
    </row>
    <row r="185" spans="1:28">
      <c r="A185" s="80">
        <v>3</v>
      </c>
      <c r="B185" s="81">
        <v>330500001</v>
      </c>
      <c r="C185" s="82" t="s">
        <v>738</v>
      </c>
      <c r="D185" s="83">
        <v>2000</v>
      </c>
      <c r="E185" s="18" t="s">
        <v>7</v>
      </c>
      <c r="F185" s="18" t="s">
        <v>2</v>
      </c>
      <c r="G185" s="18" t="s">
        <v>88</v>
      </c>
      <c r="H185" s="18" t="s">
        <v>20</v>
      </c>
      <c r="I185" s="18" t="s">
        <v>24</v>
      </c>
      <c r="J185" s="18" t="s">
        <v>35</v>
      </c>
      <c r="K185" s="18" t="s">
        <v>38</v>
      </c>
      <c r="L185" s="18" t="s">
        <v>42</v>
      </c>
      <c r="M185" s="18" t="s">
        <v>50</v>
      </c>
      <c r="N185" s="18" t="s">
        <v>66</v>
      </c>
      <c r="O185" s="20">
        <f>2013-Table1[[#This Row],[Startup Year]]</f>
        <v>13</v>
      </c>
      <c r="P185" s="20"/>
      <c r="Q185" s="20">
        <f>VLOOKUP(E185,'Int. Pa.'!$B$3:$C$58,2,FALSE)</f>
        <v>1</v>
      </c>
      <c r="R185" s="20">
        <f>VLOOKUP(F185,'Int. Pa.'!$B$3:$C$58,2,FALSE)</f>
        <v>10</v>
      </c>
      <c r="S185" s="20">
        <f>VLOOKUP(G185,'Int. Pa.'!$B$3:$C$58,2,FALSE)</f>
        <v>0</v>
      </c>
      <c r="T185" s="20">
        <f>VLOOKUP(H185,'Int. Pa.'!$B$3:$C$58,2,FALSE)</f>
        <v>1</v>
      </c>
      <c r="U185" s="20">
        <f>VLOOKUP(I185,'Int. Pa.'!$B$3:$C$58,2,FALSE)</f>
        <v>0</v>
      </c>
      <c r="V185" s="20">
        <f>VLOOKUP(J185,'Int. Pa.'!$B$3:$C$58,2,FALSE)</f>
        <v>10</v>
      </c>
      <c r="W185" s="20">
        <f>VLOOKUP(K185,'Int. Pa.'!$B$3:$C$58,2,FALSE)</f>
        <v>1</v>
      </c>
      <c r="X185" s="20">
        <f>VLOOKUP(L185,'Int. Pa.'!$B$3:$C$58,2,FALSE)</f>
        <v>1</v>
      </c>
      <c r="Y185" s="20">
        <f>VLOOKUP(M185,'Int. Pa.'!$B$3:$C$58,2,FALSE)</f>
        <v>5</v>
      </c>
      <c r="Z185" s="20">
        <f>VLOOKUP(N185,'Int. Pa.'!$B$3:$C$58,2,FALSE)</f>
        <v>6</v>
      </c>
      <c r="AA185" s="20">
        <f t="shared" si="6"/>
        <v>3</v>
      </c>
      <c r="AB185" s="20">
        <f t="shared" si="7"/>
        <v>34.166666666666664</v>
      </c>
    </row>
    <row r="186" spans="1:28">
      <c r="A186" s="80">
        <v>3</v>
      </c>
      <c r="B186" s="81">
        <v>33050002</v>
      </c>
      <c r="C186" s="82" t="s">
        <v>765</v>
      </c>
      <c r="D186" s="83">
        <v>2000</v>
      </c>
      <c r="E186" s="18" t="s">
        <v>7</v>
      </c>
      <c r="F186" s="18" t="s">
        <v>2</v>
      </c>
      <c r="G186" s="18" t="s">
        <v>88</v>
      </c>
      <c r="H186" s="18" t="s">
        <v>20</v>
      </c>
      <c r="I186" s="18" t="s">
        <v>24</v>
      </c>
      <c r="J186" s="18" t="s">
        <v>35</v>
      </c>
      <c r="K186" s="18" t="s">
        <v>38</v>
      </c>
      <c r="L186" s="18" t="s">
        <v>42</v>
      </c>
      <c r="M186" s="18" t="s">
        <v>50</v>
      </c>
      <c r="N186" s="18" t="s">
        <v>66</v>
      </c>
      <c r="O186" s="20">
        <f>2013-Table1[[#This Row],[Startup Year]]</f>
        <v>13</v>
      </c>
      <c r="P186" s="20"/>
      <c r="Q186" s="20">
        <f>VLOOKUP(E186,'Int. Pa.'!$B$3:$C$58,2,FALSE)</f>
        <v>1</v>
      </c>
      <c r="R186" s="20">
        <f>VLOOKUP(F186,'Int. Pa.'!$B$3:$C$58,2,FALSE)</f>
        <v>10</v>
      </c>
      <c r="S186" s="20">
        <f>VLOOKUP(G186,'Int. Pa.'!$B$3:$C$58,2,FALSE)</f>
        <v>0</v>
      </c>
      <c r="T186" s="20">
        <f>VLOOKUP(H186,'Int. Pa.'!$B$3:$C$58,2,FALSE)</f>
        <v>1</v>
      </c>
      <c r="U186" s="20">
        <f>VLOOKUP(I186,'Int. Pa.'!$B$3:$C$58,2,FALSE)</f>
        <v>0</v>
      </c>
      <c r="V186" s="20">
        <f>VLOOKUP(J186,'Int. Pa.'!$B$3:$C$58,2,FALSE)</f>
        <v>10</v>
      </c>
      <c r="W186" s="20">
        <f>VLOOKUP(K186,'Int. Pa.'!$B$3:$C$58,2,FALSE)</f>
        <v>1</v>
      </c>
      <c r="X186" s="20">
        <f>VLOOKUP(L186,'Int. Pa.'!$B$3:$C$58,2,FALSE)</f>
        <v>1</v>
      </c>
      <c r="Y186" s="20">
        <f>VLOOKUP(M186,'Int. Pa.'!$B$3:$C$58,2,FALSE)</f>
        <v>5</v>
      </c>
      <c r="Z186" s="20">
        <f>VLOOKUP(N186,'Int. Pa.'!$B$3:$C$58,2,FALSE)</f>
        <v>6</v>
      </c>
      <c r="AA186" s="20">
        <f t="shared" si="6"/>
        <v>3</v>
      </c>
      <c r="AB186" s="20">
        <f t="shared" si="7"/>
        <v>34.166666666666664</v>
      </c>
    </row>
    <row r="187" spans="1:28">
      <c r="A187" s="80">
        <v>3</v>
      </c>
      <c r="B187" s="81">
        <v>330500001</v>
      </c>
      <c r="C187" s="82" t="s">
        <v>760</v>
      </c>
      <c r="D187" s="83">
        <v>2000</v>
      </c>
      <c r="E187" s="18" t="s">
        <v>7</v>
      </c>
      <c r="F187" s="18" t="s">
        <v>2</v>
      </c>
      <c r="G187" s="18" t="s">
        <v>88</v>
      </c>
      <c r="H187" s="18" t="s">
        <v>20</v>
      </c>
      <c r="I187" s="18" t="s">
        <v>24</v>
      </c>
      <c r="J187" s="18" t="s">
        <v>35</v>
      </c>
      <c r="K187" s="18" t="s">
        <v>38</v>
      </c>
      <c r="L187" s="18" t="s">
        <v>42</v>
      </c>
      <c r="M187" s="18" t="s">
        <v>50</v>
      </c>
      <c r="N187" s="18" t="s">
        <v>66</v>
      </c>
      <c r="O187" s="20">
        <f>2013-Table1[[#This Row],[Startup Year]]</f>
        <v>13</v>
      </c>
      <c r="P187" s="20"/>
      <c r="Q187" s="20">
        <f>VLOOKUP(E187,'Int. Pa.'!$B$3:$C$58,2,FALSE)</f>
        <v>1</v>
      </c>
      <c r="R187" s="20">
        <f>VLOOKUP(F187,'Int. Pa.'!$B$3:$C$58,2,FALSE)</f>
        <v>10</v>
      </c>
      <c r="S187" s="20">
        <f>VLOOKUP(G187,'Int. Pa.'!$B$3:$C$58,2,FALSE)</f>
        <v>0</v>
      </c>
      <c r="T187" s="20">
        <f>VLOOKUP(H187,'Int. Pa.'!$B$3:$C$58,2,FALSE)</f>
        <v>1</v>
      </c>
      <c r="U187" s="20">
        <f>VLOOKUP(I187,'Int. Pa.'!$B$3:$C$58,2,FALSE)</f>
        <v>0</v>
      </c>
      <c r="V187" s="20">
        <f>VLOOKUP(J187,'Int. Pa.'!$B$3:$C$58,2,FALSE)</f>
        <v>10</v>
      </c>
      <c r="W187" s="20">
        <f>VLOOKUP(K187,'Int. Pa.'!$B$3:$C$58,2,FALSE)</f>
        <v>1</v>
      </c>
      <c r="X187" s="20">
        <f>VLOOKUP(L187,'Int. Pa.'!$B$3:$C$58,2,FALSE)</f>
        <v>1</v>
      </c>
      <c r="Y187" s="20">
        <f>VLOOKUP(M187,'Int. Pa.'!$B$3:$C$58,2,FALSE)</f>
        <v>5</v>
      </c>
      <c r="Z187" s="20">
        <f>VLOOKUP(N187,'Int. Pa.'!$B$3:$C$58,2,FALSE)</f>
        <v>6</v>
      </c>
      <c r="AA187" s="20">
        <f t="shared" si="6"/>
        <v>3</v>
      </c>
      <c r="AB187" s="20">
        <f t="shared" si="7"/>
        <v>34.166666666666664</v>
      </c>
    </row>
    <row r="188" spans="1:28">
      <c r="A188" s="80">
        <v>3</v>
      </c>
      <c r="B188" s="81">
        <v>330500004</v>
      </c>
      <c r="C188" s="82" t="s">
        <v>736</v>
      </c>
      <c r="D188" s="83">
        <v>2000</v>
      </c>
      <c r="E188" s="18" t="s">
        <v>7</v>
      </c>
      <c r="F188" s="18" t="s">
        <v>2</v>
      </c>
      <c r="G188" s="18" t="s">
        <v>88</v>
      </c>
      <c r="H188" s="18" t="s">
        <v>20</v>
      </c>
      <c r="I188" s="18" t="s">
        <v>24</v>
      </c>
      <c r="J188" s="18" t="s">
        <v>35</v>
      </c>
      <c r="K188" s="18" t="s">
        <v>38</v>
      </c>
      <c r="L188" s="18" t="s">
        <v>42</v>
      </c>
      <c r="M188" s="18" t="s">
        <v>50</v>
      </c>
      <c r="N188" s="18" t="s">
        <v>66</v>
      </c>
      <c r="O188" s="20">
        <f>2013-Table1[[#This Row],[Startup Year]]</f>
        <v>13</v>
      </c>
      <c r="P188" s="20"/>
      <c r="Q188" s="20">
        <f>VLOOKUP(E188,'Int. Pa.'!$B$3:$C$58,2,FALSE)</f>
        <v>1</v>
      </c>
      <c r="R188" s="20">
        <f>VLOOKUP(F188,'Int. Pa.'!$B$3:$C$58,2,FALSE)</f>
        <v>10</v>
      </c>
      <c r="S188" s="20">
        <f>VLOOKUP(G188,'Int. Pa.'!$B$3:$C$58,2,FALSE)</f>
        <v>0</v>
      </c>
      <c r="T188" s="20">
        <f>VLOOKUP(H188,'Int. Pa.'!$B$3:$C$58,2,FALSE)</f>
        <v>1</v>
      </c>
      <c r="U188" s="20">
        <f>VLOOKUP(I188,'Int. Pa.'!$B$3:$C$58,2,FALSE)</f>
        <v>0</v>
      </c>
      <c r="V188" s="20">
        <f>VLOOKUP(J188,'Int. Pa.'!$B$3:$C$58,2,FALSE)</f>
        <v>10</v>
      </c>
      <c r="W188" s="20">
        <f>VLOOKUP(K188,'Int. Pa.'!$B$3:$C$58,2,FALSE)</f>
        <v>1</v>
      </c>
      <c r="X188" s="20">
        <f>VLOOKUP(L188,'Int. Pa.'!$B$3:$C$58,2,FALSE)</f>
        <v>1</v>
      </c>
      <c r="Y188" s="20">
        <f>VLOOKUP(M188,'Int. Pa.'!$B$3:$C$58,2,FALSE)</f>
        <v>5</v>
      </c>
      <c r="Z188" s="20">
        <f>VLOOKUP(N188,'Int. Pa.'!$B$3:$C$58,2,FALSE)</f>
        <v>6</v>
      </c>
      <c r="AA188" s="20">
        <f t="shared" si="6"/>
        <v>3</v>
      </c>
      <c r="AB188" s="20">
        <f t="shared" si="7"/>
        <v>34.166666666666664</v>
      </c>
    </row>
    <row r="189" spans="1:28">
      <c r="A189" s="80">
        <v>3</v>
      </c>
      <c r="B189" s="81">
        <v>330500003</v>
      </c>
      <c r="C189" s="82" t="s">
        <v>740</v>
      </c>
      <c r="D189" s="83">
        <v>2000</v>
      </c>
      <c r="E189" s="18" t="s">
        <v>7</v>
      </c>
      <c r="F189" s="18" t="s">
        <v>2</v>
      </c>
      <c r="G189" s="18" t="s">
        <v>88</v>
      </c>
      <c r="H189" s="18" t="s">
        <v>20</v>
      </c>
      <c r="I189" s="18" t="s">
        <v>24</v>
      </c>
      <c r="J189" s="18" t="s">
        <v>35</v>
      </c>
      <c r="K189" s="18" t="s">
        <v>38</v>
      </c>
      <c r="L189" s="18" t="s">
        <v>42</v>
      </c>
      <c r="M189" s="18" t="s">
        <v>50</v>
      </c>
      <c r="N189" s="18" t="s">
        <v>66</v>
      </c>
      <c r="O189" s="20">
        <f>2013-Table1[[#This Row],[Startup Year]]</f>
        <v>13</v>
      </c>
      <c r="P189" s="20"/>
      <c r="Q189" s="20">
        <f>VLOOKUP(E189,'Int. Pa.'!$B$3:$C$58,2,FALSE)</f>
        <v>1</v>
      </c>
      <c r="R189" s="20">
        <f>VLOOKUP(F189,'Int. Pa.'!$B$3:$C$58,2,FALSE)</f>
        <v>10</v>
      </c>
      <c r="S189" s="20">
        <f>VLOOKUP(G189,'Int. Pa.'!$B$3:$C$58,2,FALSE)</f>
        <v>0</v>
      </c>
      <c r="T189" s="20">
        <f>VLOOKUP(H189,'Int. Pa.'!$B$3:$C$58,2,FALSE)</f>
        <v>1</v>
      </c>
      <c r="U189" s="20">
        <f>VLOOKUP(I189,'Int. Pa.'!$B$3:$C$58,2,FALSE)</f>
        <v>0</v>
      </c>
      <c r="V189" s="20">
        <f>VLOOKUP(J189,'Int. Pa.'!$B$3:$C$58,2,FALSE)</f>
        <v>10</v>
      </c>
      <c r="W189" s="20">
        <f>VLOOKUP(K189,'Int. Pa.'!$B$3:$C$58,2,FALSE)</f>
        <v>1</v>
      </c>
      <c r="X189" s="20">
        <f>VLOOKUP(L189,'Int. Pa.'!$B$3:$C$58,2,FALSE)</f>
        <v>1</v>
      </c>
      <c r="Y189" s="20">
        <f>VLOOKUP(M189,'Int. Pa.'!$B$3:$C$58,2,FALSE)</f>
        <v>5</v>
      </c>
      <c r="Z189" s="20">
        <f>VLOOKUP(N189,'Int. Pa.'!$B$3:$C$58,2,FALSE)</f>
        <v>6</v>
      </c>
      <c r="AA189" s="20">
        <f t="shared" si="6"/>
        <v>3</v>
      </c>
      <c r="AB189" s="20">
        <f t="shared" si="7"/>
        <v>34.166666666666664</v>
      </c>
    </row>
    <row r="190" spans="1:28">
      <c r="A190" s="80">
        <v>3</v>
      </c>
      <c r="B190" s="81">
        <v>330500007</v>
      </c>
      <c r="C190" s="82" t="s">
        <v>731</v>
      </c>
      <c r="D190" s="83">
        <v>2000</v>
      </c>
      <c r="E190" s="18" t="s">
        <v>7</v>
      </c>
      <c r="F190" s="18" t="s">
        <v>2</v>
      </c>
      <c r="G190" s="18" t="s">
        <v>88</v>
      </c>
      <c r="H190" s="18" t="s">
        <v>20</v>
      </c>
      <c r="I190" s="18" t="s">
        <v>24</v>
      </c>
      <c r="J190" s="18" t="s">
        <v>35</v>
      </c>
      <c r="K190" s="18" t="s">
        <v>38</v>
      </c>
      <c r="L190" s="18" t="s">
        <v>42</v>
      </c>
      <c r="M190" s="18" t="s">
        <v>50</v>
      </c>
      <c r="N190" s="18" t="s">
        <v>66</v>
      </c>
      <c r="O190" s="20">
        <f>2013-Table1[[#This Row],[Startup Year]]</f>
        <v>13</v>
      </c>
      <c r="P190" s="20"/>
      <c r="Q190" s="20">
        <f>VLOOKUP(E190,'Int. Pa.'!$B$3:$C$58,2,FALSE)</f>
        <v>1</v>
      </c>
      <c r="R190" s="20">
        <f>VLOOKUP(F190,'Int. Pa.'!$B$3:$C$58,2,FALSE)</f>
        <v>10</v>
      </c>
      <c r="S190" s="20">
        <f>VLOOKUP(G190,'Int. Pa.'!$B$3:$C$58,2,FALSE)</f>
        <v>0</v>
      </c>
      <c r="T190" s="20">
        <f>VLOOKUP(H190,'Int. Pa.'!$B$3:$C$58,2,FALSE)</f>
        <v>1</v>
      </c>
      <c r="U190" s="20">
        <f>VLOOKUP(I190,'Int. Pa.'!$B$3:$C$58,2,FALSE)</f>
        <v>0</v>
      </c>
      <c r="V190" s="20">
        <f>VLOOKUP(J190,'Int. Pa.'!$B$3:$C$58,2,FALSE)</f>
        <v>10</v>
      </c>
      <c r="W190" s="20">
        <f>VLOOKUP(K190,'Int. Pa.'!$B$3:$C$58,2,FALSE)</f>
        <v>1</v>
      </c>
      <c r="X190" s="20">
        <f>VLOOKUP(L190,'Int. Pa.'!$B$3:$C$58,2,FALSE)</f>
        <v>1</v>
      </c>
      <c r="Y190" s="20">
        <f>VLOOKUP(M190,'Int. Pa.'!$B$3:$C$58,2,FALSE)</f>
        <v>5</v>
      </c>
      <c r="Z190" s="20">
        <f>VLOOKUP(N190,'Int. Pa.'!$B$3:$C$58,2,FALSE)</f>
        <v>6</v>
      </c>
      <c r="AA190" s="20">
        <f t="shared" si="6"/>
        <v>3</v>
      </c>
      <c r="AB190" s="20">
        <f t="shared" si="7"/>
        <v>34.166666666666664</v>
      </c>
    </row>
    <row r="191" spans="1:28">
      <c r="A191" s="80">
        <v>3</v>
      </c>
      <c r="B191" s="81">
        <v>330500008</v>
      </c>
      <c r="C191" s="82" t="s">
        <v>744</v>
      </c>
      <c r="D191" s="83">
        <v>2000</v>
      </c>
      <c r="E191" s="18" t="s">
        <v>7</v>
      </c>
      <c r="F191" s="18" t="s">
        <v>2</v>
      </c>
      <c r="G191" s="18" t="s">
        <v>88</v>
      </c>
      <c r="H191" s="18" t="s">
        <v>20</v>
      </c>
      <c r="I191" s="18" t="s">
        <v>24</v>
      </c>
      <c r="J191" s="18" t="s">
        <v>35</v>
      </c>
      <c r="K191" s="18" t="s">
        <v>38</v>
      </c>
      <c r="L191" s="18" t="s">
        <v>42</v>
      </c>
      <c r="M191" s="18" t="s">
        <v>50</v>
      </c>
      <c r="N191" s="18" t="s">
        <v>66</v>
      </c>
      <c r="O191" s="20">
        <f>2013-Table1[[#This Row],[Startup Year]]</f>
        <v>13</v>
      </c>
      <c r="P191" s="20"/>
      <c r="Q191" s="20">
        <f>VLOOKUP(E191,'Int. Pa.'!$B$3:$C$58,2,FALSE)</f>
        <v>1</v>
      </c>
      <c r="R191" s="20">
        <f>VLOOKUP(F191,'Int. Pa.'!$B$3:$C$58,2,FALSE)</f>
        <v>10</v>
      </c>
      <c r="S191" s="20">
        <f>VLOOKUP(G191,'Int. Pa.'!$B$3:$C$58,2,FALSE)</f>
        <v>0</v>
      </c>
      <c r="T191" s="20">
        <f>VLOOKUP(H191,'Int. Pa.'!$B$3:$C$58,2,FALSE)</f>
        <v>1</v>
      </c>
      <c r="U191" s="20">
        <f>VLOOKUP(I191,'Int. Pa.'!$B$3:$C$58,2,FALSE)</f>
        <v>0</v>
      </c>
      <c r="V191" s="20">
        <f>VLOOKUP(J191,'Int. Pa.'!$B$3:$C$58,2,FALSE)</f>
        <v>10</v>
      </c>
      <c r="W191" s="20">
        <f>VLOOKUP(K191,'Int. Pa.'!$B$3:$C$58,2,FALSE)</f>
        <v>1</v>
      </c>
      <c r="X191" s="20">
        <f>VLOOKUP(L191,'Int. Pa.'!$B$3:$C$58,2,FALSE)</f>
        <v>1</v>
      </c>
      <c r="Y191" s="20">
        <f>VLOOKUP(M191,'Int. Pa.'!$B$3:$C$58,2,FALSE)</f>
        <v>5</v>
      </c>
      <c r="Z191" s="20">
        <f>VLOOKUP(N191,'Int. Pa.'!$B$3:$C$58,2,FALSE)</f>
        <v>6</v>
      </c>
      <c r="AA191" s="20">
        <f t="shared" si="6"/>
        <v>3</v>
      </c>
      <c r="AB191" s="20">
        <f t="shared" si="7"/>
        <v>34.166666666666664</v>
      </c>
    </row>
    <row r="192" spans="1:28">
      <c r="A192" s="80">
        <v>3</v>
      </c>
      <c r="B192" s="81">
        <v>330500012</v>
      </c>
      <c r="C192" s="82" t="s">
        <v>748</v>
      </c>
      <c r="D192" s="83">
        <v>2000</v>
      </c>
      <c r="E192" s="18" t="s">
        <v>7</v>
      </c>
      <c r="F192" s="18" t="s">
        <v>2</v>
      </c>
      <c r="G192" s="18" t="s">
        <v>88</v>
      </c>
      <c r="H192" s="18" t="s">
        <v>20</v>
      </c>
      <c r="I192" s="18" t="s">
        <v>24</v>
      </c>
      <c r="J192" s="18" t="s">
        <v>35</v>
      </c>
      <c r="K192" s="18" t="s">
        <v>38</v>
      </c>
      <c r="L192" s="18" t="s">
        <v>42</v>
      </c>
      <c r="M192" s="18" t="s">
        <v>50</v>
      </c>
      <c r="N192" s="18" t="s">
        <v>66</v>
      </c>
      <c r="O192" s="20">
        <f>2013-Table1[[#This Row],[Startup Year]]</f>
        <v>13</v>
      </c>
      <c r="P192" s="20"/>
      <c r="Q192" s="20">
        <f>VLOOKUP(E192,'Int. Pa.'!$B$3:$C$58,2,FALSE)</f>
        <v>1</v>
      </c>
      <c r="R192" s="20">
        <f>VLOOKUP(F192,'Int. Pa.'!$B$3:$C$58,2,FALSE)</f>
        <v>10</v>
      </c>
      <c r="S192" s="20">
        <f>VLOOKUP(G192,'Int. Pa.'!$B$3:$C$58,2,FALSE)</f>
        <v>0</v>
      </c>
      <c r="T192" s="20">
        <f>VLOOKUP(H192,'Int. Pa.'!$B$3:$C$58,2,FALSE)</f>
        <v>1</v>
      </c>
      <c r="U192" s="20">
        <f>VLOOKUP(I192,'Int. Pa.'!$B$3:$C$58,2,FALSE)</f>
        <v>0</v>
      </c>
      <c r="V192" s="20">
        <f>VLOOKUP(J192,'Int. Pa.'!$B$3:$C$58,2,FALSE)</f>
        <v>10</v>
      </c>
      <c r="W192" s="20">
        <f>VLOOKUP(K192,'Int. Pa.'!$B$3:$C$58,2,FALSE)</f>
        <v>1</v>
      </c>
      <c r="X192" s="20">
        <f>VLOOKUP(L192,'Int. Pa.'!$B$3:$C$58,2,FALSE)</f>
        <v>1</v>
      </c>
      <c r="Y192" s="20">
        <f>VLOOKUP(M192,'Int. Pa.'!$B$3:$C$58,2,FALSE)</f>
        <v>5</v>
      </c>
      <c r="Z192" s="20">
        <f>VLOOKUP(N192,'Int. Pa.'!$B$3:$C$58,2,FALSE)</f>
        <v>6</v>
      </c>
      <c r="AA192" s="20">
        <f t="shared" si="6"/>
        <v>3</v>
      </c>
      <c r="AB192" s="20">
        <f t="shared" si="7"/>
        <v>34.166666666666664</v>
      </c>
    </row>
    <row r="193" spans="1:28">
      <c r="A193" s="80">
        <v>3</v>
      </c>
      <c r="B193" s="81">
        <v>330600002</v>
      </c>
      <c r="C193" s="82" t="s">
        <v>755</v>
      </c>
      <c r="D193" s="83">
        <v>2000</v>
      </c>
      <c r="E193" s="18" t="s">
        <v>7</v>
      </c>
      <c r="F193" s="18" t="s">
        <v>2</v>
      </c>
      <c r="G193" s="18" t="s">
        <v>88</v>
      </c>
      <c r="H193" s="18" t="s">
        <v>20</v>
      </c>
      <c r="I193" s="18" t="s">
        <v>24</v>
      </c>
      <c r="J193" s="18" t="s">
        <v>35</v>
      </c>
      <c r="K193" s="18" t="s">
        <v>38</v>
      </c>
      <c r="L193" s="18" t="s">
        <v>42</v>
      </c>
      <c r="M193" s="18" t="s">
        <v>50</v>
      </c>
      <c r="N193" s="18" t="s">
        <v>66</v>
      </c>
      <c r="O193" s="20">
        <f>2013-Table1[[#This Row],[Startup Year]]</f>
        <v>13</v>
      </c>
      <c r="P193" s="20"/>
      <c r="Q193" s="20">
        <f>VLOOKUP(E193,'Int. Pa.'!$B$3:$C$58,2,FALSE)</f>
        <v>1</v>
      </c>
      <c r="R193" s="20">
        <f>VLOOKUP(F193,'Int. Pa.'!$B$3:$C$58,2,FALSE)</f>
        <v>10</v>
      </c>
      <c r="S193" s="20">
        <f>VLOOKUP(G193,'Int. Pa.'!$B$3:$C$58,2,FALSE)</f>
        <v>0</v>
      </c>
      <c r="T193" s="20">
        <f>VLOOKUP(H193,'Int. Pa.'!$B$3:$C$58,2,FALSE)</f>
        <v>1</v>
      </c>
      <c r="U193" s="20">
        <f>VLOOKUP(I193,'Int. Pa.'!$B$3:$C$58,2,FALSE)</f>
        <v>0</v>
      </c>
      <c r="V193" s="20">
        <f>VLOOKUP(J193,'Int. Pa.'!$B$3:$C$58,2,FALSE)</f>
        <v>10</v>
      </c>
      <c r="W193" s="20">
        <f>VLOOKUP(K193,'Int. Pa.'!$B$3:$C$58,2,FALSE)</f>
        <v>1</v>
      </c>
      <c r="X193" s="20">
        <f>VLOOKUP(L193,'Int. Pa.'!$B$3:$C$58,2,FALSE)</f>
        <v>1</v>
      </c>
      <c r="Y193" s="20">
        <f>VLOOKUP(M193,'Int. Pa.'!$B$3:$C$58,2,FALSE)</f>
        <v>5</v>
      </c>
      <c r="Z193" s="20">
        <f>VLOOKUP(N193,'Int. Pa.'!$B$3:$C$58,2,FALSE)</f>
        <v>6</v>
      </c>
      <c r="AA193" s="20">
        <f t="shared" si="6"/>
        <v>3</v>
      </c>
      <c r="AB193" s="20">
        <f t="shared" si="7"/>
        <v>34.166666666666664</v>
      </c>
    </row>
    <row r="194" spans="1:28">
      <c r="A194" s="80">
        <v>3</v>
      </c>
      <c r="B194" s="81">
        <v>330600003</v>
      </c>
      <c r="C194" s="82" t="s">
        <v>752</v>
      </c>
      <c r="D194" s="83">
        <v>2000</v>
      </c>
      <c r="E194" s="18" t="s">
        <v>7</v>
      </c>
      <c r="F194" s="18" t="s">
        <v>2</v>
      </c>
      <c r="G194" s="18" t="s">
        <v>88</v>
      </c>
      <c r="H194" s="18" t="s">
        <v>20</v>
      </c>
      <c r="I194" s="18" t="s">
        <v>24</v>
      </c>
      <c r="J194" s="18" t="s">
        <v>35</v>
      </c>
      <c r="K194" s="18" t="s">
        <v>38</v>
      </c>
      <c r="L194" s="18" t="s">
        <v>42</v>
      </c>
      <c r="M194" s="18" t="s">
        <v>50</v>
      </c>
      <c r="N194" s="18" t="s">
        <v>66</v>
      </c>
      <c r="O194" s="20">
        <f>2013-Table1[[#This Row],[Startup Year]]</f>
        <v>13</v>
      </c>
      <c r="P194" s="20"/>
      <c r="Q194" s="20">
        <f>VLOOKUP(E194,'Int. Pa.'!$B$3:$C$58,2,FALSE)</f>
        <v>1</v>
      </c>
      <c r="R194" s="20">
        <f>VLOOKUP(F194,'Int. Pa.'!$B$3:$C$58,2,FALSE)</f>
        <v>10</v>
      </c>
      <c r="S194" s="20">
        <f>VLOOKUP(G194,'Int. Pa.'!$B$3:$C$58,2,FALSE)</f>
        <v>0</v>
      </c>
      <c r="T194" s="20">
        <f>VLOOKUP(H194,'Int. Pa.'!$B$3:$C$58,2,FALSE)</f>
        <v>1</v>
      </c>
      <c r="U194" s="20">
        <f>VLOOKUP(I194,'Int. Pa.'!$B$3:$C$58,2,FALSE)</f>
        <v>0</v>
      </c>
      <c r="V194" s="20">
        <f>VLOOKUP(J194,'Int. Pa.'!$B$3:$C$58,2,FALSE)</f>
        <v>10</v>
      </c>
      <c r="W194" s="20">
        <f>VLOOKUP(K194,'Int. Pa.'!$B$3:$C$58,2,FALSE)</f>
        <v>1</v>
      </c>
      <c r="X194" s="20">
        <f>VLOOKUP(L194,'Int. Pa.'!$B$3:$C$58,2,FALSE)</f>
        <v>1</v>
      </c>
      <c r="Y194" s="20">
        <f>VLOOKUP(M194,'Int. Pa.'!$B$3:$C$58,2,FALSE)</f>
        <v>5</v>
      </c>
      <c r="Z194" s="20">
        <f>VLOOKUP(N194,'Int. Pa.'!$B$3:$C$58,2,FALSE)</f>
        <v>6</v>
      </c>
      <c r="AA194" s="20">
        <f t="shared" si="6"/>
        <v>3</v>
      </c>
      <c r="AB194" s="20">
        <f t="shared" si="7"/>
        <v>34.166666666666664</v>
      </c>
    </row>
    <row r="195" spans="1:28">
      <c r="A195" s="84">
        <v>3</v>
      </c>
      <c r="B195" s="81">
        <v>430</v>
      </c>
      <c r="C195" s="82" t="s">
        <v>291</v>
      </c>
      <c r="D195" s="86">
        <v>2000</v>
      </c>
      <c r="E195" s="18" t="s">
        <v>7</v>
      </c>
      <c r="F195" s="18" t="s">
        <v>2</v>
      </c>
      <c r="G195" s="18" t="s">
        <v>88</v>
      </c>
      <c r="H195" s="18" t="s">
        <v>20</v>
      </c>
      <c r="I195" s="18" t="s">
        <v>24</v>
      </c>
      <c r="J195" s="18" t="s">
        <v>35</v>
      </c>
      <c r="K195" s="18" t="s">
        <v>38</v>
      </c>
      <c r="L195" s="18" t="s">
        <v>42</v>
      </c>
      <c r="M195" s="18" t="s">
        <v>50</v>
      </c>
      <c r="N195" s="18" t="s">
        <v>66</v>
      </c>
      <c r="O195" s="20">
        <f>2013-Table1[[#This Row],[Startup Year]]</f>
        <v>13</v>
      </c>
      <c r="P195" s="20"/>
      <c r="Q195" s="20">
        <f>VLOOKUP(E195,'Int. Pa.'!$B$3:$C$58,2,FALSE)</f>
        <v>1</v>
      </c>
      <c r="R195" s="20">
        <f>VLOOKUP(F195,'Int. Pa.'!$B$3:$C$58,2,FALSE)</f>
        <v>10</v>
      </c>
      <c r="S195" s="20">
        <f>VLOOKUP(G195,'Int. Pa.'!$B$3:$C$58,2,FALSE)</f>
        <v>0</v>
      </c>
      <c r="T195" s="20">
        <f>VLOOKUP(H195,'Int. Pa.'!$B$3:$C$58,2,FALSE)</f>
        <v>1</v>
      </c>
      <c r="U195" s="20">
        <f>VLOOKUP(I195,'Int. Pa.'!$B$3:$C$58,2,FALSE)</f>
        <v>0</v>
      </c>
      <c r="V195" s="20">
        <f>VLOOKUP(J195,'Int. Pa.'!$B$3:$C$58,2,FALSE)</f>
        <v>10</v>
      </c>
      <c r="W195" s="20">
        <f>VLOOKUP(K195,'Int. Pa.'!$B$3:$C$58,2,FALSE)</f>
        <v>1</v>
      </c>
      <c r="X195" s="20">
        <f>VLOOKUP(L195,'Int. Pa.'!$B$3:$C$58,2,FALSE)</f>
        <v>1</v>
      </c>
      <c r="Y195" s="20">
        <f>VLOOKUP(M195,'Int. Pa.'!$B$3:$C$58,2,FALSE)</f>
        <v>5</v>
      </c>
      <c r="Z195" s="20">
        <f>VLOOKUP(N195,'Int. Pa.'!$B$3:$C$58,2,FALSE)</f>
        <v>6</v>
      </c>
      <c r="AA195" s="20">
        <f t="shared" si="6"/>
        <v>3</v>
      </c>
      <c r="AB195" s="20">
        <f t="shared" si="7"/>
        <v>34.166666666666664</v>
      </c>
    </row>
    <row r="196" spans="1:28">
      <c r="A196" s="84">
        <v>3</v>
      </c>
      <c r="B196" s="81">
        <v>3402</v>
      </c>
      <c r="C196" s="82" t="s">
        <v>292</v>
      </c>
      <c r="D196" s="86">
        <v>2000</v>
      </c>
      <c r="E196" s="18" t="s">
        <v>7</v>
      </c>
      <c r="F196" s="18" t="s">
        <v>2</v>
      </c>
      <c r="G196" s="18" t="s">
        <v>88</v>
      </c>
      <c r="H196" s="18" t="s">
        <v>20</v>
      </c>
      <c r="I196" s="18" t="s">
        <v>24</v>
      </c>
      <c r="J196" s="18" t="s">
        <v>35</v>
      </c>
      <c r="K196" s="18" t="s">
        <v>38</v>
      </c>
      <c r="L196" s="18" t="s">
        <v>42</v>
      </c>
      <c r="M196" s="18" t="s">
        <v>50</v>
      </c>
      <c r="N196" s="18" t="s">
        <v>66</v>
      </c>
      <c r="O196" s="20">
        <f>2013-Table1[[#This Row],[Startup Year]]</f>
        <v>13</v>
      </c>
      <c r="P196" s="20"/>
      <c r="Q196" s="20">
        <f>VLOOKUP(E196,'Int. Pa.'!$B$3:$C$58,2,FALSE)</f>
        <v>1</v>
      </c>
      <c r="R196" s="20">
        <f>VLOOKUP(F196,'Int. Pa.'!$B$3:$C$58,2,FALSE)</f>
        <v>10</v>
      </c>
      <c r="S196" s="20">
        <f>VLOOKUP(G196,'Int. Pa.'!$B$3:$C$58,2,FALSE)</f>
        <v>0</v>
      </c>
      <c r="T196" s="20">
        <f>VLOOKUP(H196,'Int. Pa.'!$B$3:$C$58,2,FALSE)</f>
        <v>1</v>
      </c>
      <c r="U196" s="20">
        <f>VLOOKUP(I196,'Int. Pa.'!$B$3:$C$58,2,FALSE)</f>
        <v>0</v>
      </c>
      <c r="V196" s="20">
        <f>VLOOKUP(J196,'Int. Pa.'!$B$3:$C$58,2,FALSE)</f>
        <v>10</v>
      </c>
      <c r="W196" s="20">
        <f>VLOOKUP(K196,'Int. Pa.'!$B$3:$C$58,2,FALSE)</f>
        <v>1</v>
      </c>
      <c r="X196" s="20">
        <f>VLOOKUP(L196,'Int. Pa.'!$B$3:$C$58,2,FALSE)</f>
        <v>1</v>
      </c>
      <c r="Y196" s="20">
        <f>VLOOKUP(M196,'Int. Pa.'!$B$3:$C$58,2,FALSE)</f>
        <v>5</v>
      </c>
      <c r="Z196" s="20">
        <f>VLOOKUP(N196,'Int. Pa.'!$B$3:$C$58,2,FALSE)</f>
        <v>6</v>
      </c>
      <c r="AA196" s="20">
        <f t="shared" si="6"/>
        <v>3</v>
      </c>
      <c r="AB196" s="20">
        <f t="shared" si="7"/>
        <v>34.166666666666664</v>
      </c>
    </row>
    <row r="197" spans="1:28">
      <c r="A197" s="80">
        <v>3</v>
      </c>
      <c r="B197" s="81">
        <v>340300002</v>
      </c>
      <c r="C197" s="82" t="s">
        <v>746</v>
      </c>
      <c r="D197" s="83">
        <v>2000</v>
      </c>
      <c r="E197" s="18" t="s">
        <v>7</v>
      </c>
      <c r="F197" s="18" t="s">
        <v>2</v>
      </c>
      <c r="G197" s="18" t="s">
        <v>88</v>
      </c>
      <c r="H197" s="18" t="s">
        <v>20</v>
      </c>
      <c r="I197" s="18" t="s">
        <v>24</v>
      </c>
      <c r="J197" s="18" t="s">
        <v>35</v>
      </c>
      <c r="K197" s="18" t="s">
        <v>38</v>
      </c>
      <c r="L197" s="18" t="s">
        <v>42</v>
      </c>
      <c r="M197" s="18" t="s">
        <v>50</v>
      </c>
      <c r="N197" s="18" t="s">
        <v>66</v>
      </c>
      <c r="O197" s="20">
        <f>2013-Table1[[#This Row],[Startup Year]]</f>
        <v>13</v>
      </c>
      <c r="P197" s="20"/>
      <c r="Q197" s="20">
        <f>VLOOKUP(E197,'Int. Pa.'!$B$3:$C$58,2,FALSE)</f>
        <v>1</v>
      </c>
      <c r="R197" s="20">
        <f>VLOOKUP(F197,'Int. Pa.'!$B$3:$C$58,2,FALSE)</f>
        <v>10</v>
      </c>
      <c r="S197" s="20">
        <f>VLOOKUP(G197,'Int. Pa.'!$B$3:$C$58,2,FALSE)</f>
        <v>0</v>
      </c>
      <c r="T197" s="20">
        <f>VLOOKUP(H197,'Int. Pa.'!$B$3:$C$58,2,FALSE)</f>
        <v>1</v>
      </c>
      <c r="U197" s="20">
        <f>VLOOKUP(I197,'Int. Pa.'!$B$3:$C$58,2,FALSE)</f>
        <v>0</v>
      </c>
      <c r="V197" s="20">
        <f>VLOOKUP(J197,'Int. Pa.'!$B$3:$C$58,2,FALSE)</f>
        <v>10</v>
      </c>
      <c r="W197" s="20">
        <f>VLOOKUP(K197,'Int. Pa.'!$B$3:$C$58,2,FALSE)</f>
        <v>1</v>
      </c>
      <c r="X197" s="20">
        <f>VLOOKUP(L197,'Int. Pa.'!$B$3:$C$58,2,FALSE)</f>
        <v>1</v>
      </c>
      <c r="Y197" s="20">
        <f>VLOOKUP(M197,'Int. Pa.'!$B$3:$C$58,2,FALSE)</f>
        <v>5</v>
      </c>
      <c r="Z197" s="20">
        <f>VLOOKUP(N197,'Int. Pa.'!$B$3:$C$58,2,FALSE)</f>
        <v>6</v>
      </c>
      <c r="AA197" s="20">
        <f t="shared" si="6"/>
        <v>3</v>
      </c>
      <c r="AB197" s="20">
        <f t="shared" si="7"/>
        <v>34.166666666666664</v>
      </c>
    </row>
    <row r="198" spans="1:28">
      <c r="A198" s="84">
        <v>3</v>
      </c>
      <c r="B198" s="81">
        <v>4014</v>
      </c>
      <c r="C198" s="82" t="s">
        <v>293</v>
      </c>
      <c r="D198" s="86">
        <v>2000</v>
      </c>
      <c r="E198" s="18" t="s">
        <v>7</v>
      </c>
      <c r="F198" s="18" t="s">
        <v>2</v>
      </c>
      <c r="G198" s="18" t="s">
        <v>88</v>
      </c>
      <c r="H198" s="18" t="s">
        <v>20</v>
      </c>
      <c r="I198" s="18" t="s">
        <v>24</v>
      </c>
      <c r="J198" s="18" t="s">
        <v>35</v>
      </c>
      <c r="K198" s="18" t="s">
        <v>38</v>
      </c>
      <c r="L198" s="18" t="s">
        <v>42</v>
      </c>
      <c r="M198" s="18" t="s">
        <v>50</v>
      </c>
      <c r="N198" s="18" t="s">
        <v>66</v>
      </c>
      <c r="O198" s="20">
        <f>2013-Table1[[#This Row],[Startup Year]]</f>
        <v>13</v>
      </c>
      <c r="P198" s="20"/>
      <c r="Q198" s="20">
        <f>VLOOKUP(E198,'Int. Pa.'!$B$3:$C$58,2,FALSE)</f>
        <v>1</v>
      </c>
      <c r="R198" s="20">
        <f>VLOOKUP(F198,'Int. Pa.'!$B$3:$C$58,2,FALSE)</f>
        <v>10</v>
      </c>
      <c r="S198" s="20">
        <f>VLOOKUP(G198,'Int. Pa.'!$B$3:$C$58,2,FALSE)</f>
        <v>0</v>
      </c>
      <c r="T198" s="20">
        <f>VLOOKUP(H198,'Int. Pa.'!$B$3:$C$58,2,FALSE)</f>
        <v>1</v>
      </c>
      <c r="U198" s="20">
        <f>VLOOKUP(I198,'Int. Pa.'!$B$3:$C$58,2,FALSE)</f>
        <v>0</v>
      </c>
      <c r="V198" s="20">
        <f>VLOOKUP(J198,'Int. Pa.'!$B$3:$C$58,2,FALSE)</f>
        <v>10</v>
      </c>
      <c r="W198" s="20">
        <f>VLOOKUP(K198,'Int. Pa.'!$B$3:$C$58,2,FALSE)</f>
        <v>1</v>
      </c>
      <c r="X198" s="20">
        <f>VLOOKUP(L198,'Int. Pa.'!$B$3:$C$58,2,FALSE)</f>
        <v>1</v>
      </c>
      <c r="Y198" s="20">
        <f>VLOOKUP(M198,'Int. Pa.'!$B$3:$C$58,2,FALSE)</f>
        <v>5</v>
      </c>
      <c r="Z198" s="20">
        <f>VLOOKUP(N198,'Int. Pa.'!$B$3:$C$58,2,FALSE)</f>
        <v>6</v>
      </c>
      <c r="AA198" s="20">
        <f t="shared" si="6"/>
        <v>3</v>
      </c>
      <c r="AB198" s="20">
        <f t="shared" si="7"/>
        <v>34.166666666666664</v>
      </c>
    </row>
    <row r="199" spans="1:28">
      <c r="A199" s="84">
        <v>3</v>
      </c>
      <c r="B199" s="81">
        <v>40112</v>
      </c>
      <c r="C199" s="82" t="s">
        <v>294</v>
      </c>
      <c r="D199" s="86">
        <v>2000</v>
      </c>
      <c r="E199" s="18" t="s">
        <v>7</v>
      </c>
      <c r="F199" s="18" t="s">
        <v>2</v>
      </c>
      <c r="G199" s="18" t="s">
        <v>88</v>
      </c>
      <c r="H199" s="18" t="s">
        <v>20</v>
      </c>
      <c r="I199" s="18" t="s">
        <v>24</v>
      </c>
      <c r="J199" s="18" t="s">
        <v>35</v>
      </c>
      <c r="K199" s="18" t="s">
        <v>38</v>
      </c>
      <c r="L199" s="18" t="s">
        <v>42</v>
      </c>
      <c r="M199" s="18" t="s">
        <v>50</v>
      </c>
      <c r="N199" s="18" t="s">
        <v>66</v>
      </c>
      <c r="O199" s="20">
        <f>2013-Table1[[#This Row],[Startup Year]]</f>
        <v>13</v>
      </c>
      <c r="P199" s="20"/>
      <c r="Q199" s="20">
        <f>VLOOKUP(E199,'Int. Pa.'!$B$3:$C$58,2,FALSE)</f>
        <v>1</v>
      </c>
      <c r="R199" s="20">
        <f>VLOOKUP(F199,'Int. Pa.'!$B$3:$C$58,2,FALSE)</f>
        <v>10</v>
      </c>
      <c r="S199" s="20">
        <f>VLOOKUP(G199,'Int. Pa.'!$B$3:$C$58,2,FALSE)</f>
        <v>0</v>
      </c>
      <c r="T199" s="20">
        <f>VLOOKUP(H199,'Int. Pa.'!$B$3:$C$58,2,FALSE)</f>
        <v>1</v>
      </c>
      <c r="U199" s="20">
        <f>VLOOKUP(I199,'Int. Pa.'!$B$3:$C$58,2,FALSE)</f>
        <v>0</v>
      </c>
      <c r="V199" s="20">
        <f>VLOOKUP(J199,'Int. Pa.'!$B$3:$C$58,2,FALSE)</f>
        <v>10</v>
      </c>
      <c r="W199" s="20">
        <f>VLOOKUP(K199,'Int. Pa.'!$B$3:$C$58,2,FALSE)</f>
        <v>1</v>
      </c>
      <c r="X199" s="20">
        <f>VLOOKUP(L199,'Int. Pa.'!$B$3:$C$58,2,FALSE)</f>
        <v>1</v>
      </c>
      <c r="Y199" s="20">
        <f>VLOOKUP(M199,'Int. Pa.'!$B$3:$C$58,2,FALSE)</f>
        <v>5</v>
      </c>
      <c r="Z199" s="20">
        <f>VLOOKUP(N199,'Int. Pa.'!$B$3:$C$58,2,FALSE)</f>
        <v>6</v>
      </c>
      <c r="AA199" s="20">
        <f t="shared" si="6"/>
        <v>3</v>
      </c>
      <c r="AB199" s="20">
        <f t="shared" si="7"/>
        <v>34.166666666666664</v>
      </c>
    </row>
    <row r="200" spans="1:28">
      <c r="A200" s="84">
        <v>3</v>
      </c>
      <c r="B200" s="81">
        <v>40321</v>
      </c>
      <c r="C200" s="82" t="s">
        <v>295</v>
      </c>
      <c r="D200" s="86">
        <v>2000</v>
      </c>
      <c r="E200" s="18" t="s">
        <v>7</v>
      </c>
      <c r="F200" s="18" t="s">
        <v>2</v>
      </c>
      <c r="G200" s="18" t="s">
        <v>88</v>
      </c>
      <c r="H200" s="18" t="s">
        <v>20</v>
      </c>
      <c r="I200" s="18" t="s">
        <v>24</v>
      </c>
      <c r="J200" s="18" t="s">
        <v>35</v>
      </c>
      <c r="K200" s="18" t="s">
        <v>38</v>
      </c>
      <c r="L200" s="18" t="s">
        <v>42</v>
      </c>
      <c r="M200" s="18" t="s">
        <v>50</v>
      </c>
      <c r="N200" s="18" t="s">
        <v>66</v>
      </c>
      <c r="O200" s="20">
        <f>2013-Table1[[#This Row],[Startup Year]]</f>
        <v>13</v>
      </c>
      <c r="P200" s="20"/>
      <c r="Q200" s="20">
        <f>VLOOKUP(E200,'Int. Pa.'!$B$3:$C$58,2,FALSE)</f>
        <v>1</v>
      </c>
      <c r="R200" s="20">
        <f>VLOOKUP(F200,'Int. Pa.'!$B$3:$C$58,2,FALSE)</f>
        <v>10</v>
      </c>
      <c r="S200" s="20">
        <f>VLOOKUP(G200,'Int. Pa.'!$B$3:$C$58,2,FALSE)</f>
        <v>0</v>
      </c>
      <c r="T200" s="20">
        <f>VLOOKUP(H200,'Int. Pa.'!$B$3:$C$58,2,FALSE)</f>
        <v>1</v>
      </c>
      <c r="U200" s="20">
        <f>VLOOKUP(I200,'Int. Pa.'!$B$3:$C$58,2,FALSE)</f>
        <v>0</v>
      </c>
      <c r="V200" s="20">
        <f>VLOOKUP(J200,'Int. Pa.'!$B$3:$C$58,2,FALSE)</f>
        <v>10</v>
      </c>
      <c r="W200" s="20">
        <f>VLOOKUP(K200,'Int. Pa.'!$B$3:$C$58,2,FALSE)</f>
        <v>1</v>
      </c>
      <c r="X200" s="20">
        <f>VLOOKUP(L200,'Int. Pa.'!$B$3:$C$58,2,FALSE)</f>
        <v>1</v>
      </c>
      <c r="Y200" s="20">
        <f>VLOOKUP(M200,'Int. Pa.'!$B$3:$C$58,2,FALSE)</f>
        <v>5</v>
      </c>
      <c r="Z200" s="20">
        <f>VLOOKUP(N200,'Int. Pa.'!$B$3:$C$58,2,FALSE)</f>
        <v>6</v>
      </c>
      <c r="AA200" s="20">
        <f t="shared" si="6"/>
        <v>3</v>
      </c>
      <c r="AB200" s="20">
        <f t="shared" si="7"/>
        <v>34.166666666666664</v>
      </c>
    </row>
    <row r="201" spans="1:28">
      <c r="A201" s="84">
        <v>3</v>
      </c>
      <c r="B201" s="81">
        <v>560201</v>
      </c>
      <c r="C201" s="82" t="s">
        <v>296</v>
      </c>
      <c r="D201" s="85">
        <v>2012</v>
      </c>
      <c r="E201" s="18" t="s">
        <v>7</v>
      </c>
      <c r="F201" s="18" t="s">
        <v>2</v>
      </c>
      <c r="G201" s="18" t="s">
        <v>88</v>
      </c>
      <c r="H201" s="18" t="s">
        <v>20</v>
      </c>
      <c r="I201" s="18" t="s">
        <v>24</v>
      </c>
      <c r="J201" s="18" t="s">
        <v>35</v>
      </c>
      <c r="K201" s="18" t="s">
        <v>38</v>
      </c>
      <c r="L201" s="18" t="s">
        <v>42</v>
      </c>
      <c r="M201" s="18" t="s">
        <v>50</v>
      </c>
      <c r="N201" s="18" t="s">
        <v>66</v>
      </c>
      <c r="O201" s="20">
        <f>2013-Table1[[#This Row],[Startup Year]]</f>
        <v>1</v>
      </c>
      <c r="P201" s="20"/>
      <c r="Q201" s="20">
        <f>VLOOKUP(E201,'Int. Pa.'!$B$3:$C$58,2,FALSE)</f>
        <v>1</v>
      </c>
      <c r="R201" s="20">
        <f>VLOOKUP(F201,'Int. Pa.'!$B$3:$C$58,2,FALSE)</f>
        <v>10</v>
      </c>
      <c r="S201" s="20">
        <f>VLOOKUP(G201,'Int. Pa.'!$B$3:$C$58,2,FALSE)</f>
        <v>0</v>
      </c>
      <c r="T201" s="20">
        <f>VLOOKUP(H201,'Int. Pa.'!$B$3:$C$58,2,FALSE)</f>
        <v>1</v>
      </c>
      <c r="U201" s="20">
        <f>VLOOKUP(I201,'Int. Pa.'!$B$3:$C$58,2,FALSE)</f>
        <v>0</v>
      </c>
      <c r="V201" s="20">
        <f>VLOOKUP(J201,'Int. Pa.'!$B$3:$C$58,2,FALSE)</f>
        <v>10</v>
      </c>
      <c r="W201" s="20">
        <f>VLOOKUP(K201,'Int. Pa.'!$B$3:$C$58,2,FALSE)</f>
        <v>1</v>
      </c>
      <c r="X201" s="20">
        <f>VLOOKUP(L201,'Int. Pa.'!$B$3:$C$58,2,FALSE)</f>
        <v>1</v>
      </c>
      <c r="Y201" s="20">
        <f>VLOOKUP(M201,'Int. Pa.'!$B$3:$C$58,2,FALSE)</f>
        <v>5</v>
      </c>
      <c r="Z201" s="20">
        <f>VLOOKUP(N201,'Int. Pa.'!$B$3:$C$58,2,FALSE)</f>
        <v>6</v>
      </c>
      <c r="AA201" s="20">
        <f t="shared" si="6"/>
        <v>0</v>
      </c>
      <c r="AB201" s="20">
        <f t="shared" si="7"/>
        <v>33.333333333333329</v>
      </c>
    </row>
    <row r="202" spans="1:28">
      <c r="A202" s="84">
        <v>3</v>
      </c>
      <c r="B202" s="81">
        <v>561201</v>
      </c>
      <c r="C202" s="82" t="s">
        <v>297</v>
      </c>
      <c r="D202" s="85">
        <v>2011</v>
      </c>
      <c r="E202" s="18" t="s">
        <v>7</v>
      </c>
      <c r="F202" s="18" t="s">
        <v>2</v>
      </c>
      <c r="G202" s="18" t="s">
        <v>88</v>
      </c>
      <c r="H202" s="18" t="s">
        <v>20</v>
      </c>
      <c r="I202" s="18" t="s">
        <v>24</v>
      </c>
      <c r="J202" s="18" t="s">
        <v>35</v>
      </c>
      <c r="K202" s="18" t="s">
        <v>38</v>
      </c>
      <c r="L202" s="18" t="s">
        <v>42</v>
      </c>
      <c r="M202" s="18" t="s">
        <v>50</v>
      </c>
      <c r="N202" s="18" t="s">
        <v>66</v>
      </c>
      <c r="O202" s="20">
        <f>2013-Table1[[#This Row],[Startup Year]]</f>
        <v>2</v>
      </c>
      <c r="P202" s="20"/>
      <c r="Q202" s="20">
        <f>VLOOKUP(E202,'Int. Pa.'!$B$3:$C$58,2,FALSE)</f>
        <v>1</v>
      </c>
      <c r="R202" s="20">
        <f>VLOOKUP(F202,'Int. Pa.'!$B$3:$C$58,2,FALSE)</f>
        <v>10</v>
      </c>
      <c r="S202" s="20">
        <f>VLOOKUP(G202,'Int. Pa.'!$B$3:$C$58,2,FALSE)</f>
        <v>0</v>
      </c>
      <c r="T202" s="20">
        <f>VLOOKUP(H202,'Int. Pa.'!$B$3:$C$58,2,FALSE)</f>
        <v>1</v>
      </c>
      <c r="U202" s="20">
        <f>VLOOKUP(I202,'Int. Pa.'!$B$3:$C$58,2,FALSE)</f>
        <v>0</v>
      </c>
      <c r="V202" s="20">
        <f>VLOOKUP(J202,'Int. Pa.'!$B$3:$C$58,2,FALSE)</f>
        <v>10</v>
      </c>
      <c r="W202" s="20">
        <f>VLOOKUP(K202,'Int. Pa.'!$B$3:$C$58,2,FALSE)</f>
        <v>1</v>
      </c>
      <c r="X202" s="20">
        <f>VLOOKUP(L202,'Int. Pa.'!$B$3:$C$58,2,FALSE)</f>
        <v>1</v>
      </c>
      <c r="Y202" s="20">
        <f>VLOOKUP(M202,'Int. Pa.'!$B$3:$C$58,2,FALSE)</f>
        <v>5</v>
      </c>
      <c r="Z202" s="20">
        <f>VLOOKUP(N202,'Int. Pa.'!$B$3:$C$58,2,FALSE)</f>
        <v>6</v>
      </c>
      <c r="AA202" s="20">
        <f t="shared" si="6"/>
        <v>1</v>
      </c>
      <c r="AB202" s="20">
        <f t="shared" si="7"/>
        <v>33.611111111111107</v>
      </c>
    </row>
    <row r="203" spans="1:28">
      <c r="A203" s="80">
        <v>3</v>
      </c>
      <c r="B203" s="81">
        <v>6402106</v>
      </c>
      <c r="C203" s="82" t="s">
        <v>763</v>
      </c>
      <c r="D203" s="83">
        <v>2000</v>
      </c>
      <c r="E203" s="18" t="s">
        <v>7</v>
      </c>
      <c r="F203" s="18" t="s">
        <v>2</v>
      </c>
      <c r="G203" s="18" t="s">
        <v>88</v>
      </c>
      <c r="H203" s="18" t="s">
        <v>20</v>
      </c>
      <c r="I203" s="18" t="s">
        <v>24</v>
      </c>
      <c r="J203" s="18" t="s">
        <v>35</v>
      </c>
      <c r="K203" s="18" t="s">
        <v>38</v>
      </c>
      <c r="L203" s="18" t="s">
        <v>42</v>
      </c>
      <c r="M203" s="18" t="s">
        <v>50</v>
      </c>
      <c r="N203" s="18" t="s">
        <v>66</v>
      </c>
      <c r="O203" s="20">
        <f>2013-Table1[[#This Row],[Startup Year]]</f>
        <v>13</v>
      </c>
      <c r="P203" s="20"/>
      <c r="Q203" s="20">
        <f>VLOOKUP(E203,'Int. Pa.'!$B$3:$C$58,2,FALSE)</f>
        <v>1</v>
      </c>
      <c r="R203" s="20">
        <f>VLOOKUP(F203,'Int. Pa.'!$B$3:$C$58,2,FALSE)</f>
        <v>10</v>
      </c>
      <c r="S203" s="20">
        <f>VLOOKUP(G203,'Int. Pa.'!$B$3:$C$58,2,FALSE)</f>
        <v>0</v>
      </c>
      <c r="T203" s="20">
        <f>VLOOKUP(H203,'Int. Pa.'!$B$3:$C$58,2,FALSE)</f>
        <v>1</v>
      </c>
      <c r="U203" s="20">
        <f>VLOOKUP(I203,'Int. Pa.'!$B$3:$C$58,2,FALSE)</f>
        <v>0</v>
      </c>
      <c r="V203" s="20">
        <f>VLOOKUP(J203,'Int. Pa.'!$B$3:$C$58,2,FALSE)</f>
        <v>10</v>
      </c>
      <c r="W203" s="20">
        <f>VLOOKUP(K203,'Int. Pa.'!$B$3:$C$58,2,FALSE)</f>
        <v>1</v>
      </c>
      <c r="X203" s="20">
        <f>VLOOKUP(L203,'Int. Pa.'!$B$3:$C$58,2,FALSE)</f>
        <v>1</v>
      </c>
      <c r="Y203" s="20">
        <f>VLOOKUP(M203,'Int. Pa.'!$B$3:$C$58,2,FALSE)</f>
        <v>5</v>
      </c>
      <c r="Z203" s="20">
        <f>VLOOKUP(N203,'Int. Pa.'!$B$3:$C$58,2,FALSE)</f>
        <v>6</v>
      </c>
      <c r="AA203" s="20">
        <f t="shared" si="6"/>
        <v>3</v>
      </c>
      <c r="AB203" s="20">
        <f t="shared" si="7"/>
        <v>34.166666666666664</v>
      </c>
    </row>
    <row r="204" spans="1:28">
      <c r="A204" s="84">
        <v>3</v>
      </c>
      <c r="B204" s="81">
        <v>3402101</v>
      </c>
      <c r="C204" s="82" t="s">
        <v>298</v>
      </c>
      <c r="D204" s="86">
        <v>2000</v>
      </c>
      <c r="E204" s="18" t="s">
        <v>7</v>
      </c>
      <c r="F204" s="18" t="s">
        <v>2</v>
      </c>
      <c r="G204" s="18" t="s">
        <v>88</v>
      </c>
      <c r="H204" s="18" t="s">
        <v>20</v>
      </c>
      <c r="I204" s="18" t="s">
        <v>24</v>
      </c>
      <c r="J204" s="18" t="s">
        <v>35</v>
      </c>
      <c r="K204" s="18" t="s">
        <v>38</v>
      </c>
      <c r="L204" s="18" t="s">
        <v>42</v>
      </c>
      <c r="M204" s="18" t="s">
        <v>50</v>
      </c>
      <c r="N204" s="18" t="s">
        <v>66</v>
      </c>
      <c r="O204" s="20">
        <f>2013-Table1[[#This Row],[Startup Year]]</f>
        <v>13</v>
      </c>
      <c r="P204" s="20"/>
      <c r="Q204" s="20">
        <f>VLOOKUP(E204,'Int. Pa.'!$B$3:$C$58,2,FALSE)</f>
        <v>1</v>
      </c>
      <c r="R204" s="20">
        <f>VLOOKUP(F204,'Int. Pa.'!$B$3:$C$58,2,FALSE)</f>
        <v>10</v>
      </c>
      <c r="S204" s="20">
        <f>VLOOKUP(G204,'Int. Pa.'!$B$3:$C$58,2,FALSE)</f>
        <v>0</v>
      </c>
      <c r="T204" s="20">
        <f>VLOOKUP(H204,'Int. Pa.'!$B$3:$C$58,2,FALSE)</f>
        <v>1</v>
      </c>
      <c r="U204" s="20">
        <f>VLOOKUP(I204,'Int. Pa.'!$B$3:$C$58,2,FALSE)</f>
        <v>0</v>
      </c>
      <c r="V204" s="20">
        <f>VLOOKUP(J204,'Int. Pa.'!$B$3:$C$58,2,FALSE)</f>
        <v>10</v>
      </c>
      <c r="W204" s="20">
        <f>VLOOKUP(K204,'Int. Pa.'!$B$3:$C$58,2,FALSE)</f>
        <v>1</v>
      </c>
      <c r="X204" s="20">
        <f>VLOOKUP(L204,'Int. Pa.'!$B$3:$C$58,2,FALSE)</f>
        <v>1</v>
      </c>
      <c r="Y204" s="20">
        <f>VLOOKUP(M204,'Int. Pa.'!$B$3:$C$58,2,FALSE)</f>
        <v>5</v>
      </c>
      <c r="Z204" s="20">
        <f>VLOOKUP(N204,'Int. Pa.'!$B$3:$C$58,2,FALSE)</f>
        <v>6</v>
      </c>
      <c r="AA204" s="20">
        <f t="shared" si="6"/>
        <v>3</v>
      </c>
      <c r="AB204" s="20">
        <f t="shared" si="7"/>
        <v>34.166666666666664</v>
      </c>
    </row>
    <row r="205" spans="1:28">
      <c r="A205" s="84">
        <v>3</v>
      </c>
      <c r="B205" s="81">
        <v>3402102</v>
      </c>
      <c r="C205" s="82" t="s">
        <v>299</v>
      </c>
      <c r="D205" s="86">
        <v>2000</v>
      </c>
      <c r="E205" s="18" t="s">
        <v>7</v>
      </c>
      <c r="F205" s="18" t="s">
        <v>2</v>
      </c>
      <c r="G205" s="18" t="s">
        <v>88</v>
      </c>
      <c r="H205" s="18" t="s">
        <v>20</v>
      </c>
      <c r="I205" s="18" t="s">
        <v>24</v>
      </c>
      <c r="J205" s="18" t="s">
        <v>35</v>
      </c>
      <c r="K205" s="18" t="s">
        <v>38</v>
      </c>
      <c r="L205" s="18" t="s">
        <v>42</v>
      </c>
      <c r="M205" s="18" t="s">
        <v>50</v>
      </c>
      <c r="N205" s="18" t="s">
        <v>66</v>
      </c>
      <c r="O205" s="20">
        <f>2013-Table1[[#This Row],[Startup Year]]</f>
        <v>13</v>
      </c>
      <c r="P205" s="20"/>
      <c r="Q205" s="20">
        <f>VLOOKUP(E205,'Int. Pa.'!$B$3:$C$58,2,FALSE)</f>
        <v>1</v>
      </c>
      <c r="R205" s="20">
        <f>VLOOKUP(F205,'Int. Pa.'!$B$3:$C$58,2,FALSE)</f>
        <v>10</v>
      </c>
      <c r="S205" s="20">
        <f>VLOOKUP(G205,'Int. Pa.'!$B$3:$C$58,2,FALSE)</f>
        <v>0</v>
      </c>
      <c r="T205" s="20">
        <f>VLOOKUP(H205,'Int. Pa.'!$B$3:$C$58,2,FALSE)</f>
        <v>1</v>
      </c>
      <c r="U205" s="20">
        <f>VLOOKUP(I205,'Int. Pa.'!$B$3:$C$58,2,FALSE)</f>
        <v>0</v>
      </c>
      <c r="V205" s="20">
        <f>VLOOKUP(J205,'Int. Pa.'!$B$3:$C$58,2,FALSE)</f>
        <v>10</v>
      </c>
      <c r="W205" s="20">
        <f>VLOOKUP(K205,'Int. Pa.'!$B$3:$C$58,2,FALSE)</f>
        <v>1</v>
      </c>
      <c r="X205" s="20">
        <f>VLOOKUP(L205,'Int. Pa.'!$B$3:$C$58,2,FALSE)</f>
        <v>1</v>
      </c>
      <c r="Y205" s="20">
        <f>VLOOKUP(M205,'Int. Pa.'!$B$3:$C$58,2,FALSE)</f>
        <v>5</v>
      </c>
      <c r="Z205" s="20">
        <f>VLOOKUP(N205,'Int. Pa.'!$B$3:$C$58,2,FALSE)</f>
        <v>6</v>
      </c>
      <c r="AA205" s="20">
        <f t="shared" si="6"/>
        <v>3</v>
      </c>
      <c r="AB205" s="20">
        <f t="shared" si="7"/>
        <v>34.166666666666664</v>
      </c>
    </row>
    <row r="206" spans="1:28">
      <c r="A206" s="84">
        <v>3</v>
      </c>
      <c r="B206" s="81">
        <v>3402103</v>
      </c>
      <c r="C206" s="82" t="s">
        <v>300</v>
      </c>
      <c r="D206" s="86">
        <v>2000</v>
      </c>
      <c r="E206" s="18" t="s">
        <v>7</v>
      </c>
      <c r="F206" s="18" t="s">
        <v>2</v>
      </c>
      <c r="G206" s="18" t="s">
        <v>88</v>
      </c>
      <c r="H206" s="18" t="s">
        <v>20</v>
      </c>
      <c r="I206" s="18" t="s">
        <v>24</v>
      </c>
      <c r="J206" s="18" t="s">
        <v>35</v>
      </c>
      <c r="K206" s="18" t="s">
        <v>38</v>
      </c>
      <c r="L206" s="18" t="s">
        <v>42</v>
      </c>
      <c r="M206" s="18" t="s">
        <v>50</v>
      </c>
      <c r="N206" s="18" t="s">
        <v>66</v>
      </c>
      <c r="O206" s="20">
        <f>2013-Table1[[#This Row],[Startup Year]]</f>
        <v>13</v>
      </c>
      <c r="P206" s="20"/>
      <c r="Q206" s="20">
        <f>VLOOKUP(E206,'Int. Pa.'!$B$3:$C$58,2,FALSE)</f>
        <v>1</v>
      </c>
      <c r="R206" s="20">
        <f>VLOOKUP(F206,'Int. Pa.'!$B$3:$C$58,2,FALSE)</f>
        <v>10</v>
      </c>
      <c r="S206" s="20">
        <f>VLOOKUP(G206,'Int. Pa.'!$B$3:$C$58,2,FALSE)</f>
        <v>0</v>
      </c>
      <c r="T206" s="20">
        <f>VLOOKUP(H206,'Int. Pa.'!$B$3:$C$58,2,FALSE)</f>
        <v>1</v>
      </c>
      <c r="U206" s="20">
        <f>VLOOKUP(I206,'Int. Pa.'!$B$3:$C$58,2,FALSE)</f>
        <v>0</v>
      </c>
      <c r="V206" s="20">
        <f>VLOOKUP(J206,'Int. Pa.'!$B$3:$C$58,2,FALSE)</f>
        <v>10</v>
      </c>
      <c r="W206" s="20">
        <f>VLOOKUP(K206,'Int. Pa.'!$B$3:$C$58,2,FALSE)</f>
        <v>1</v>
      </c>
      <c r="X206" s="20">
        <f>VLOOKUP(L206,'Int. Pa.'!$B$3:$C$58,2,FALSE)</f>
        <v>1</v>
      </c>
      <c r="Y206" s="20">
        <f>VLOOKUP(M206,'Int. Pa.'!$B$3:$C$58,2,FALSE)</f>
        <v>5</v>
      </c>
      <c r="Z206" s="20">
        <f>VLOOKUP(N206,'Int. Pa.'!$B$3:$C$58,2,FALSE)</f>
        <v>6</v>
      </c>
      <c r="AA206" s="20">
        <f t="shared" si="6"/>
        <v>3</v>
      </c>
      <c r="AB206" s="20">
        <f t="shared" si="7"/>
        <v>34.166666666666664</v>
      </c>
    </row>
    <row r="207" spans="1:28">
      <c r="A207" s="84">
        <v>3</v>
      </c>
      <c r="B207" s="81">
        <v>3402104</v>
      </c>
      <c r="C207" s="82" t="s">
        <v>301</v>
      </c>
      <c r="D207" s="86">
        <v>2000</v>
      </c>
      <c r="E207" s="18" t="s">
        <v>7</v>
      </c>
      <c r="F207" s="18" t="s">
        <v>2</v>
      </c>
      <c r="G207" s="18" t="s">
        <v>88</v>
      </c>
      <c r="H207" s="18" t="s">
        <v>20</v>
      </c>
      <c r="I207" s="18" t="s">
        <v>24</v>
      </c>
      <c r="J207" s="18" t="s">
        <v>35</v>
      </c>
      <c r="K207" s="18" t="s">
        <v>38</v>
      </c>
      <c r="L207" s="18" t="s">
        <v>42</v>
      </c>
      <c r="M207" s="18" t="s">
        <v>50</v>
      </c>
      <c r="N207" s="18" t="s">
        <v>66</v>
      </c>
      <c r="O207" s="20">
        <f>2013-Table1[[#This Row],[Startup Year]]</f>
        <v>13</v>
      </c>
      <c r="P207" s="20"/>
      <c r="Q207" s="20">
        <f>VLOOKUP(E207,'Int. Pa.'!$B$3:$C$58,2,FALSE)</f>
        <v>1</v>
      </c>
      <c r="R207" s="20">
        <f>VLOOKUP(F207,'Int. Pa.'!$B$3:$C$58,2,FALSE)</f>
        <v>10</v>
      </c>
      <c r="S207" s="20">
        <f>VLOOKUP(G207,'Int. Pa.'!$B$3:$C$58,2,FALSE)</f>
        <v>0</v>
      </c>
      <c r="T207" s="20">
        <f>VLOOKUP(H207,'Int. Pa.'!$B$3:$C$58,2,FALSE)</f>
        <v>1</v>
      </c>
      <c r="U207" s="20">
        <f>VLOOKUP(I207,'Int. Pa.'!$B$3:$C$58,2,FALSE)</f>
        <v>0</v>
      </c>
      <c r="V207" s="20">
        <f>VLOOKUP(J207,'Int. Pa.'!$B$3:$C$58,2,FALSE)</f>
        <v>10</v>
      </c>
      <c r="W207" s="20">
        <f>VLOOKUP(K207,'Int. Pa.'!$B$3:$C$58,2,FALSE)</f>
        <v>1</v>
      </c>
      <c r="X207" s="20">
        <f>VLOOKUP(L207,'Int. Pa.'!$B$3:$C$58,2,FALSE)</f>
        <v>1</v>
      </c>
      <c r="Y207" s="20">
        <f>VLOOKUP(M207,'Int. Pa.'!$B$3:$C$58,2,FALSE)</f>
        <v>5</v>
      </c>
      <c r="Z207" s="20">
        <f>VLOOKUP(N207,'Int. Pa.'!$B$3:$C$58,2,FALSE)</f>
        <v>6</v>
      </c>
      <c r="AA207" s="20">
        <f t="shared" si="6"/>
        <v>3</v>
      </c>
      <c r="AB207" s="20">
        <f t="shared" si="7"/>
        <v>34.166666666666664</v>
      </c>
    </row>
    <row r="208" spans="1:28">
      <c r="A208" s="84">
        <v>3</v>
      </c>
      <c r="B208" s="81">
        <v>3402105</v>
      </c>
      <c r="C208" s="82" t="s">
        <v>761</v>
      </c>
      <c r="D208" s="86">
        <v>2000</v>
      </c>
      <c r="E208" s="18" t="s">
        <v>7</v>
      </c>
      <c r="F208" s="18" t="s">
        <v>2</v>
      </c>
      <c r="G208" s="18" t="s">
        <v>88</v>
      </c>
      <c r="H208" s="18" t="s">
        <v>20</v>
      </c>
      <c r="I208" s="18" t="s">
        <v>24</v>
      </c>
      <c r="J208" s="18" t="s">
        <v>35</v>
      </c>
      <c r="K208" s="18" t="s">
        <v>38</v>
      </c>
      <c r="L208" s="18" t="s">
        <v>42</v>
      </c>
      <c r="M208" s="18" t="s">
        <v>50</v>
      </c>
      <c r="N208" s="18" t="s">
        <v>66</v>
      </c>
      <c r="O208" s="20">
        <f>2013-Table1[[#This Row],[Startup Year]]</f>
        <v>13</v>
      </c>
      <c r="P208" s="20"/>
      <c r="Q208" s="20">
        <f>VLOOKUP(E208,'Int. Pa.'!$B$3:$C$58,2,FALSE)</f>
        <v>1</v>
      </c>
      <c r="R208" s="20">
        <f>VLOOKUP(F208,'Int. Pa.'!$B$3:$C$58,2,FALSE)</f>
        <v>10</v>
      </c>
      <c r="S208" s="20">
        <f>VLOOKUP(G208,'Int. Pa.'!$B$3:$C$58,2,FALSE)</f>
        <v>0</v>
      </c>
      <c r="T208" s="20">
        <f>VLOOKUP(H208,'Int. Pa.'!$B$3:$C$58,2,FALSE)</f>
        <v>1</v>
      </c>
      <c r="U208" s="20">
        <f>VLOOKUP(I208,'Int. Pa.'!$B$3:$C$58,2,FALSE)</f>
        <v>0</v>
      </c>
      <c r="V208" s="20">
        <f>VLOOKUP(J208,'Int. Pa.'!$B$3:$C$58,2,FALSE)</f>
        <v>10</v>
      </c>
      <c r="W208" s="20">
        <f>VLOOKUP(K208,'Int. Pa.'!$B$3:$C$58,2,FALSE)</f>
        <v>1</v>
      </c>
      <c r="X208" s="20">
        <f>VLOOKUP(L208,'Int. Pa.'!$B$3:$C$58,2,FALSE)</f>
        <v>1</v>
      </c>
      <c r="Y208" s="20">
        <f>VLOOKUP(M208,'Int. Pa.'!$B$3:$C$58,2,FALSE)</f>
        <v>5</v>
      </c>
      <c r="Z208" s="20">
        <f>VLOOKUP(N208,'Int. Pa.'!$B$3:$C$58,2,FALSE)</f>
        <v>6</v>
      </c>
      <c r="AA208" s="20">
        <f t="shared" si="6"/>
        <v>3</v>
      </c>
      <c r="AB208" s="20">
        <f t="shared" si="7"/>
        <v>34.166666666666664</v>
      </c>
    </row>
    <row r="209" spans="1:28">
      <c r="A209" s="84">
        <v>3</v>
      </c>
      <c r="B209" s="81">
        <v>3402106</v>
      </c>
      <c r="C209" s="82" t="s">
        <v>302</v>
      </c>
      <c r="D209" s="85">
        <v>2010</v>
      </c>
      <c r="E209" s="18" t="s">
        <v>7</v>
      </c>
      <c r="F209" s="18" t="s">
        <v>2</v>
      </c>
      <c r="G209" s="18" t="s">
        <v>88</v>
      </c>
      <c r="H209" s="18" t="s">
        <v>20</v>
      </c>
      <c r="I209" s="18" t="s">
        <v>24</v>
      </c>
      <c r="J209" s="18" t="s">
        <v>35</v>
      </c>
      <c r="K209" s="18" t="s">
        <v>38</v>
      </c>
      <c r="L209" s="18" t="s">
        <v>42</v>
      </c>
      <c r="M209" s="18" t="s">
        <v>50</v>
      </c>
      <c r="N209" s="18" t="s">
        <v>66</v>
      </c>
      <c r="O209" s="20">
        <f>2013-Table1[[#This Row],[Startup Year]]</f>
        <v>3</v>
      </c>
      <c r="P209" s="20"/>
      <c r="Q209" s="20">
        <f>VLOOKUP(E209,'Int. Pa.'!$B$3:$C$58,2,FALSE)</f>
        <v>1</v>
      </c>
      <c r="R209" s="20">
        <f>VLOOKUP(F209,'Int. Pa.'!$B$3:$C$58,2,FALSE)</f>
        <v>10</v>
      </c>
      <c r="S209" s="20">
        <f>VLOOKUP(G209,'Int. Pa.'!$B$3:$C$58,2,FALSE)</f>
        <v>0</v>
      </c>
      <c r="T209" s="20">
        <f>VLOOKUP(H209,'Int. Pa.'!$B$3:$C$58,2,FALSE)</f>
        <v>1</v>
      </c>
      <c r="U209" s="20">
        <f>VLOOKUP(I209,'Int. Pa.'!$B$3:$C$58,2,FALSE)</f>
        <v>0</v>
      </c>
      <c r="V209" s="20">
        <f>VLOOKUP(J209,'Int. Pa.'!$B$3:$C$58,2,FALSE)</f>
        <v>10</v>
      </c>
      <c r="W209" s="20">
        <f>VLOOKUP(K209,'Int. Pa.'!$B$3:$C$58,2,FALSE)</f>
        <v>1</v>
      </c>
      <c r="X209" s="20">
        <f>VLOOKUP(L209,'Int. Pa.'!$B$3:$C$58,2,FALSE)</f>
        <v>1</v>
      </c>
      <c r="Y209" s="20">
        <f>VLOOKUP(M209,'Int. Pa.'!$B$3:$C$58,2,FALSE)</f>
        <v>5</v>
      </c>
      <c r="Z209" s="20">
        <f>VLOOKUP(N209,'Int. Pa.'!$B$3:$C$58,2,FALSE)</f>
        <v>6</v>
      </c>
      <c r="AA209" s="20">
        <f t="shared" ref="AA209:AA240" si="8">IF(O209&gt;40,10,ROUND((O209/4),0))</f>
        <v>1</v>
      </c>
      <c r="AB209" s="20">
        <f t="shared" ref="AB209:AB240" si="9">($E$1*Q209+$F$1*R209+$G$1*S209+$H$1*T209+$I$1*U209+$J$1*V209+$K$1*W209+$L$1*X209+$M$1*Y209+$N$1*Z209+$O$1*AA209)</f>
        <v>33.611111111111107</v>
      </c>
    </row>
    <row r="210" spans="1:28">
      <c r="A210" s="84">
        <v>3</v>
      </c>
      <c r="B210" s="81">
        <v>4032201</v>
      </c>
      <c r="C210" s="82" t="s">
        <v>303</v>
      </c>
      <c r="D210" s="86">
        <v>2000</v>
      </c>
      <c r="E210" s="18" t="s">
        <v>7</v>
      </c>
      <c r="F210" s="18" t="s">
        <v>2</v>
      </c>
      <c r="G210" s="18" t="s">
        <v>88</v>
      </c>
      <c r="H210" s="18" t="s">
        <v>20</v>
      </c>
      <c r="I210" s="18" t="s">
        <v>24</v>
      </c>
      <c r="J210" s="18" t="s">
        <v>35</v>
      </c>
      <c r="K210" s="18" t="s">
        <v>38</v>
      </c>
      <c r="L210" s="18" t="s">
        <v>42</v>
      </c>
      <c r="M210" s="18" t="s">
        <v>50</v>
      </c>
      <c r="N210" s="18" t="s">
        <v>66</v>
      </c>
      <c r="O210" s="20">
        <f>2013-Table1[[#This Row],[Startup Year]]</f>
        <v>13</v>
      </c>
      <c r="P210" s="20"/>
      <c r="Q210" s="20">
        <f>VLOOKUP(E210,'Int. Pa.'!$B$3:$C$58,2,FALSE)</f>
        <v>1</v>
      </c>
      <c r="R210" s="20">
        <f>VLOOKUP(F210,'Int. Pa.'!$B$3:$C$58,2,FALSE)</f>
        <v>10</v>
      </c>
      <c r="S210" s="20">
        <f>VLOOKUP(G210,'Int. Pa.'!$B$3:$C$58,2,FALSE)</f>
        <v>0</v>
      </c>
      <c r="T210" s="20">
        <f>VLOOKUP(H210,'Int. Pa.'!$B$3:$C$58,2,FALSE)</f>
        <v>1</v>
      </c>
      <c r="U210" s="20">
        <f>VLOOKUP(I210,'Int. Pa.'!$B$3:$C$58,2,FALSE)</f>
        <v>0</v>
      </c>
      <c r="V210" s="20">
        <f>VLOOKUP(J210,'Int. Pa.'!$B$3:$C$58,2,FALSE)</f>
        <v>10</v>
      </c>
      <c r="W210" s="20">
        <f>VLOOKUP(K210,'Int. Pa.'!$B$3:$C$58,2,FALSE)</f>
        <v>1</v>
      </c>
      <c r="X210" s="20">
        <f>VLOOKUP(L210,'Int. Pa.'!$B$3:$C$58,2,FALSE)</f>
        <v>1</v>
      </c>
      <c r="Y210" s="20">
        <f>VLOOKUP(M210,'Int. Pa.'!$B$3:$C$58,2,FALSE)</f>
        <v>5</v>
      </c>
      <c r="Z210" s="20">
        <f>VLOOKUP(N210,'Int. Pa.'!$B$3:$C$58,2,FALSE)</f>
        <v>6</v>
      </c>
      <c r="AA210" s="20">
        <f t="shared" si="8"/>
        <v>3</v>
      </c>
      <c r="AB210" s="20">
        <f t="shared" si="9"/>
        <v>34.166666666666664</v>
      </c>
    </row>
    <row r="211" spans="1:28">
      <c r="A211" s="80">
        <v>3</v>
      </c>
      <c r="B211" s="81">
        <v>330800104</v>
      </c>
      <c r="C211" s="82" t="s">
        <v>304</v>
      </c>
      <c r="D211" s="83">
        <v>2000</v>
      </c>
      <c r="E211" s="18" t="s">
        <v>7</v>
      </c>
      <c r="F211" s="18" t="s">
        <v>2</v>
      </c>
      <c r="G211" s="18" t="s">
        <v>88</v>
      </c>
      <c r="H211" s="18" t="s">
        <v>20</v>
      </c>
      <c r="I211" s="18" t="s">
        <v>24</v>
      </c>
      <c r="J211" s="18" t="s">
        <v>35</v>
      </c>
      <c r="K211" s="18" t="s">
        <v>38</v>
      </c>
      <c r="L211" s="18" t="s">
        <v>42</v>
      </c>
      <c r="M211" s="18" t="s">
        <v>50</v>
      </c>
      <c r="N211" s="18" t="s">
        <v>66</v>
      </c>
      <c r="O211" s="20">
        <f>2013-Table1[[#This Row],[Startup Year]]</f>
        <v>13</v>
      </c>
      <c r="P211" s="20"/>
      <c r="Q211" s="20">
        <f>VLOOKUP(E211,'Int. Pa.'!$B$3:$C$58,2,FALSE)</f>
        <v>1</v>
      </c>
      <c r="R211" s="20">
        <f>VLOOKUP(F211,'Int. Pa.'!$B$3:$C$58,2,FALSE)</f>
        <v>10</v>
      </c>
      <c r="S211" s="20">
        <f>VLOOKUP(G211,'Int. Pa.'!$B$3:$C$58,2,FALSE)</f>
        <v>0</v>
      </c>
      <c r="T211" s="20">
        <f>VLOOKUP(H211,'Int. Pa.'!$B$3:$C$58,2,FALSE)</f>
        <v>1</v>
      </c>
      <c r="U211" s="20">
        <f>VLOOKUP(I211,'Int. Pa.'!$B$3:$C$58,2,FALSE)</f>
        <v>0</v>
      </c>
      <c r="V211" s="20">
        <f>VLOOKUP(J211,'Int. Pa.'!$B$3:$C$58,2,FALSE)</f>
        <v>10</v>
      </c>
      <c r="W211" s="20">
        <f>VLOOKUP(K211,'Int. Pa.'!$B$3:$C$58,2,FALSE)</f>
        <v>1</v>
      </c>
      <c r="X211" s="20">
        <f>VLOOKUP(L211,'Int. Pa.'!$B$3:$C$58,2,FALSE)</f>
        <v>1</v>
      </c>
      <c r="Y211" s="20">
        <f>VLOOKUP(M211,'Int. Pa.'!$B$3:$C$58,2,FALSE)</f>
        <v>5</v>
      </c>
      <c r="Z211" s="20">
        <f>VLOOKUP(N211,'Int. Pa.'!$B$3:$C$58,2,FALSE)</f>
        <v>6</v>
      </c>
      <c r="AA211" s="20">
        <f t="shared" si="8"/>
        <v>3</v>
      </c>
      <c r="AB211" s="20">
        <f t="shared" si="9"/>
        <v>34.166666666666664</v>
      </c>
    </row>
    <row r="212" spans="1:28">
      <c r="A212" s="87">
        <v>3</v>
      </c>
      <c r="B212" s="81">
        <v>33081004</v>
      </c>
      <c r="C212" s="89" t="s">
        <v>304</v>
      </c>
      <c r="D212" s="90">
        <v>2000</v>
      </c>
      <c r="E212" s="18" t="s">
        <v>7</v>
      </c>
      <c r="F212" s="18" t="s">
        <v>2</v>
      </c>
      <c r="G212" s="18" t="s">
        <v>88</v>
      </c>
      <c r="H212" s="18" t="s">
        <v>20</v>
      </c>
      <c r="I212" s="18" t="s">
        <v>24</v>
      </c>
      <c r="J212" s="18" t="s">
        <v>35</v>
      </c>
      <c r="K212" s="18" t="s">
        <v>38</v>
      </c>
      <c r="L212" s="18" t="s">
        <v>42</v>
      </c>
      <c r="M212" s="18" t="s">
        <v>50</v>
      </c>
      <c r="N212" s="18" t="s">
        <v>66</v>
      </c>
      <c r="O212" s="20">
        <f>2013-Table1[[#This Row],[Startup Year]]</f>
        <v>13</v>
      </c>
      <c r="P212" s="20"/>
      <c r="Q212" s="20">
        <f>VLOOKUP(E212,'Int. Pa.'!$B$3:$C$58,2,FALSE)</f>
        <v>1</v>
      </c>
      <c r="R212" s="20">
        <f>VLOOKUP(F212,'Int. Pa.'!$B$3:$C$58,2,FALSE)</f>
        <v>10</v>
      </c>
      <c r="S212" s="20">
        <f>VLOOKUP(G212,'Int. Pa.'!$B$3:$C$58,2,FALSE)</f>
        <v>0</v>
      </c>
      <c r="T212" s="20">
        <f>VLOOKUP(H212,'Int. Pa.'!$B$3:$C$58,2,FALSE)</f>
        <v>1</v>
      </c>
      <c r="U212" s="20">
        <f>VLOOKUP(I212,'Int. Pa.'!$B$3:$C$58,2,FALSE)</f>
        <v>0</v>
      </c>
      <c r="V212" s="20">
        <f>VLOOKUP(J212,'Int. Pa.'!$B$3:$C$58,2,FALSE)</f>
        <v>10</v>
      </c>
      <c r="W212" s="20">
        <f>VLOOKUP(K212,'Int. Pa.'!$B$3:$C$58,2,FALSE)</f>
        <v>1</v>
      </c>
      <c r="X212" s="20">
        <f>VLOOKUP(L212,'Int. Pa.'!$B$3:$C$58,2,FALSE)</f>
        <v>1</v>
      </c>
      <c r="Y212" s="20">
        <f>VLOOKUP(M212,'Int. Pa.'!$B$3:$C$58,2,FALSE)</f>
        <v>5</v>
      </c>
      <c r="Z212" s="20">
        <f>VLOOKUP(N212,'Int. Pa.'!$B$3:$C$58,2,FALSE)</f>
        <v>6</v>
      </c>
      <c r="AA212" s="20">
        <f t="shared" si="8"/>
        <v>3</v>
      </c>
      <c r="AB212" s="20">
        <f t="shared" si="9"/>
        <v>34.166666666666664</v>
      </c>
    </row>
    <row r="213" spans="1:28">
      <c r="A213" s="84">
        <v>3</v>
      </c>
      <c r="B213" s="81">
        <v>33083010</v>
      </c>
      <c r="C213" s="82" t="s">
        <v>305</v>
      </c>
      <c r="D213" s="86">
        <v>2000</v>
      </c>
      <c r="E213" s="18" t="s">
        <v>7</v>
      </c>
      <c r="F213" s="18" t="s">
        <v>2</v>
      </c>
      <c r="G213" s="18" t="s">
        <v>88</v>
      </c>
      <c r="H213" s="18" t="s">
        <v>20</v>
      </c>
      <c r="I213" s="18" t="s">
        <v>24</v>
      </c>
      <c r="J213" s="18" t="s">
        <v>35</v>
      </c>
      <c r="K213" s="18" t="s">
        <v>38</v>
      </c>
      <c r="L213" s="18" t="s">
        <v>42</v>
      </c>
      <c r="M213" s="18" t="s">
        <v>50</v>
      </c>
      <c r="N213" s="18" t="s">
        <v>66</v>
      </c>
      <c r="O213" s="20">
        <f>2013-Table1[[#This Row],[Startup Year]]</f>
        <v>13</v>
      </c>
      <c r="P213" s="20"/>
      <c r="Q213" s="20">
        <f>VLOOKUP(E213,'Int. Pa.'!$B$3:$C$58,2,FALSE)</f>
        <v>1</v>
      </c>
      <c r="R213" s="20">
        <f>VLOOKUP(F213,'Int. Pa.'!$B$3:$C$58,2,FALSE)</f>
        <v>10</v>
      </c>
      <c r="S213" s="20">
        <f>VLOOKUP(G213,'Int. Pa.'!$B$3:$C$58,2,FALSE)</f>
        <v>0</v>
      </c>
      <c r="T213" s="20">
        <f>VLOOKUP(H213,'Int. Pa.'!$B$3:$C$58,2,FALSE)</f>
        <v>1</v>
      </c>
      <c r="U213" s="20">
        <f>VLOOKUP(I213,'Int. Pa.'!$B$3:$C$58,2,FALSE)</f>
        <v>0</v>
      </c>
      <c r="V213" s="20">
        <f>VLOOKUP(J213,'Int. Pa.'!$B$3:$C$58,2,FALSE)</f>
        <v>10</v>
      </c>
      <c r="W213" s="20">
        <f>VLOOKUP(K213,'Int. Pa.'!$B$3:$C$58,2,FALSE)</f>
        <v>1</v>
      </c>
      <c r="X213" s="20">
        <f>VLOOKUP(L213,'Int. Pa.'!$B$3:$C$58,2,FALSE)</f>
        <v>1</v>
      </c>
      <c r="Y213" s="20">
        <f>VLOOKUP(M213,'Int. Pa.'!$B$3:$C$58,2,FALSE)</f>
        <v>5</v>
      </c>
      <c r="Z213" s="20">
        <f>VLOOKUP(N213,'Int. Pa.'!$B$3:$C$58,2,FALSE)</f>
        <v>6</v>
      </c>
      <c r="AA213" s="20">
        <f t="shared" si="8"/>
        <v>3</v>
      </c>
      <c r="AB213" s="20">
        <f t="shared" si="9"/>
        <v>34.166666666666664</v>
      </c>
    </row>
    <row r="214" spans="1:28">
      <c r="A214" s="84">
        <v>3</v>
      </c>
      <c r="B214" s="81">
        <v>56010101</v>
      </c>
      <c r="C214" s="82" t="s">
        <v>306</v>
      </c>
      <c r="D214" s="86">
        <v>2000</v>
      </c>
      <c r="E214" s="18" t="s">
        <v>7</v>
      </c>
      <c r="F214" s="18" t="s">
        <v>2</v>
      </c>
      <c r="G214" s="18" t="s">
        <v>88</v>
      </c>
      <c r="H214" s="18" t="s">
        <v>20</v>
      </c>
      <c r="I214" s="18" t="s">
        <v>24</v>
      </c>
      <c r="J214" s="18" t="s">
        <v>35</v>
      </c>
      <c r="K214" s="18" t="s">
        <v>38</v>
      </c>
      <c r="L214" s="18" t="s">
        <v>42</v>
      </c>
      <c r="M214" s="18" t="s">
        <v>50</v>
      </c>
      <c r="N214" s="18" t="s">
        <v>66</v>
      </c>
      <c r="O214" s="20">
        <f>2013-Table1[[#This Row],[Startup Year]]</f>
        <v>13</v>
      </c>
      <c r="P214" s="20"/>
      <c r="Q214" s="20">
        <f>VLOOKUP(E214,'Int. Pa.'!$B$3:$C$58,2,FALSE)</f>
        <v>1</v>
      </c>
      <c r="R214" s="20">
        <f>VLOOKUP(F214,'Int. Pa.'!$B$3:$C$58,2,FALSE)</f>
        <v>10</v>
      </c>
      <c r="S214" s="20">
        <f>VLOOKUP(G214,'Int. Pa.'!$B$3:$C$58,2,FALSE)</f>
        <v>0</v>
      </c>
      <c r="T214" s="20">
        <f>VLOOKUP(H214,'Int. Pa.'!$B$3:$C$58,2,FALSE)</f>
        <v>1</v>
      </c>
      <c r="U214" s="20">
        <f>VLOOKUP(I214,'Int. Pa.'!$B$3:$C$58,2,FALSE)</f>
        <v>0</v>
      </c>
      <c r="V214" s="20">
        <f>VLOOKUP(J214,'Int. Pa.'!$B$3:$C$58,2,FALSE)</f>
        <v>10</v>
      </c>
      <c r="W214" s="20">
        <f>VLOOKUP(K214,'Int. Pa.'!$B$3:$C$58,2,FALSE)</f>
        <v>1</v>
      </c>
      <c r="X214" s="20">
        <f>VLOOKUP(L214,'Int. Pa.'!$B$3:$C$58,2,FALSE)</f>
        <v>1</v>
      </c>
      <c r="Y214" s="20">
        <f>VLOOKUP(M214,'Int. Pa.'!$B$3:$C$58,2,FALSE)</f>
        <v>5</v>
      </c>
      <c r="Z214" s="20">
        <f>VLOOKUP(N214,'Int. Pa.'!$B$3:$C$58,2,FALSE)</f>
        <v>6</v>
      </c>
      <c r="AA214" s="20">
        <f t="shared" si="8"/>
        <v>3</v>
      </c>
      <c r="AB214" s="20">
        <f t="shared" si="9"/>
        <v>34.166666666666664</v>
      </c>
    </row>
    <row r="215" spans="1:28">
      <c r="A215" s="84">
        <v>3</v>
      </c>
      <c r="B215" s="81">
        <v>56010102</v>
      </c>
      <c r="C215" s="82" t="s">
        <v>307</v>
      </c>
      <c r="D215" s="86">
        <v>2000</v>
      </c>
      <c r="E215" s="18" t="s">
        <v>7</v>
      </c>
      <c r="F215" s="18" t="s">
        <v>2</v>
      </c>
      <c r="G215" s="18" t="s">
        <v>88</v>
      </c>
      <c r="H215" s="18" t="s">
        <v>20</v>
      </c>
      <c r="I215" s="18" t="s">
        <v>24</v>
      </c>
      <c r="J215" s="18" t="s">
        <v>35</v>
      </c>
      <c r="K215" s="18" t="s">
        <v>38</v>
      </c>
      <c r="L215" s="18" t="s">
        <v>42</v>
      </c>
      <c r="M215" s="18" t="s">
        <v>50</v>
      </c>
      <c r="N215" s="18" t="s">
        <v>66</v>
      </c>
      <c r="O215" s="20">
        <f>2013-Table1[[#This Row],[Startup Year]]</f>
        <v>13</v>
      </c>
      <c r="P215" s="20"/>
      <c r="Q215" s="20">
        <f>VLOOKUP(E215,'Int. Pa.'!$B$3:$C$58,2,FALSE)</f>
        <v>1</v>
      </c>
      <c r="R215" s="20">
        <f>VLOOKUP(F215,'Int. Pa.'!$B$3:$C$58,2,FALSE)</f>
        <v>10</v>
      </c>
      <c r="S215" s="20">
        <f>VLOOKUP(G215,'Int. Pa.'!$B$3:$C$58,2,FALSE)</f>
        <v>0</v>
      </c>
      <c r="T215" s="20">
        <f>VLOOKUP(H215,'Int. Pa.'!$B$3:$C$58,2,FALSE)</f>
        <v>1</v>
      </c>
      <c r="U215" s="20">
        <f>VLOOKUP(I215,'Int. Pa.'!$B$3:$C$58,2,FALSE)</f>
        <v>0</v>
      </c>
      <c r="V215" s="20">
        <f>VLOOKUP(J215,'Int. Pa.'!$B$3:$C$58,2,FALSE)</f>
        <v>10</v>
      </c>
      <c r="W215" s="20">
        <f>VLOOKUP(K215,'Int. Pa.'!$B$3:$C$58,2,FALSE)</f>
        <v>1</v>
      </c>
      <c r="X215" s="20">
        <f>VLOOKUP(L215,'Int. Pa.'!$B$3:$C$58,2,FALSE)</f>
        <v>1</v>
      </c>
      <c r="Y215" s="20">
        <f>VLOOKUP(M215,'Int. Pa.'!$B$3:$C$58,2,FALSE)</f>
        <v>5</v>
      </c>
      <c r="Z215" s="20">
        <f>VLOOKUP(N215,'Int. Pa.'!$B$3:$C$58,2,FALSE)</f>
        <v>6</v>
      </c>
      <c r="AA215" s="20">
        <f t="shared" si="8"/>
        <v>3</v>
      </c>
      <c r="AB215" s="20">
        <f t="shared" si="9"/>
        <v>34.166666666666664</v>
      </c>
    </row>
    <row r="216" spans="1:28">
      <c r="A216" s="84">
        <v>3</v>
      </c>
      <c r="B216" s="81">
        <v>56010103</v>
      </c>
      <c r="C216" s="82" t="s">
        <v>308</v>
      </c>
      <c r="D216" s="86">
        <v>2000</v>
      </c>
      <c r="E216" s="18" t="s">
        <v>7</v>
      </c>
      <c r="F216" s="18" t="s">
        <v>2</v>
      </c>
      <c r="G216" s="18" t="s">
        <v>88</v>
      </c>
      <c r="H216" s="18" t="s">
        <v>20</v>
      </c>
      <c r="I216" s="18" t="s">
        <v>24</v>
      </c>
      <c r="J216" s="18" t="s">
        <v>35</v>
      </c>
      <c r="K216" s="18" t="s">
        <v>38</v>
      </c>
      <c r="L216" s="18" t="s">
        <v>42</v>
      </c>
      <c r="M216" s="18" t="s">
        <v>50</v>
      </c>
      <c r="N216" s="18" t="s">
        <v>66</v>
      </c>
      <c r="O216" s="20">
        <f>2013-Table1[[#This Row],[Startup Year]]</f>
        <v>13</v>
      </c>
      <c r="P216" s="20"/>
      <c r="Q216" s="20">
        <f>VLOOKUP(E216,'Int. Pa.'!$B$3:$C$58,2,FALSE)</f>
        <v>1</v>
      </c>
      <c r="R216" s="20">
        <f>VLOOKUP(F216,'Int. Pa.'!$B$3:$C$58,2,FALSE)</f>
        <v>10</v>
      </c>
      <c r="S216" s="20">
        <f>VLOOKUP(G216,'Int. Pa.'!$B$3:$C$58,2,FALSE)</f>
        <v>0</v>
      </c>
      <c r="T216" s="20">
        <f>VLOOKUP(H216,'Int. Pa.'!$B$3:$C$58,2,FALSE)</f>
        <v>1</v>
      </c>
      <c r="U216" s="20">
        <f>VLOOKUP(I216,'Int. Pa.'!$B$3:$C$58,2,FALSE)</f>
        <v>0</v>
      </c>
      <c r="V216" s="20">
        <f>VLOOKUP(J216,'Int. Pa.'!$B$3:$C$58,2,FALSE)</f>
        <v>10</v>
      </c>
      <c r="W216" s="20">
        <f>VLOOKUP(K216,'Int. Pa.'!$B$3:$C$58,2,FALSE)</f>
        <v>1</v>
      </c>
      <c r="X216" s="20">
        <f>VLOOKUP(L216,'Int. Pa.'!$B$3:$C$58,2,FALSE)</f>
        <v>1</v>
      </c>
      <c r="Y216" s="20">
        <f>VLOOKUP(M216,'Int. Pa.'!$B$3:$C$58,2,FALSE)</f>
        <v>5</v>
      </c>
      <c r="Z216" s="20">
        <f>VLOOKUP(N216,'Int. Pa.'!$B$3:$C$58,2,FALSE)</f>
        <v>6</v>
      </c>
      <c r="AA216" s="20">
        <f t="shared" si="8"/>
        <v>3</v>
      </c>
      <c r="AB216" s="20">
        <f t="shared" si="9"/>
        <v>34.166666666666664</v>
      </c>
    </row>
    <row r="217" spans="1:28">
      <c r="A217" s="84">
        <v>3</v>
      </c>
      <c r="B217" s="81">
        <v>330820005</v>
      </c>
      <c r="C217" s="82" t="s">
        <v>309</v>
      </c>
      <c r="D217" s="85">
        <v>2009</v>
      </c>
      <c r="E217" s="18" t="s">
        <v>7</v>
      </c>
      <c r="F217" s="18" t="s">
        <v>2</v>
      </c>
      <c r="G217" s="18" t="s">
        <v>88</v>
      </c>
      <c r="H217" s="18" t="s">
        <v>20</v>
      </c>
      <c r="I217" s="18" t="s">
        <v>24</v>
      </c>
      <c r="J217" s="18" t="s">
        <v>35</v>
      </c>
      <c r="K217" s="18" t="s">
        <v>38</v>
      </c>
      <c r="L217" s="18" t="s">
        <v>42</v>
      </c>
      <c r="M217" s="18" t="s">
        <v>50</v>
      </c>
      <c r="N217" s="18" t="s">
        <v>66</v>
      </c>
      <c r="O217" s="20">
        <f>2013-Table1[[#This Row],[Startup Year]]</f>
        <v>4</v>
      </c>
      <c r="P217" s="20"/>
      <c r="Q217" s="20">
        <f>VLOOKUP(E217,'Int. Pa.'!$B$3:$C$58,2,FALSE)</f>
        <v>1</v>
      </c>
      <c r="R217" s="20">
        <f>VLOOKUP(F217,'Int. Pa.'!$B$3:$C$58,2,FALSE)</f>
        <v>10</v>
      </c>
      <c r="S217" s="20">
        <f>VLOOKUP(G217,'Int. Pa.'!$B$3:$C$58,2,FALSE)</f>
        <v>0</v>
      </c>
      <c r="T217" s="20">
        <f>VLOOKUP(H217,'Int. Pa.'!$B$3:$C$58,2,FALSE)</f>
        <v>1</v>
      </c>
      <c r="U217" s="20">
        <f>VLOOKUP(I217,'Int. Pa.'!$B$3:$C$58,2,FALSE)</f>
        <v>0</v>
      </c>
      <c r="V217" s="20">
        <f>VLOOKUP(J217,'Int. Pa.'!$B$3:$C$58,2,FALSE)</f>
        <v>10</v>
      </c>
      <c r="W217" s="20">
        <f>VLOOKUP(K217,'Int. Pa.'!$B$3:$C$58,2,FALSE)</f>
        <v>1</v>
      </c>
      <c r="X217" s="20">
        <f>VLOOKUP(L217,'Int. Pa.'!$B$3:$C$58,2,FALSE)</f>
        <v>1</v>
      </c>
      <c r="Y217" s="20">
        <f>VLOOKUP(M217,'Int. Pa.'!$B$3:$C$58,2,FALSE)</f>
        <v>5</v>
      </c>
      <c r="Z217" s="20">
        <f>VLOOKUP(N217,'Int. Pa.'!$B$3:$C$58,2,FALSE)</f>
        <v>6</v>
      </c>
      <c r="AA217" s="20">
        <f t="shared" si="8"/>
        <v>1</v>
      </c>
      <c r="AB217" s="20">
        <f t="shared" si="9"/>
        <v>33.611111111111107</v>
      </c>
    </row>
    <row r="218" spans="1:28">
      <c r="A218" s="80">
        <v>3</v>
      </c>
      <c r="B218" s="81">
        <v>330900001</v>
      </c>
      <c r="C218" s="82" t="s">
        <v>767</v>
      </c>
      <c r="D218" s="83">
        <v>2000</v>
      </c>
      <c r="E218" s="18" t="s">
        <v>7</v>
      </c>
      <c r="F218" s="18" t="s">
        <v>2</v>
      </c>
      <c r="G218" s="18" t="s">
        <v>88</v>
      </c>
      <c r="H218" s="18" t="s">
        <v>20</v>
      </c>
      <c r="I218" s="18" t="s">
        <v>24</v>
      </c>
      <c r="J218" s="18" t="s">
        <v>35</v>
      </c>
      <c r="K218" s="18" t="s">
        <v>38</v>
      </c>
      <c r="L218" s="18" t="s">
        <v>42</v>
      </c>
      <c r="M218" s="18" t="s">
        <v>50</v>
      </c>
      <c r="N218" s="18" t="s">
        <v>66</v>
      </c>
      <c r="O218" s="20">
        <f>2013-Table1[[#This Row],[Startup Year]]</f>
        <v>13</v>
      </c>
      <c r="P218" s="20"/>
      <c r="Q218" s="20">
        <f>VLOOKUP(E218,'Int. Pa.'!$B$3:$C$58,2,FALSE)</f>
        <v>1</v>
      </c>
      <c r="R218" s="20">
        <f>VLOOKUP(F218,'Int. Pa.'!$B$3:$C$58,2,FALSE)</f>
        <v>10</v>
      </c>
      <c r="S218" s="20">
        <f>VLOOKUP(G218,'Int. Pa.'!$B$3:$C$58,2,FALSE)</f>
        <v>0</v>
      </c>
      <c r="T218" s="20">
        <f>VLOOKUP(H218,'Int. Pa.'!$B$3:$C$58,2,FALSE)</f>
        <v>1</v>
      </c>
      <c r="U218" s="20">
        <f>VLOOKUP(I218,'Int. Pa.'!$B$3:$C$58,2,FALSE)</f>
        <v>0</v>
      </c>
      <c r="V218" s="20">
        <f>VLOOKUP(J218,'Int. Pa.'!$B$3:$C$58,2,FALSE)</f>
        <v>10</v>
      </c>
      <c r="W218" s="20">
        <f>VLOOKUP(K218,'Int. Pa.'!$B$3:$C$58,2,FALSE)</f>
        <v>1</v>
      </c>
      <c r="X218" s="20">
        <f>VLOOKUP(L218,'Int. Pa.'!$B$3:$C$58,2,FALSE)</f>
        <v>1</v>
      </c>
      <c r="Y218" s="20">
        <f>VLOOKUP(M218,'Int. Pa.'!$B$3:$C$58,2,FALSE)</f>
        <v>5</v>
      </c>
      <c r="Z218" s="20">
        <f>VLOOKUP(N218,'Int. Pa.'!$B$3:$C$58,2,FALSE)</f>
        <v>6</v>
      </c>
      <c r="AA218" s="20">
        <f t="shared" si="8"/>
        <v>3</v>
      </c>
      <c r="AB218" s="20">
        <f t="shared" si="9"/>
        <v>34.166666666666664</v>
      </c>
    </row>
    <row r="219" spans="1:28">
      <c r="A219" s="84">
        <v>3</v>
      </c>
      <c r="B219" s="81">
        <v>330901001</v>
      </c>
      <c r="C219" s="82" t="s">
        <v>310</v>
      </c>
      <c r="D219" s="86">
        <v>2000</v>
      </c>
      <c r="E219" s="18" t="s">
        <v>7</v>
      </c>
      <c r="F219" s="18" t="s">
        <v>2</v>
      </c>
      <c r="G219" s="18" t="s">
        <v>88</v>
      </c>
      <c r="H219" s="18" t="s">
        <v>20</v>
      </c>
      <c r="I219" s="18" t="s">
        <v>24</v>
      </c>
      <c r="J219" s="18" t="s">
        <v>35</v>
      </c>
      <c r="K219" s="18" t="s">
        <v>38</v>
      </c>
      <c r="L219" s="18" t="s">
        <v>42</v>
      </c>
      <c r="M219" s="18" t="s">
        <v>50</v>
      </c>
      <c r="N219" s="18" t="s">
        <v>66</v>
      </c>
      <c r="O219" s="20">
        <f>2013-Table1[[#This Row],[Startup Year]]</f>
        <v>13</v>
      </c>
      <c r="P219" s="20"/>
      <c r="Q219" s="20">
        <f>VLOOKUP(E219,'Int. Pa.'!$B$3:$C$58,2,FALSE)</f>
        <v>1</v>
      </c>
      <c r="R219" s="20">
        <f>VLOOKUP(F219,'Int. Pa.'!$B$3:$C$58,2,FALSE)</f>
        <v>10</v>
      </c>
      <c r="S219" s="20">
        <f>VLOOKUP(G219,'Int. Pa.'!$B$3:$C$58,2,FALSE)</f>
        <v>0</v>
      </c>
      <c r="T219" s="20">
        <f>VLOOKUP(H219,'Int. Pa.'!$B$3:$C$58,2,FALSE)</f>
        <v>1</v>
      </c>
      <c r="U219" s="20">
        <f>VLOOKUP(I219,'Int. Pa.'!$B$3:$C$58,2,FALSE)</f>
        <v>0</v>
      </c>
      <c r="V219" s="20">
        <f>VLOOKUP(J219,'Int. Pa.'!$B$3:$C$58,2,FALSE)</f>
        <v>10</v>
      </c>
      <c r="W219" s="20">
        <f>VLOOKUP(K219,'Int. Pa.'!$B$3:$C$58,2,FALSE)</f>
        <v>1</v>
      </c>
      <c r="X219" s="20">
        <f>VLOOKUP(L219,'Int. Pa.'!$B$3:$C$58,2,FALSE)</f>
        <v>1</v>
      </c>
      <c r="Y219" s="20">
        <f>VLOOKUP(M219,'Int. Pa.'!$B$3:$C$58,2,FALSE)</f>
        <v>5</v>
      </c>
      <c r="Z219" s="20">
        <f>VLOOKUP(N219,'Int. Pa.'!$B$3:$C$58,2,FALSE)</f>
        <v>6</v>
      </c>
      <c r="AA219" s="20">
        <f t="shared" si="8"/>
        <v>3</v>
      </c>
      <c r="AB219" s="20">
        <f t="shared" si="9"/>
        <v>34.166666666666664</v>
      </c>
    </row>
    <row r="220" spans="1:28">
      <c r="A220" s="80">
        <v>3</v>
      </c>
      <c r="B220" s="81">
        <v>330901002</v>
      </c>
      <c r="C220" s="82" t="s">
        <v>757</v>
      </c>
      <c r="D220" s="83">
        <v>2000</v>
      </c>
      <c r="E220" s="18" t="s">
        <v>7</v>
      </c>
      <c r="F220" s="18" t="s">
        <v>2</v>
      </c>
      <c r="G220" s="18" t="s">
        <v>88</v>
      </c>
      <c r="H220" s="18" t="s">
        <v>20</v>
      </c>
      <c r="I220" s="18" t="s">
        <v>24</v>
      </c>
      <c r="J220" s="18" t="s">
        <v>35</v>
      </c>
      <c r="K220" s="18" t="s">
        <v>38</v>
      </c>
      <c r="L220" s="18" t="s">
        <v>42</v>
      </c>
      <c r="M220" s="18" t="s">
        <v>50</v>
      </c>
      <c r="N220" s="18" t="s">
        <v>66</v>
      </c>
      <c r="O220" s="20">
        <f>2013-Table1[[#This Row],[Startup Year]]</f>
        <v>13</v>
      </c>
      <c r="P220" s="20"/>
      <c r="Q220" s="20">
        <f>VLOOKUP(E220,'Int. Pa.'!$B$3:$C$58,2,FALSE)</f>
        <v>1</v>
      </c>
      <c r="R220" s="20">
        <f>VLOOKUP(F220,'Int. Pa.'!$B$3:$C$58,2,FALSE)</f>
        <v>10</v>
      </c>
      <c r="S220" s="20">
        <f>VLOOKUP(G220,'Int. Pa.'!$B$3:$C$58,2,FALSE)</f>
        <v>0</v>
      </c>
      <c r="T220" s="20">
        <f>VLOOKUP(H220,'Int. Pa.'!$B$3:$C$58,2,FALSE)</f>
        <v>1</v>
      </c>
      <c r="U220" s="20">
        <f>VLOOKUP(I220,'Int. Pa.'!$B$3:$C$58,2,FALSE)</f>
        <v>0</v>
      </c>
      <c r="V220" s="20">
        <f>VLOOKUP(J220,'Int. Pa.'!$B$3:$C$58,2,FALSE)</f>
        <v>10</v>
      </c>
      <c r="W220" s="20">
        <f>VLOOKUP(K220,'Int. Pa.'!$B$3:$C$58,2,FALSE)</f>
        <v>1</v>
      </c>
      <c r="X220" s="20">
        <f>VLOOKUP(L220,'Int. Pa.'!$B$3:$C$58,2,FALSE)</f>
        <v>1</v>
      </c>
      <c r="Y220" s="20">
        <f>VLOOKUP(M220,'Int. Pa.'!$B$3:$C$58,2,FALSE)</f>
        <v>5</v>
      </c>
      <c r="Z220" s="20">
        <f>VLOOKUP(N220,'Int. Pa.'!$B$3:$C$58,2,FALSE)</f>
        <v>6</v>
      </c>
      <c r="AA220" s="20">
        <f t="shared" si="8"/>
        <v>3</v>
      </c>
      <c r="AB220" s="20">
        <f t="shared" si="9"/>
        <v>34.166666666666664</v>
      </c>
    </row>
    <row r="221" spans="1:28">
      <c r="A221" s="80">
        <v>3</v>
      </c>
      <c r="B221" s="81">
        <v>330901003</v>
      </c>
      <c r="C221" s="82" t="s">
        <v>759</v>
      </c>
      <c r="D221" s="83">
        <v>2000</v>
      </c>
      <c r="E221" s="18" t="s">
        <v>7</v>
      </c>
      <c r="F221" s="18" t="s">
        <v>2</v>
      </c>
      <c r="G221" s="18" t="s">
        <v>88</v>
      </c>
      <c r="H221" s="18" t="s">
        <v>20</v>
      </c>
      <c r="I221" s="18" t="s">
        <v>24</v>
      </c>
      <c r="J221" s="18" t="s">
        <v>35</v>
      </c>
      <c r="K221" s="18" t="s">
        <v>38</v>
      </c>
      <c r="L221" s="18" t="s">
        <v>42</v>
      </c>
      <c r="M221" s="18" t="s">
        <v>50</v>
      </c>
      <c r="N221" s="18" t="s">
        <v>66</v>
      </c>
      <c r="O221" s="20">
        <f>2013-Table1[[#This Row],[Startup Year]]</f>
        <v>13</v>
      </c>
      <c r="P221" s="20"/>
      <c r="Q221" s="20">
        <f>VLOOKUP(E221,'Int. Pa.'!$B$3:$C$58,2,FALSE)</f>
        <v>1</v>
      </c>
      <c r="R221" s="20">
        <f>VLOOKUP(F221,'Int. Pa.'!$B$3:$C$58,2,FALSE)</f>
        <v>10</v>
      </c>
      <c r="S221" s="20">
        <f>VLOOKUP(G221,'Int. Pa.'!$B$3:$C$58,2,FALSE)</f>
        <v>0</v>
      </c>
      <c r="T221" s="20">
        <f>VLOOKUP(H221,'Int. Pa.'!$B$3:$C$58,2,FALSE)</f>
        <v>1</v>
      </c>
      <c r="U221" s="20">
        <f>VLOOKUP(I221,'Int. Pa.'!$B$3:$C$58,2,FALSE)</f>
        <v>0</v>
      </c>
      <c r="V221" s="20">
        <f>VLOOKUP(J221,'Int. Pa.'!$B$3:$C$58,2,FALSE)</f>
        <v>10</v>
      </c>
      <c r="W221" s="20">
        <f>VLOOKUP(K221,'Int. Pa.'!$B$3:$C$58,2,FALSE)</f>
        <v>1</v>
      </c>
      <c r="X221" s="20">
        <f>VLOOKUP(L221,'Int. Pa.'!$B$3:$C$58,2,FALSE)</f>
        <v>1</v>
      </c>
      <c r="Y221" s="20">
        <f>VLOOKUP(M221,'Int. Pa.'!$B$3:$C$58,2,FALSE)</f>
        <v>5</v>
      </c>
      <c r="Z221" s="20">
        <f>VLOOKUP(N221,'Int. Pa.'!$B$3:$C$58,2,FALSE)</f>
        <v>6</v>
      </c>
      <c r="AA221" s="20">
        <f t="shared" si="8"/>
        <v>3</v>
      </c>
      <c r="AB221" s="20">
        <f t="shared" si="9"/>
        <v>34.166666666666664</v>
      </c>
    </row>
    <row r="222" spans="1:28">
      <c r="A222" s="84">
        <v>3</v>
      </c>
      <c r="B222" s="81">
        <v>340210602</v>
      </c>
      <c r="C222" s="82" t="s">
        <v>311</v>
      </c>
      <c r="D222" s="85">
        <v>2010</v>
      </c>
      <c r="E222" s="18" t="s">
        <v>7</v>
      </c>
      <c r="F222" s="18" t="s">
        <v>2</v>
      </c>
      <c r="G222" s="18" t="s">
        <v>88</v>
      </c>
      <c r="H222" s="18" t="s">
        <v>20</v>
      </c>
      <c r="I222" s="18" t="s">
        <v>24</v>
      </c>
      <c r="J222" s="18" t="s">
        <v>35</v>
      </c>
      <c r="K222" s="18" t="s">
        <v>38</v>
      </c>
      <c r="L222" s="18" t="s">
        <v>42</v>
      </c>
      <c r="M222" s="18" t="s">
        <v>50</v>
      </c>
      <c r="N222" s="18" t="s">
        <v>66</v>
      </c>
      <c r="O222" s="20">
        <f>2013-Table1[[#This Row],[Startup Year]]</f>
        <v>3</v>
      </c>
      <c r="P222" s="20"/>
      <c r="Q222" s="20">
        <f>VLOOKUP(E222,'Int. Pa.'!$B$3:$C$58,2,FALSE)</f>
        <v>1</v>
      </c>
      <c r="R222" s="20">
        <f>VLOOKUP(F222,'Int. Pa.'!$B$3:$C$58,2,FALSE)</f>
        <v>10</v>
      </c>
      <c r="S222" s="20">
        <f>VLOOKUP(G222,'Int. Pa.'!$B$3:$C$58,2,FALSE)</f>
        <v>0</v>
      </c>
      <c r="T222" s="20">
        <f>VLOOKUP(H222,'Int. Pa.'!$B$3:$C$58,2,FALSE)</f>
        <v>1</v>
      </c>
      <c r="U222" s="20">
        <f>VLOOKUP(I222,'Int. Pa.'!$B$3:$C$58,2,FALSE)</f>
        <v>0</v>
      </c>
      <c r="V222" s="20">
        <f>VLOOKUP(J222,'Int. Pa.'!$B$3:$C$58,2,FALSE)</f>
        <v>10</v>
      </c>
      <c r="W222" s="20">
        <f>VLOOKUP(K222,'Int. Pa.'!$B$3:$C$58,2,FALSE)</f>
        <v>1</v>
      </c>
      <c r="X222" s="20">
        <f>VLOOKUP(L222,'Int. Pa.'!$B$3:$C$58,2,FALSE)</f>
        <v>1</v>
      </c>
      <c r="Y222" s="20">
        <f>VLOOKUP(M222,'Int. Pa.'!$B$3:$C$58,2,FALSE)</f>
        <v>5</v>
      </c>
      <c r="Z222" s="20">
        <f>VLOOKUP(N222,'Int. Pa.'!$B$3:$C$58,2,FALSE)</f>
        <v>6</v>
      </c>
      <c r="AA222" s="20">
        <f t="shared" si="8"/>
        <v>1</v>
      </c>
      <c r="AB222" s="20">
        <f t="shared" si="9"/>
        <v>33.611111111111107</v>
      </c>
    </row>
    <row r="223" spans="1:28">
      <c r="A223" s="84">
        <v>3</v>
      </c>
      <c r="B223" s="81">
        <v>340300001</v>
      </c>
      <c r="C223" s="82" t="s">
        <v>312</v>
      </c>
      <c r="D223" s="86">
        <v>2000</v>
      </c>
      <c r="E223" s="18" t="s">
        <v>7</v>
      </c>
      <c r="F223" s="18" t="s">
        <v>2</v>
      </c>
      <c r="G223" s="18" t="s">
        <v>88</v>
      </c>
      <c r="H223" s="18" t="s">
        <v>20</v>
      </c>
      <c r="I223" s="18" t="s">
        <v>24</v>
      </c>
      <c r="J223" s="18" t="s">
        <v>35</v>
      </c>
      <c r="K223" s="18" t="s">
        <v>38</v>
      </c>
      <c r="L223" s="18" t="s">
        <v>42</v>
      </c>
      <c r="M223" s="18" t="s">
        <v>50</v>
      </c>
      <c r="N223" s="18" t="s">
        <v>66</v>
      </c>
      <c r="O223" s="20">
        <f>2013-Table1[[#This Row],[Startup Year]]</f>
        <v>13</v>
      </c>
      <c r="P223" s="20"/>
      <c r="Q223" s="20">
        <f>VLOOKUP(E223,'Int. Pa.'!$B$3:$C$58,2,FALSE)</f>
        <v>1</v>
      </c>
      <c r="R223" s="20">
        <f>VLOOKUP(F223,'Int. Pa.'!$B$3:$C$58,2,FALSE)</f>
        <v>10</v>
      </c>
      <c r="S223" s="20">
        <f>VLOOKUP(G223,'Int. Pa.'!$B$3:$C$58,2,FALSE)</f>
        <v>0</v>
      </c>
      <c r="T223" s="20">
        <f>VLOOKUP(H223,'Int. Pa.'!$B$3:$C$58,2,FALSE)</f>
        <v>1</v>
      </c>
      <c r="U223" s="20">
        <f>VLOOKUP(I223,'Int. Pa.'!$B$3:$C$58,2,FALSE)</f>
        <v>0</v>
      </c>
      <c r="V223" s="20">
        <f>VLOOKUP(J223,'Int. Pa.'!$B$3:$C$58,2,FALSE)</f>
        <v>10</v>
      </c>
      <c r="W223" s="20">
        <f>VLOOKUP(K223,'Int. Pa.'!$B$3:$C$58,2,FALSE)</f>
        <v>1</v>
      </c>
      <c r="X223" s="20">
        <f>VLOOKUP(L223,'Int. Pa.'!$B$3:$C$58,2,FALSE)</f>
        <v>1</v>
      </c>
      <c r="Y223" s="20">
        <f>VLOOKUP(M223,'Int. Pa.'!$B$3:$C$58,2,FALSE)</f>
        <v>5</v>
      </c>
      <c r="Z223" s="20">
        <f>VLOOKUP(N223,'Int. Pa.'!$B$3:$C$58,2,FALSE)</f>
        <v>6</v>
      </c>
      <c r="AA223" s="20">
        <f t="shared" si="8"/>
        <v>3</v>
      </c>
      <c r="AB223" s="20">
        <f t="shared" si="9"/>
        <v>34.166666666666664</v>
      </c>
    </row>
    <row r="224" spans="1:28">
      <c r="A224" s="84">
        <v>3</v>
      </c>
      <c r="B224" s="81">
        <v>401100001</v>
      </c>
      <c r="C224" s="82" t="s">
        <v>313</v>
      </c>
      <c r="D224" s="86">
        <v>2000</v>
      </c>
      <c r="E224" s="18" t="s">
        <v>7</v>
      </c>
      <c r="F224" s="18" t="s">
        <v>2</v>
      </c>
      <c r="G224" s="18" t="s">
        <v>88</v>
      </c>
      <c r="H224" s="18" t="s">
        <v>20</v>
      </c>
      <c r="I224" s="18" t="s">
        <v>24</v>
      </c>
      <c r="J224" s="18" t="s">
        <v>35</v>
      </c>
      <c r="K224" s="18" t="s">
        <v>38</v>
      </c>
      <c r="L224" s="18" t="s">
        <v>42</v>
      </c>
      <c r="M224" s="18" t="s">
        <v>50</v>
      </c>
      <c r="N224" s="18" t="s">
        <v>66</v>
      </c>
      <c r="O224" s="20">
        <f>2013-Table1[[#This Row],[Startup Year]]</f>
        <v>13</v>
      </c>
      <c r="P224" s="20"/>
      <c r="Q224" s="20">
        <f>VLOOKUP(E224,'Int. Pa.'!$B$3:$C$58,2,FALSE)</f>
        <v>1</v>
      </c>
      <c r="R224" s="20">
        <f>VLOOKUP(F224,'Int. Pa.'!$B$3:$C$58,2,FALSE)</f>
        <v>10</v>
      </c>
      <c r="S224" s="20">
        <f>VLOOKUP(G224,'Int. Pa.'!$B$3:$C$58,2,FALSE)</f>
        <v>0</v>
      </c>
      <c r="T224" s="20">
        <f>VLOOKUP(H224,'Int. Pa.'!$B$3:$C$58,2,FALSE)</f>
        <v>1</v>
      </c>
      <c r="U224" s="20">
        <f>VLOOKUP(I224,'Int. Pa.'!$B$3:$C$58,2,FALSE)</f>
        <v>0</v>
      </c>
      <c r="V224" s="20">
        <f>VLOOKUP(J224,'Int. Pa.'!$B$3:$C$58,2,FALSE)</f>
        <v>10</v>
      </c>
      <c r="W224" s="20">
        <f>VLOOKUP(K224,'Int. Pa.'!$B$3:$C$58,2,FALSE)</f>
        <v>1</v>
      </c>
      <c r="X224" s="20">
        <f>VLOOKUP(L224,'Int. Pa.'!$B$3:$C$58,2,FALSE)</f>
        <v>1</v>
      </c>
      <c r="Y224" s="20">
        <f>VLOOKUP(M224,'Int. Pa.'!$B$3:$C$58,2,FALSE)</f>
        <v>5</v>
      </c>
      <c r="Z224" s="20">
        <f>VLOOKUP(N224,'Int. Pa.'!$B$3:$C$58,2,FALSE)</f>
        <v>6</v>
      </c>
      <c r="AA224" s="20">
        <f t="shared" si="8"/>
        <v>3</v>
      </c>
      <c r="AB224" s="20">
        <f t="shared" si="9"/>
        <v>34.166666666666664</v>
      </c>
    </row>
    <row r="225" spans="1:28">
      <c r="A225" s="84">
        <v>3</v>
      </c>
      <c r="B225" s="81">
        <v>401110001</v>
      </c>
      <c r="C225" s="82" t="s">
        <v>314</v>
      </c>
      <c r="D225" s="86">
        <v>2000</v>
      </c>
      <c r="E225" s="18" t="s">
        <v>7</v>
      </c>
      <c r="F225" s="18" t="s">
        <v>2</v>
      </c>
      <c r="G225" s="18" t="s">
        <v>88</v>
      </c>
      <c r="H225" s="18" t="s">
        <v>20</v>
      </c>
      <c r="I225" s="18" t="s">
        <v>24</v>
      </c>
      <c r="J225" s="18" t="s">
        <v>35</v>
      </c>
      <c r="K225" s="18" t="s">
        <v>38</v>
      </c>
      <c r="L225" s="18" t="s">
        <v>42</v>
      </c>
      <c r="M225" s="18" t="s">
        <v>50</v>
      </c>
      <c r="N225" s="18" t="s">
        <v>66</v>
      </c>
      <c r="O225" s="20">
        <f>2013-Table1[[#This Row],[Startup Year]]</f>
        <v>13</v>
      </c>
      <c r="P225" s="20"/>
      <c r="Q225" s="20">
        <f>VLOOKUP(E225,'Int. Pa.'!$B$3:$C$58,2,FALSE)</f>
        <v>1</v>
      </c>
      <c r="R225" s="20">
        <f>VLOOKUP(F225,'Int. Pa.'!$B$3:$C$58,2,FALSE)</f>
        <v>10</v>
      </c>
      <c r="S225" s="20">
        <f>VLOOKUP(G225,'Int. Pa.'!$B$3:$C$58,2,FALSE)</f>
        <v>0</v>
      </c>
      <c r="T225" s="20">
        <f>VLOOKUP(H225,'Int. Pa.'!$B$3:$C$58,2,FALSE)</f>
        <v>1</v>
      </c>
      <c r="U225" s="20">
        <f>VLOOKUP(I225,'Int. Pa.'!$B$3:$C$58,2,FALSE)</f>
        <v>0</v>
      </c>
      <c r="V225" s="20">
        <f>VLOOKUP(J225,'Int. Pa.'!$B$3:$C$58,2,FALSE)</f>
        <v>10</v>
      </c>
      <c r="W225" s="20">
        <f>VLOOKUP(K225,'Int. Pa.'!$B$3:$C$58,2,FALSE)</f>
        <v>1</v>
      </c>
      <c r="X225" s="20">
        <f>VLOOKUP(L225,'Int. Pa.'!$B$3:$C$58,2,FALSE)</f>
        <v>1</v>
      </c>
      <c r="Y225" s="20">
        <f>VLOOKUP(M225,'Int. Pa.'!$B$3:$C$58,2,FALSE)</f>
        <v>5</v>
      </c>
      <c r="Z225" s="20">
        <f>VLOOKUP(N225,'Int. Pa.'!$B$3:$C$58,2,FALSE)</f>
        <v>6</v>
      </c>
      <c r="AA225" s="20">
        <f t="shared" si="8"/>
        <v>3</v>
      </c>
      <c r="AB225" s="20">
        <f t="shared" si="9"/>
        <v>34.166666666666664</v>
      </c>
    </row>
    <row r="226" spans="1:28">
      <c r="A226" s="80">
        <v>5</v>
      </c>
      <c r="B226" s="81">
        <v>41041</v>
      </c>
      <c r="C226" s="82" t="s">
        <v>771</v>
      </c>
      <c r="D226" s="83">
        <v>2000</v>
      </c>
      <c r="E226" s="18" t="s">
        <v>7</v>
      </c>
      <c r="F226" s="18" t="s">
        <v>2</v>
      </c>
      <c r="G226" s="18" t="s">
        <v>88</v>
      </c>
      <c r="H226" s="18" t="s">
        <v>20</v>
      </c>
      <c r="I226" s="18" t="s">
        <v>24</v>
      </c>
      <c r="J226" s="18" t="s">
        <v>35</v>
      </c>
      <c r="K226" s="18" t="s">
        <v>38</v>
      </c>
      <c r="L226" s="18" t="s">
        <v>42</v>
      </c>
      <c r="M226" s="18" t="s">
        <v>50</v>
      </c>
      <c r="N226" s="18" t="s">
        <v>66</v>
      </c>
      <c r="O226" s="20">
        <f>2013-Table1[[#This Row],[Startup Year]]</f>
        <v>13</v>
      </c>
      <c r="P226" s="20"/>
      <c r="Q226" s="20">
        <f>VLOOKUP(E226,'Int. Pa.'!$B$3:$C$58,2,FALSE)</f>
        <v>1</v>
      </c>
      <c r="R226" s="20">
        <f>VLOOKUP(F226,'Int. Pa.'!$B$3:$C$58,2,FALSE)</f>
        <v>10</v>
      </c>
      <c r="S226" s="20">
        <f>VLOOKUP(G226,'Int. Pa.'!$B$3:$C$58,2,FALSE)</f>
        <v>0</v>
      </c>
      <c r="T226" s="20">
        <f>VLOOKUP(H226,'Int. Pa.'!$B$3:$C$58,2,FALSE)</f>
        <v>1</v>
      </c>
      <c r="U226" s="20">
        <f>VLOOKUP(I226,'Int. Pa.'!$B$3:$C$58,2,FALSE)</f>
        <v>0</v>
      </c>
      <c r="V226" s="20">
        <f>VLOOKUP(J226,'Int. Pa.'!$B$3:$C$58,2,FALSE)</f>
        <v>10</v>
      </c>
      <c r="W226" s="20">
        <f>VLOOKUP(K226,'Int. Pa.'!$B$3:$C$58,2,FALSE)</f>
        <v>1</v>
      </c>
      <c r="X226" s="20">
        <f>VLOOKUP(L226,'Int. Pa.'!$B$3:$C$58,2,FALSE)</f>
        <v>1</v>
      </c>
      <c r="Y226" s="20">
        <f>VLOOKUP(M226,'Int. Pa.'!$B$3:$C$58,2,FALSE)</f>
        <v>5</v>
      </c>
      <c r="Z226" s="20">
        <f>VLOOKUP(N226,'Int. Pa.'!$B$3:$C$58,2,FALSE)</f>
        <v>6</v>
      </c>
      <c r="AA226" s="20">
        <f t="shared" si="8"/>
        <v>3</v>
      </c>
      <c r="AB226" s="20">
        <f t="shared" si="9"/>
        <v>34.166666666666664</v>
      </c>
    </row>
    <row r="227" spans="1:28">
      <c r="A227" s="84">
        <v>5</v>
      </c>
      <c r="B227" s="81">
        <v>410101</v>
      </c>
      <c r="C227" s="82" t="s">
        <v>315</v>
      </c>
      <c r="D227" s="85">
        <v>2000</v>
      </c>
      <c r="E227" s="18" t="s">
        <v>7</v>
      </c>
      <c r="F227" s="18" t="s">
        <v>2</v>
      </c>
      <c r="G227" s="18" t="s">
        <v>88</v>
      </c>
      <c r="H227" s="18" t="s">
        <v>20</v>
      </c>
      <c r="I227" s="18" t="s">
        <v>24</v>
      </c>
      <c r="J227" s="18" t="s">
        <v>35</v>
      </c>
      <c r="K227" s="18" t="s">
        <v>38</v>
      </c>
      <c r="L227" s="18" t="s">
        <v>42</v>
      </c>
      <c r="M227" s="18" t="s">
        <v>50</v>
      </c>
      <c r="N227" s="18" t="s">
        <v>66</v>
      </c>
      <c r="O227" s="20">
        <f>2013-Table1[[#This Row],[Startup Year]]</f>
        <v>13</v>
      </c>
      <c r="P227" s="20"/>
      <c r="Q227" s="20">
        <f>VLOOKUP(E227,'Int. Pa.'!$B$3:$C$58,2,FALSE)</f>
        <v>1</v>
      </c>
      <c r="R227" s="20">
        <f>VLOOKUP(F227,'Int. Pa.'!$B$3:$C$58,2,FALSE)</f>
        <v>10</v>
      </c>
      <c r="S227" s="20">
        <f>VLOOKUP(G227,'Int. Pa.'!$B$3:$C$58,2,FALSE)</f>
        <v>0</v>
      </c>
      <c r="T227" s="20">
        <f>VLOOKUP(H227,'Int. Pa.'!$B$3:$C$58,2,FALSE)</f>
        <v>1</v>
      </c>
      <c r="U227" s="20">
        <f>VLOOKUP(I227,'Int. Pa.'!$B$3:$C$58,2,FALSE)</f>
        <v>0</v>
      </c>
      <c r="V227" s="20">
        <f>VLOOKUP(J227,'Int. Pa.'!$B$3:$C$58,2,FALSE)</f>
        <v>10</v>
      </c>
      <c r="W227" s="20">
        <f>VLOOKUP(K227,'Int. Pa.'!$B$3:$C$58,2,FALSE)</f>
        <v>1</v>
      </c>
      <c r="X227" s="20">
        <f>VLOOKUP(L227,'Int. Pa.'!$B$3:$C$58,2,FALSE)</f>
        <v>1</v>
      </c>
      <c r="Y227" s="20">
        <f>VLOOKUP(M227,'Int. Pa.'!$B$3:$C$58,2,FALSE)</f>
        <v>5</v>
      </c>
      <c r="Z227" s="20">
        <f>VLOOKUP(N227,'Int. Pa.'!$B$3:$C$58,2,FALSE)</f>
        <v>6</v>
      </c>
      <c r="AA227" s="20">
        <f t="shared" si="8"/>
        <v>3</v>
      </c>
      <c r="AB227" s="20">
        <f t="shared" si="9"/>
        <v>34.166666666666664</v>
      </c>
    </row>
    <row r="228" spans="1:28">
      <c r="A228" s="80">
        <v>5</v>
      </c>
      <c r="B228" s="81">
        <v>41010101</v>
      </c>
      <c r="C228" s="82" t="s">
        <v>773</v>
      </c>
      <c r="D228" s="83">
        <v>2000</v>
      </c>
      <c r="E228" s="18" t="s">
        <v>7</v>
      </c>
      <c r="F228" s="18" t="s">
        <v>2</v>
      </c>
      <c r="G228" s="18" t="s">
        <v>88</v>
      </c>
      <c r="H228" s="18" t="s">
        <v>20</v>
      </c>
      <c r="I228" s="18" t="s">
        <v>24</v>
      </c>
      <c r="J228" s="18" t="s">
        <v>35</v>
      </c>
      <c r="K228" s="18" t="s">
        <v>38</v>
      </c>
      <c r="L228" s="18" t="s">
        <v>42</v>
      </c>
      <c r="M228" s="18" t="s">
        <v>50</v>
      </c>
      <c r="N228" s="18" t="s">
        <v>66</v>
      </c>
      <c r="O228" s="20">
        <f>2013-Table1[[#This Row],[Startup Year]]</f>
        <v>13</v>
      </c>
      <c r="P228" s="20"/>
      <c r="Q228" s="20">
        <f>VLOOKUP(E228,'Int. Pa.'!$B$3:$C$58,2,FALSE)</f>
        <v>1</v>
      </c>
      <c r="R228" s="20">
        <f>VLOOKUP(F228,'Int. Pa.'!$B$3:$C$58,2,FALSE)</f>
        <v>10</v>
      </c>
      <c r="S228" s="20">
        <f>VLOOKUP(G228,'Int. Pa.'!$B$3:$C$58,2,FALSE)</f>
        <v>0</v>
      </c>
      <c r="T228" s="20">
        <f>VLOOKUP(H228,'Int. Pa.'!$B$3:$C$58,2,FALSE)</f>
        <v>1</v>
      </c>
      <c r="U228" s="20">
        <f>VLOOKUP(I228,'Int. Pa.'!$B$3:$C$58,2,FALSE)</f>
        <v>0</v>
      </c>
      <c r="V228" s="20">
        <f>VLOOKUP(J228,'Int. Pa.'!$B$3:$C$58,2,FALSE)</f>
        <v>10</v>
      </c>
      <c r="W228" s="20">
        <f>VLOOKUP(K228,'Int. Pa.'!$B$3:$C$58,2,FALSE)</f>
        <v>1</v>
      </c>
      <c r="X228" s="20">
        <f>VLOOKUP(L228,'Int. Pa.'!$B$3:$C$58,2,FALSE)</f>
        <v>1</v>
      </c>
      <c r="Y228" s="20">
        <f>VLOOKUP(M228,'Int. Pa.'!$B$3:$C$58,2,FALSE)</f>
        <v>5</v>
      </c>
      <c r="Z228" s="20">
        <f>VLOOKUP(N228,'Int. Pa.'!$B$3:$C$58,2,FALSE)</f>
        <v>6</v>
      </c>
      <c r="AA228" s="20">
        <f t="shared" si="8"/>
        <v>3</v>
      </c>
      <c r="AB228" s="20">
        <f t="shared" si="9"/>
        <v>34.166666666666664</v>
      </c>
    </row>
    <row r="229" spans="1:28" ht="25.5">
      <c r="A229" s="84">
        <v>5</v>
      </c>
      <c r="B229" s="81">
        <v>410102</v>
      </c>
      <c r="C229" s="82" t="s">
        <v>316</v>
      </c>
      <c r="D229" s="85">
        <v>2000</v>
      </c>
      <c r="E229" s="18" t="s">
        <v>7</v>
      </c>
      <c r="F229" s="18" t="s">
        <v>2</v>
      </c>
      <c r="G229" s="18" t="s">
        <v>88</v>
      </c>
      <c r="H229" s="18" t="s">
        <v>20</v>
      </c>
      <c r="I229" s="18" t="s">
        <v>24</v>
      </c>
      <c r="J229" s="18" t="s">
        <v>35</v>
      </c>
      <c r="K229" s="18" t="s">
        <v>38</v>
      </c>
      <c r="L229" s="18" t="s">
        <v>42</v>
      </c>
      <c r="M229" s="18" t="s">
        <v>50</v>
      </c>
      <c r="N229" s="18" t="s">
        <v>66</v>
      </c>
      <c r="O229" s="20">
        <f>2013-Table1[[#This Row],[Startup Year]]</f>
        <v>13</v>
      </c>
      <c r="P229" s="20"/>
      <c r="Q229" s="20">
        <f>VLOOKUP(E229,'Int. Pa.'!$B$3:$C$58,2,FALSE)</f>
        <v>1</v>
      </c>
      <c r="R229" s="20">
        <f>VLOOKUP(F229,'Int. Pa.'!$B$3:$C$58,2,FALSE)</f>
        <v>10</v>
      </c>
      <c r="S229" s="20">
        <f>VLOOKUP(G229,'Int. Pa.'!$B$3:$C$58,2,FALSE)</f>
        <v>0</v>
      </c>
      <c r="T229" s="20">
        <f>VLOOKUP(H229,'Int. Pa.'!$B$3:$C$58,2,FALSE)</f>
        <v>1</v>
      </c>
      <c r="U229" s="20">
        <f>VLOOKUP(I229,'Int. Pa.'!$B$3:$C$58,2,FALSE)</f>
        <v>0</v>
      </c>
      <c r="V229" s="20">
        <f>VLOOKUP(J229,'Int. Pa.'!$B$3:$C$58,2,FALSE)</f>
        <v>10</v>
      </c>
      <c r="W229" s="20">
        <f>VLOOKUP(K229,'Int. Pa.'!$B$3:$C$58,2,FALSE)</f>
        <v>1</v>
      </c>
      <c r="X229" s="20">
        <f>VLOOKUP(L229,'Int. Pa.'!$B$3:$C$58,2,FALSE)</f>
        <v>1</v>
      </c>
      <c r="Y229" s="20">
        <f>VLOOKUP(M229,'Int. Pa.'!$B$3:$C$58,2,FALSE)</f>
        <v>5</v>
      </c>
      <c r="Z229" s="20">
        <f>VLOOKUP(N229,'Int. Pa.'!$B$3:$C$58,2,FALSE)</f>
        <v>6</v>
      </c>
      <c r="AA229" s="20">
        <f t="shared" si="8"/>
        <v>3</v>
      </c>
      <c r="AB229" s="20">
        <f t="shared" si="9"/>
        <v>34.166666666666664</v>
      </c>
    </row>
    <row r="230" spans="1:28">
      <c r="A230" s="84">
        <v>5</v>
      </c>
      <c r="B230" s="81">
        <v>41010201</v>
      </c>
      <c r="C230" s="82" t="s">
        <v>317</v>
      </c>
      <c r="D230" s="85">
        <v>2000</v>
      </c>
      <c r="E230" s="18" t="s">
        <v>7</v>
      </c>
      <c r="F230" s="18" t="s">
        <v>2</v>
      </c>
      <c r="G230" s="18" t="s">
        <v>88</v>
      </c>
      <c r="H230" s="18" t="s">
        <v>20</v>
      </c>
      <c r="I230" s="18" t="s">
        <v>24</v>
      </c>
      <c r="J230" s="18" t="s">
        <v>35</v>
      </c>
      <c r="K230" s="18" t="s">
        <v>38</v>
      </c>
      <c r="L230" s="18" t="s">
        <v>42</v>
      </c>
      <c r="M230" s="18" t="s">
        <v>50</v>
      </c>
      <c r="N230" s="18" t="s">
        <v>66</v>
      </c>
      <c r="O230" s="20">
        <f>2013-Table1[[#This Row],[Startup Year]]</f>
        <v>13</v>
      </c>
      <c r="P230" s="20"/>
      <c r="Q230" s="20">
        <f>VLOOKUP(E230,'Int. Pa.'!$B$3:$C$58,2,FALSE)</f>
        <v>1</v>
      </c>
      <c r="R230" s="20">
        <f>VLOOKUP(F230,'Int. Pa.'!$B$3:$C$58,2,FALSE)</f>
        <v>10</v>
      </c>
      <c r="S230" s="20">
        <f>VLOOKUP(G230,'Int. Pa.'!$B$3:$C$58,2,FALSE)</f>
        <v>0</v>
      </c>
      <c r="T230" s="20">
        <f>VLOOKUP(H230,'Int. Pa.'!$B$3:$C$58,2,FALSE)</f>
        <v>1</v>
      </c>
      <c r="U230" s="20">
        <f>VLOOKUP(I230,'Int. Pa.'!$B$3:$C$58,2,FALSE)</f>
        <v>0</v>
      </c>
      <c r="V230" s="20">
        <f>VLOOKUP(J230,'Int. Pa.'!$B$3:$C$58,2,FALSE)</f>
        <v>10</v>
      </c>
      <c r="W230" s="20">
        <f>VLOOKUP(K230,'Int. Pa.'!$B$3:$C$58,2,FALSE)</f>
        <v>1</v>
      </c>
      <c r="X230" s="20">
        <f>VLOOKUP(L230,'Int. Pa.'!$B$3:$C$58,2,FALSE)</f>
        <v>1</v>
      </c>
      <c r="Y230" s="20">
        <f>VLOOKUP(M230,'Int. Pa.'!$B$3:$C$58,2,FALSE)</f>
        <v>5</v>
      </c>
      <c r="Z230" s="20">
        <f>VLOOKUP(N230,'Int. Pa.'!$B$3:$C$58,2,FALSE)</f>
        <v>6</v>
      </c>
      <c r="AA230" s="20">
        <f t="shared" si="8"/>
        <v>3</v>
      </c>
      <c r="AB230" s="20">
        <f t="shared" si="9"/>
        <v>34.166666666666664</v>
      </c>
    </row>
    <row r="231" spans="1:28">
      <c r="A231" s="84">
        <v>5</v>
      </c>
      <c r="B231" s="81">
        <v>41010202</v>
      </c>
      <c r="C231" s="82" t="s">
        <v>318</v>
      </c>
      <c r="D231" s="85">
        <v>2000</v>
      </c>
      <c r="E231" s="18" t="s">
        <v>7</v>
      </c>
      <c r="F231" s="18" t="s">
        <v>2</v>
      </c>
      <c r="G231" s="18" t="s">
        <v>88</v>
      </c>
      <c r="H231" s="18" t="s">
        <v>20</v>
      </c>
      <c r="I231" s="18" t="s">
        <v>24</v>
      </c>
      <c r="J231" s="18" t="s">
        <v>35</v>
      </c>
      <c r="K231" s="18" t="s">
        <v>38</v>
      </c>
      <c r="L231" s="18" t="s">
        <v>42</v>
      </c>
      <c r="M231" s="18" t="s">
        <v>50</v>
      </c>
      <c r="N231" s="18" t="s">
        <v>66</v>
      </c>
      <c r="O231" s="20">
        <f>2013-Table1[[#This Row],[Startup Year]]</f>
        <v>13</v>
      </c>
      <c r="P231" s="20"/>
      <c r="Q231" s="20">
        <f>VLOOKUP(E231,'Int. Pa.'!$B$3:$C$58,2,FALSE)</f>
        <v>1</v>
      </c>
      <c r="R231" s="20">
        <f>VLOOKUP(F231,'Int. Pa.'!$B$3:$C$58,2,FALSE)</f>
        <v>10</v>
      </c>
      <c r="S231" s="20">
        <f>VLOOKUP(G231,'Int. Pa.'!$B$3:$C$58,2,FALSE)</f>
        <v>0</v>
      </c>
      <c r="T231" s="20">
        <f>VLOOKUP(H231,'Int. Pa.'!$B$3:$C$58,2,FALSE)</f>
        <v>1</v>
      </c>
      <c r="U231" s="20">
        <f>VLOOKUP(I231,'Int. Pa.'!$B$3:$C$58,2,FALSE)</f>
        <v>0</v>
      </c>
      <c r="V231" s="20">
        <f>VLOOKUP(J231,'Int. Pa.'!$B$3:$C$58,2,FALSE)</f>
        <v>10</v>
      </c>
      <c r="W231" s="20">
        <f>VLOOKUP(K231,'Int. Pa.'!$B$3:$C$58,2,FALSE)</f>
        <v>1</v>
      </c>
      <c r="X231" s="20">
        <f>VLOOKUP(L231,'Int. Pa.'!$B$3:$C$58,2,FALSE)</f>
        <v>1</v>
      </c>
      <c r="Y231" s="20">
        <f>VLOOKUP(M231,'Int. Pa.'!$B$3:$C$58,2,FALSE)</f>
        <v>5</v>
      </c>
      <c r="Z231" s="20">
        <f>VLOOKUP(N231,'Int. Pa.'!$B$3:$C$58,2,FALSE)</f>
        <v>6</v>
      </c>
      <c r="AA231" s="20">
        <f t="shared" si="8"/>
        <v>3</v>
      </c>
      <c r="AB231" s="20">
        <f t="shared" si="9"/>
        <v>34.166666666666664</v>
      </c>
    </row>
    <row r="232" spans="1:28">
      <c r="A232" s="84">
        <v>5</v>
      </c>
      <c r="B232" s="81">
        <v>41010203</v>
      </c>
      <c r="C232" s="82" t="s">
        <v>319</v>
      </c>
      <c r="D232" s="85">
        <v>2000</v>
      </c>
      <c r="E232" s="18" t="s">
        <v>7</v>
      </c>
      <c r="F232" s="18" t="s">
        <v>2</v>
      </c>
      <c r="G232" s="18" t="s">
        <v>88</v>
      </c>
      <c r="H232" s="18" t="s">
        <v>20</v>
      </c>
      <c r="I232" s="18" t="s">
        <v>24</v>
      </c>
      <c r="J232" s="18" t="s">
        <v>35</v>
      </c>
      <c r="K232" s="18" t="s">
        <v>38</v>
      </c>
      <c r="L232" s="18" t="s">
        <v>42</v>
      </c>
      <c r="M232" s="18" t="s">
        <v>50</v>
      </c>
      <c r="N232" s="18" t="s">
        <v>66</v>
      </c>
      <c r="O232" s="20">
        <f>2013-Table1[[#This Row],[Startup Year]]</f>
        <v>13</v>
      </c>
      <c r="P232" s="20"/>
      <c r="Q232" s="20">
        <f>VLOOKUP(E232,'Int. Pa.'!$B$3:$C$58,2,FALSE)</f>
        <v>1</v>
      </c>
      <c r="R232" s="20">
        <f>VLOOKUP(F232,'Int. Pa.'!$B$3:$C$58,2,FALSE)</f>
        <v>10</v>
      </c>
      <c r="S232" s="20">
        <f>VLOOKUP(G232,'Int. Pa.'!$B$3:$C$58,2,FALSE)</f>
        <v>0</v>
      </c>
      <c r="T232" s="20">
        <f>VLOOKUP(H232,'Int. Pa.'!$B$3:$C$58,2,FALSE)</f>
        <v>1</v>
      </c>
      <c r="U232" s="20">
        <f>VLOOKUP(I232,'Int. Pa.'!$B$3:$C$58,2,FALSE)</f>
        <v>0</v>
      </c>
      <c r="V232" s="20">
        <f>VLOOKUP(J232,'Int. Pa.'!$B$3:$C$58,2,FALSE)</f>
        <v>10</v>
      </c>
      <c r="W232" s="20">
        <f>VLOOKUP(K232,'Int. Pa.'!$B$3:$C$58,2,FALSE)</f>
        <v>1</v>
      </c>
      <c r="X232" s="20">
        <f>VLOOKUP(L232,'Int. Pa.'!$B$3:$C$58,2,FALSE)</f>
        <v>1</v>
      </c>
      <c r="Y232" s="20">
        <f>VLOOKUP(M232,'Int. Pa.'!$B$3:$C$58,2,FALSE)</f>
        <v>5</v>
      </c>
      <c r="Z232" s="20">
        <f>VLOOKUP(N232,'Int. Pa.'!$B$3:$C$58,2,FALSE)</f>
        <v>6</v>
      </c>
      <c r="AA232" s="20">
        <f t="shared" si="8"/>
        <v>3</v>
      </c>
      <c r="AB232" s="20">
        <f t="shared" si="9"/>
        <v>34.166666666666664</v>
      </c>
    </row>
    <row r="233" spans="1:28">
      <c r="A233" s="84">
        <v>5</v>
      </c>
      <c r="B233" s="81">
        <v>41010204</v>
      </c>
      <c r="C233" s="82" t="s">
        <v>320</v>
      </c>
      <c r="D233" s="85">
        <v>2000</v>
      </c>
      <c r="E233" s="18" t="s">
        <v>7</v>
      </c>
      <c r="F233" s="18" t="s">
        <v>2</v>
      </c>
      <c r="G233" s="18" t="s">
        <v>88</v>
      </c>
      <c r="H233" s="18" t="s">
        <v>20</v>
      </c>
      <c r="I233" s="18" t="s">
        <v>24</v>
      </c>
      <c r="J233" s="18" t="s">
        <v>35</v>
      </c>
      <c r="K233" s="18" t="s">
        <v>38</v>
      </c>
      <c r="L233" s="18" t="s">
        <v>42</v>
      </c>
      <c r="M233" s="18" t="s">
        <v>50</v>
      </c>
      <c r="N233" s="18" t="s">
        <v>66</v>
      </c>
      <c r="O233" s="20">
        <f>2013-Table1[[#This Row],[Startup Year]]</f>
        <v>13</v>
      </c>
      <c r="P233" s="20"/>
      <c r="Q233" s="20">
        <f>VLOOKUP(E233,'Int. Pa.'!$B$3:$C$58,2,FALSE)</f>
        <v>1</v>
      </c>
      <c r="R233" s="20">
        <f>VLOOKUP(F233,'Int. Pa.'!$B$3:$C$58,2,FALSE)</f>
        <v>10</v>
      </c>
      <c r="S233" s="20">
        <f>VLOOKUP(G233,'Int. Pa.'!$B$3:$C$58,2,FALSE)</f>
        <v>0</v>
      </c>
      <c r="T233" s="20">
        <f>VLOOKUP(H233,'Int. Pa.'!$B$3:$C$58,2,FALSE)</f>
        <v>1</v>
      </c>
      <c r="U233" s="20">
        <f>VLOOKUP(I233,'Int. Pa.'!$B$3:$C$58,2,FALSE)</f>
        <v>0</v>
      </c>
      <c r="V233" s="20">
        <f>VLOOKUP(J233,'Int. Pa.'!$B$3:$C$58,2,FALSE)</f>
        <v>10</v>
      </c>
      <c r="W233" s="20">
        <f>VLOOKUP(K233,'Int. Pa.'!$B$3:$C$58,2,FALSE)</f>
        <v>1</v>
      </c>
      <c r="X233" s="20">
        <f>VLOOKUP(L233,'Int. Pa.'!$B$3:$C$58,2,FALSE)</f>
        <v>1</v>
      </c>
      <c r="Y233" s="20">
        <f>VLOOKUP(M233,'Int. Pa.'!$B$3:$C$58,2,FALSE)</f>
        <v>5</v>
      </c>
      <c r="Z233" s="20">
        <f>VLOOKUP(N233,'Int. Pa.'!$B$3:$C$58,2,FALSE)</f>
        <v>6</v>
      </c>
      <c r="AA233" s="20">
        <f t="shared" si="8"/>
        <v>3</v>
      </c>
      <c r="AB233" s="20">
        <f t="shared" si="9"/>
        <v>34.166666666666664</v>
      </c>
    </row>
    <row r="234" spans="1:28">
      <c r="A234" s="80">
        <v>5</v>
      </c>
      <c r="B234" s="81">
        <v>410300001</v>
      </c>
      <c r="C234" s="82" t="s">
        <v>775</v>
      </c>
      <c r="D234" s="83">
        <v>2000</v>
      </c>
      <c r="E234" s="18" t="s">
        <v>7</v>
      </c>
      <c r="F234" s="18" t="s">
        <v>2</v>
      </c>
      <c r="G234" s="18" t="s">
        <v>88</v>
      </c>
      <c r="H234" s="18" t="s">
        <v>20</v>
      </c>
      <c r="I234" s="18" t="s">
        <v>24</v>
      </c>
      <c r="J234" s="18" t="s">
        <v>35</v>
      </c>
      <c r="K234" s="18" t="s">
        <v>38</v>
      </c>
      <c r="L234" s="18" t="s">
        <v>42</v>
      </c>
      <c r="M234" s="18" t="s">
        <v>50</v>
      </c>
      <c r="N234" s="18" t="s">
        <v>66</v>
      </c>
      <c r="O234" s="20">
        <f>2013-Table1[[#This Row],[Startup Year]]</f>
        <v>13</v>
      </c>
      <c r="P234" s="20"/>
      <c r="Q234" s="20">
        <f>VLOOKUP(E234,'Int. Pa.'!$B$3:$C$58,2,FALSE)</f>
        <v>1</v>
      </c>
      <c r="R234" s="20">
        <f>VLOOKUP(F234,'Int. Pa.'!$B$3:$C$58,2,FALSE)</f>
        <v>10</v>
      </c>
      <c r="S234" s="20">
        <f>VLOOKUP(G234,'Int. Pa.'!$B$3:$C$58,2,FALSE)</f>
        <v>0</v>
      </c>
      <c r="T234" s="20">
        <f>VLOOKUP(H234,'Int. Pa.'!$B$3:$C$58,2,FALSE)</f>
        <v>1</v>
      </c>
      <c r="U234" s="20">
        <f>VLOOKUP(I234,'Int. Pa.'!$B$3:$C$58,2,FALSE)</f>
        <v>0</v>
      </c>
      <c r="V234" s="20">
        <f>VLOOKUP(J234,'Int. Pa.'!$B$3:$C$58,2,FALSE)</f>
        <v>10</v>
      </c>
      <c r="W234" s="20">
        <f>VLOOKUP(K234,'Int. Pa.'!$B$3:$C$58,2,FALSE)</f>
        <v>1</v>
      </c>
      <c r="X234" s="20">
        <f>VLOOKUP(L234,'Int. Pa.'!$B$3:$C$58,2,FALSE)</f>
        <v>1</v>
      </c>
      <c r="Y234" s="20">
        <f>VLOOKUP(M234,'Int. Pa.'!$B$3:$C$58,2,FALSE)</f>
        <v>5</v>
      </c>
      <c r="Z234" s="20">
        <f>VLOOKUP(N234,'Int. Pa.'!$B$3:$C$58,2,FALSE)</f>
        <v>6</v>
      </c>
      <c r="AA234" s="20">
        <f t="shared" si="8"/>
        <v>3</v>
      </c>
      <c r="AB234" s="20">
        <f t="shared" si="9"/>
        <v>34.166666666666664</v>
      </c>
    </row>
    <row r="235" spans="1:28">
      <c r="A235" s="84">
        <v>5</v>
      </c>
      <c r="B235" s="81">
        <v>401201002</v>
      </c>
      <c r="C235" s="82" t="s">
        <v>321</v>
      </c>
      <c r="D235" s="85">
        <v>2000</v>
      </c>
      <c r="E235" s="18" t="s">
        <v>7</v>
      </c>
      <c r="F235" s="18" t="s">
        <v>2</v>
      </c>
      <c r="G235" s="18" t="s">
        <v>88</v>
      </c>
      <c r="H235" s="18" t="s">
        <v>20</v>
      </c>
      <c r="I235" s="18" t="s">
        <v>24</v>
      </c>
      <c r="J235" s="18" t="s">
        <v>35</v>
      </c>
      <c r="K235" s="18" t="s">
        <v>38</v>
      </c>
      <c r="L235" s="18" t="s">
        <v>42</v>
      </c>
      <c r="M235" s="18" t="s">
        <v>50</v>
      </c>
      <c r="N235" s="18" t="s">
        <v>66</v>
      </c>
      <c r="O235" s="20">
        <f>2013-Table1[[#This Row],[Startup Year]]</f>
        <v>13</v>
      </c>
      <c r="P235" s="20"/>
      <c r="Q235" s="20">
        <f>VLOOKUP(E235,'Int. Pa.'!$B$3:$C$58,2,FALSE)</f>
        <v>1</v>
      </c>
      <c r="R235" s="20">
        <f>VLOOKUP(F235,'Int. Pa.'!$B$3:$C$58,2,FALSE)</f>
        <v>10</v>
      </c>
      <c r="S235" s="20">
        <f>VLOOKUP(G235,'Int. Pa.'!$B$3:$C$58,2,FALSE)</f>
        <v>0</v>
      </c>
      <c r="T235" s="20">
        <f>VLOOKUP(H235,'Int. Pa.'!$B$3:$C$58,2,FALSE)</f>
        <v>1</v>
      </c>
      <c r="U235" s="20">
        <f>VLOOKUP(I235,'Int. Pa.'!$B$3:$C$58,2,FALSE)</f>
        <v>0</v>
      </c>
      <c r="V235" s="20">
        <f>VLOOKUP(J235,'Int. Pa.'!$B$3:$C$58,2,FALSE)</f>
        <v>10</v>
      </c>
      <c r="W235" s="20">
        <f>VLOOKUP(K235,'Int. Pa.'!$B$3:$C$58,2,FALSE)</f>
        <v>1</v>
      </c>
      <c r="X235" s="20">
        <f>VLOOKUP(L235,'Int. Pa.'!$B$3:$C$58,2,FALSE)</f>
        <v>1</v>
      </c>
      <c r="Y235" s="20">
        <f>VLOOKUP(M235,'Int. Pa.'!$B$3:$C$58,2,FALSE)</f>
        <v>5</v>
      </c>
      <c r="Z235" s="20">
        <f>VLOOKUP(N235,'Int. Pa.'!$B$3:$C$58,2,FALSE)</f>
        <v>6</v>
      </c>
      <c r="AA235" s="20">
        <f t="shared" si="8"/>
        <v>3</v>
      </c>
      <c r="AB235" s="20">
        <f t="shared" si="9"/>
        <v>34.166666666666664</v>
      </c>
    </row>
    <row r="236" spans="1:28">
      <c r="A236" s="80">
        <v>5</v>
      </c>
      <c r="B236" s="81">
        <v>41010102</v>
      </c>
      <c r="C236" s="82" t="s">
        <v>322</v>
      </c>
      <c r="D236" s="83">
        <v>2000</v>
      </c>
      <c r="E236" s="18" t="s">
        <v>7</v>
      </c>
      <c r="F236" s="18" t="s">
        <v>2</v>
      </c>
      <c r="G236" s="18" t="s">
        <v>88</v>
      </c>
      <c r="H236" s="18" t="s">
        <v>20</v>
      </c>
      <c r="I236" s="18" t="s">
        <v>24</v>
      </c>
      <c r="J236" s="18" t="s">
        <v>35</v>
      </c>
      <c r="K236" s="18" t="s">
        <v>38</v>
      </c>
      <c r="L236" s="18" t="s">
        <v>42</v>
      </c>
      <c r="M236" s="18" t="s">
        <v>50</v>
      </c>
      <c r="N236" s="18" t="s">
        <v>66</v>
      </c>
      <c r="O236" s="20">
        <f>2013-Table1[[#This Row],[Startup Year]]</f>
        <v>13</v>
      </c>
      <c r="P236" s="20"/>
      <c r="Q236" s="20">
        <f>VLOOKUP(E236,'Int. Pa.'!$B$3:$C$58,2,FALSE)</f>
        <v>1</v>
      </c>
      <c r="R236" s="20">
        <f>VLOOKUP(F236,'Int. Pa.'!$B$3:$C$58,2,FALSE)</f>
        <v>10</v>
      </c>
      <c r="S236" s="20">
        <f>VLOOKUP(G236,'Int. Pa.'!$B$3:$C$58,2,FALSE)</f>
        <v>0</v>
      </c>
      <c r="T236" s="20">
        <f>VLOOKUP(H236,'Int. Pa.'!$B$3:$C$58,2,FALSE)</f>
        <v>1</v>
      </c>
      <c r="U236" s="20">
        <f>VLOOKUP(I236,'Int. Pa.'!$B$3:$C$58,2,FALSE)</f>
        <v>0</v>
      </c>
      <c r="V236" s="20">
        <f>VLOOKUP(J236,'Int. Pa.'!$B$3:$C$58,2,FALSE)</f>
        <v>10</v>
      </c>
      <c r="W236" s="20">
        <f>VLOOKUP(K236,'Int. Pa.'!$B$3:$C$58,2,FALSE)</f>
        <v>1</v>
      </c>
      <c r="X236" s="20">
        <f>VLOOKUP(L236,'Int. Pa.'!$B$3:$C$58,2,FALSE)</f>
        <v>1</v>
      </c>
      <c r="Y236" s="20">
        <f>VLOOKUP(M236,'Int. Pa.'!$B$3:$C$58,2,FALSE)</f>
        <v>5</v>
      </c>
      <c r="Z236" s="20">
        <f>VLOOKUP(N236,'Int. Pa.'!$B$3:$C$58,2,FALSE)</f>
        <v>6</v>
      </c>
      <c r="AA236" s="20">
        <f t="shared" si="8"/>
        <v>3</v>
      </c>
      <c r="AB236" s="20">
        <f t="shared" si="9"/>
        <v>34.166666666666664</v>
      </c>
    </row>
    <row r="237" spans="1:28">
      <c r="A237" s="87">
        <v>5</v>
      </c>
      <c r="B237" s="88">
        <v>41010103</v>
      </c>
      <c r="C237" s="89" t="s">
        <v>787</v>
      </c>
      <c r="D237" s="90">
        <v>2014</v>
      </c>
      <c r="E237" s="18" t="s">
        <v>7</v>
      </c>
      <c r="F237" s="18" t="s">
        <v>2</v>
      </c>
      <c r="G237" s="18" t="s">
        <v>88</v>
      </c>
      <c r="H237" s="18" t="s">
        <v>20</v>
      </c>
      <c r="I237" s="18" t="s">
        <v>24</v>
      </c>
      <c r="J237" s="18" t="s">
        <v>35</v>
      </c>
      <c r="K237" s="18" t="s">
        <v>38</v>
      </c>
      <c r="L237" s="18" t="s">
        <v>42</v>
      </c>
      <c r="M237" s="18" t="s">
        <v>50</v>
      </c>
      <c r="N237" s="18" t="s">
        <v>66</v>
      </c>
      <c r="O237" s="20">
        <f>2013-Table1[[#This Row],[Startup Year]]</f>
        <v>-1</v>
      </c>
      <c r="P237" s="20"/>
      <c r="Q237" s="20">
        <f>VLOOKUP(E237,'Int. Pa.'!$B$3:$C$58,2,FALSE)</f>
        <v>1</v>
      </c>
      <c r="R237" s="20">
        <f>VLOOKUP(F237,'Int. Pa.'!$B$3:$C$58,2,FALSE)</f>
        <v>10</v>
      </c>
      <c r="S237" s="20">
        <f>VLOOKUP(G237,'Int. Pa.'!$B$3:$C$58,2,FALSE)</f>
        <v>0</v>
      </c>
      <c r="T237" s="20">
        <f>VLOOKUP(H237,'Int. Pa.'!$B$3:$C$58,2,FALSE)</f>
        <v>1</v>
      </c>
      <c r="U237" s="20">
        <f>VLOOKUP(I237,'Int. Pa.'!$B$3:$C$58,2,FALSE)</f>
        <v>0</v>
      </c>
      <c r="V237" s="20">
        <f>VLOOKUP(J237,'Int. Pa.'!$B$3:$C$58,2,FALSE)</f>
        <v>10</v>
      </c>
      <c r="W237" s="20">
        <f>VLOOKUP(K237,'Int. Pa.'!$B$3:$C$58,2,FALSE)</f>
        <v>1</v>
      </c>
      <c r="X237" s="20">
        <f>VLOOKUP(L237,'Int. Pa.'!$B$3:$C$58,2,FALSE)</f>
        <v>1</v>
      </c>
      <c r="Y237" s="20">
        <f>VLOOKUP(M237,'Int. Pa.'!$B$3:$C$58,2,FALSE)</f>
        <v>5</v>
      </c>
      <c r="Z237" s="20">
        <f>VLOOKUP(N237,'Int. Pa.'!$B$3:$C$58,2,FALSE)</f>
        <v>6</v>
      </c>
      <c r="AA237" s="20">
        <f t="shared" si="8"/>
        <v>0</v>
      </c>
      <c r="AB237" s="20">
        <f t="shared" si="9"/>
        <v>33.333333333333329</v>
      </c>
    </row>
    <row r="238" spans="1:28" ht="25.5">
      <c r="A238" s="84">
        <v>6</v>
      </c>
      <c r="B238" s="81">
        <v>4457</v>
      </c>
      <c r="C238" s="82" t="s">
        <v>323</v>
      </c>
      <c r="D238" s="85">
        <v>2008</v>
      </c>
      <c r="E238" s="18" t="s">
        <v>7</v>
      </c>
      <c r="F238" s="18" t="s">
        <v>2</v>
      </c>
      <c r="G238" s="18" t="s">
        <v>88</v>
      </c>
      <c r="H238" s="18" t="s">
        <v>20</v>
      </c>
      <c r="I238" s="18" t="s">
        <v>24</v>
      </c>
      <c r="J238" s="18" t="s">
        <v>35</v>
      </c>
      <c r="K238" s="18" t="s">
        <v>38</v>
      </c>
      <c r="L238" s="18" t="s">
        <v>42</v>
      </c>
      <c r="M238" s="18" t="s">
        <v>50</v>
      </c>
      <c r="N238" s="18" t="s">
        <v>66</v>
      </c>
      <c r="O238" s="20">
        <f>2013-Table1[[#This Row],[Startup Year]]</f>
        <v>5</v>
      </c>
      <c r="P238" s="20"/>
      <c r="Q238" s="20">
        <f>VLOOKUP(E238,'Int. Pa.'!$B$3:$C$58,2,FALSE)</f>
        <v>1</v>
      </c>
      <c r="R238" s="20">
        <f>VLOOKUP(F238,'Int. Pa.'!$B$3:$C$58,2,FALSE)</f>
        <v>10</v>
      </c>
      <c r="S238" s="20">
        <f>VLOOKUP(G238,'Int. Pa.'!$B$3:$C$58,2,FALSE)</f>
        <v>0</v>
      </c>
      <c r="T238" s="20">
        <f>VLOOKUP(H238,'Int. Pa.'!$B$3:$C$58,2,FALSE)</f>
        <v>1</v>
      </c>
      <c r="U238" s="20">
        <f>VLOOKUP(I238,'Int. Pa.'!$B$3:$C$58,2,FALSE)</f>
        <v>0</v>
      </c>
      <c r="V238" s="20">
        <f>VLOOKUP(J238,'Int. Pa.'!$B$3:$C$58,2,FALSE)</f>
        <v>10</v>
      </c>
      <c r="W238" s="20">
        <f>VLOOKUP(K238,'Int. Pa.'!$B$3:$C$58,2,FALSE)</f>
        <v>1</v>
      </c>
      <c r="X238" s="20">
        <f>VLOOKUP(L238,'Int. Pa.'!$B$3:$C$58,2,FALSE)</f>
        <v>1</v>
      </c>
      <c r="Y238" s="20">
        <f>VLOOKUP(M238,'Int. Pa.'!$B$3:$C$58,2,FALSE)</f>
        <v>5</v>
      </c>
      <c r="Z238" s="20">
        <f>VLOOKUP(N238,'Int. Pa.'!$B$3:$C$58,2,FALSE)</f>
        <v>6</v>
      </c>
      <c r="AA238" s="20">
        <f t="shared" si="8"/>
        <v>1</v>
      </c>
      <c r="AB238" s="20">
        <f t="shared" si="9"/>
        <v>33.611111111111107</v>
      </c>
    </row>
    <row r="239" spans="1:28">
      <c r="A239" s="84">
        <v>6</v>
      </c>
      <c r="B239" s="81">
        <v>5062</v>
      </c>
      <c r="C239" s="82" t="s">
        <v>324</v>
      </c>
      <c r="D239" s="85">
        <v>2010</v>
      </c>
      <c r="E239" s="18" t="s">
        <v>7</v>
      </c>
      <c r="F239" s="18" t="s">
        <v>2</v>
      </c>
      <c r="G239" s="18" t="s">
        <v>88</v>
      </c>
      <c r="H239" s="18" t="s">
        <v>20</v>
      </c>
      <c r="I239" s="18" t="s">
        <v>24</v>
      </c>
      <c r="J239" s="18" t="s">
        <v>35</v>
      </c>
      <c r="K239" s="18" t="s">
        <v>38</v>
      </c>
      <c r="L239" s="18" t="s">
        <v>42</v>
      </c>
      <c r="M239" s="18" t="s">
        <v>50</v>
      </c>
      <c r="N239" s="18" t="s">
        <v>66</v>
      </c>
      <c r="O239" s="20">
        <f>2013-Table1[[#This Row],[Startup Year]]</f>
        <v>3</v>
      </c>
      <c r="P239" s="20"/>
      <c r="Q239" s="20">
        <f>VLOOKUP(E239,'Int. Pa.'!$B$3:$C$58,2,FALSE)</f>
        <v>1</v>
      </c>
      <c r="R239" s="20">
        <f>VLOOKUP(F239,'Int. Pa.'!$B$3:$C$58,2,FALSE)</f>
        <v>10</v>
      </c>
      <c r="S239" s="20">
        <f>VLOOKUP(G239,'Int. Pa.'!$B$3:$C$58,2,FALSE)</f>
        <v>0</v>
      </c>
      <c r="T239" s="20">
        <f>VLOOKUP(H239,'Int. Pa.'!$B$3:$C$58,2,FALSE)</f>
        <v>1</v>
      </c>
      <c r="U239" s="20">
        <f>VLOOKUP(I239,'Int. Pa.'!$B$3:$C$58,2,FALSE)</f>
        <v>0</v>
      </c>
      <c r="V239" s="20">
        <f>VLOOKUP(J239,'Int. Pa.'!$B$3:$C$58,2,FALSE)</f>
        <v>10</v>
      </c>
      <c r="W239" s="20">
        <f>VLOOKUP(K239,'Int. Pa.'!$B$3:$C$58,2,FALSE)</f>
        <v>1</v>
      </c>
      <c r="X239" s="20">
        <f>VLOOKUP(L239,'Int. Pa.'!$B$3:$C$58,2,FALSE)</f>
        <v>1</v>
      </c>
      <c r="Y239" s="20">
        <f>VLOOKUP(M239,'Int. Pa.'!$B$3:$C$58,2,FALSE)</f>
        <v>5</v>
      </c>
      <c r="Z239" s="20">
        <f>VLOOKUP(N239,'Int. Pa.'!$B$3:$C$58,2,FALSE)</f>
        <v>6</v>
      </c>
      <c r="AA239" s="20">
        <f t="shared" si="8"/>
        <v>1</v>
      </c>
      <c r="AB239" s="20">
        <f t="shared" si="9"/>
        <v>33.611111111111107</v>
      </c>
    </row>
    <row r="240" spans="1:28">
      <c r="A240" s="84">
        <v>6</v>
      </c>
      <c r="B240" s="81">
        <v>6100</v>
      </c>
      <c r="C240" s="82" t="s">
        <v>325</v>
      </c>
      <c r="D240" s="85">
        <v>2010</v>
      </c>
      <c r="E240" s="18" t="s">
        <v>7</v>
      </c>
      <c r="F240" s="18" t="s">
        <v>2</v>
      </c>
      <c r="G240" s="18" t="s">
        <v>88</v>
      </c>
      <c r="H240" s="18" t="s">
        <v>20</v>
      </c>
      <c r="I240" s="18" t="s">
        <v>24</v>
      </c>
      <c r="J240" s="18" t="s">
        <v>35</v>
      </c>
      <c r="K240" s="18" t="s">
        <v>38</v>
      </c>
      <c r="L240" s="18" t="s">
        <v>42</v>
      </c>
      <c r="M240" s="18" t="s">
        <v>50</v>
      </c>
      <c r="N240" s="18" t="s">
        <v>66</v>
      </c>
      <c r="O240" s="20">
        <f>2013-Table1[[#This Row],[Startup Year]]</f>
        <v>3</v>
      </c>
      <c r="P240" s="20"/>
      <c r="Q240" s="20">
        <f>VLOOKUP(E240,'Int. Pa.'!$B$3:$C$58,2,FALSE)</f>
        <v>1</v>
      </c>
      <c r="R240" s="20">
        <f>VLOOKUP(F240,'Int. Pa.'!$B$3:$C$58,2,FALSE)</f>
        <v>10</v>
      </c>
      <c r="S240" s="20">
        <f>VLOOKUP(G240,'Int. Pa.'!$B$3:$C$58,2,FALSE)</f>
        <v>0</v>
      </c>
      <c r="T240" s="20">
        <f>VLOOKUP(H240,'Int. Pa.'!$B$3:$C$58,2,FALSE)</f>
        <v>1</v>
      </c>
      <c r="U240" s="20">
        <f>VLOOKUP(I240,'Int. Pa.'!$B$3:$C$58,2,FALSE)</f>
        <v>0</v>
      </c>
      <c r="V240" s="20">
        <f>VLOOKUP(J240,'Int. Pa.'!$B$3:$C$58,2,FALSE)</f>
        <v>10</v>
      </c>
      <c r="W240" s="20">
        <f>VLOOKUP(K240,'Int. Pa.'!$B$3:$C$58,2,FALSE)</f>
        <v>1</v>
      </c>
      <c r="X240" s="20">
        <f>VLOOKUP(L240,'Int. Pa.'!$B$3:$C$58,2,FALSE)</f>
        <v>1</v>
      </c>
      <c r="Y240" s="20">
        <f>VLOOKUP(M240,'Int. Pa.'!$B$3:$C$58,2,FALSE)</f>
        <v>5</v>
      </c>
      <c r="Z240" s="20">
        <f>VLOOKUP(N240,'Int. Pa.'!$B$3:$C$58,2,FALSE)</f>
        <v>6</v>
      </c>
      <c r="AA240" s="20">
        <f t="shared" si="8"/>
        <v>1</v>
      </c>
      <c r="AB240" s="20">
        <f t="shared" si="9"/>
        <v>33.611111111111107</v>
      </c>
    </row>
    <row r="241" spans="1:28" ht="25.5">
      <c r="A241" s="84">
        <v>6</v>
      </c>
      <c r="B241" s="81">
        <v>50611</v>
      </c>
      <c r="C241" s="82" t="s">
        <v>326</v>
      </c>
      <c r="D241" s="86">
        <v>2000</v>
      </c>
      <c r="E241" s="18" t="s">
        <v>7</v>
      </c>
      <c r="F241" s="18" t="s">
        <v>2</v>
      </c>
      <c r="G241" s="18" t="s">
        <v>88</v>
      </c>
      <c r="H241" s="18" t="s">
        <v>20</v>
      </c>
      <c r="I241" s="18" t="s">
        <v>24</v>
      </c>
      <c r="J241" s="18" t="s">
        <v>35</v>
      </c>
      <c r="K241" s="18" t="s">
        <v>38</v>
      </c>
      <c r="L241" s="18" t="s">
        <v>42</v>
      </c>
      <c r="M241" s="18" t="s">
        <v>50</v>
      </c>
      <c r="N241" s="18" t="s">
        <v>66</v>
      </c>
      <c r="O241" s="20">
        <f>2013-Table1[[#This Row],[Startup Year]]</f>
        <v>13</v>
      </c>
      <c r="P241" s="20"/>
      <c r="Q241" s="20">
        <f>VLOOKUP(E241,'Int. Pa.'!$B$3:$C$58,2,FALSE)</f>
        <v>1</v>
      </c>
      <c r="R241" s="20">
        <f>VLOOKUP(F241,'Int. Pa.'!$B$3:$C$58,2,FALSE)</f>
        <v>10</v>
      </c>
      <c r="S241" s="20">
        <f>VLOOKUP(G241,'Int. Pa.'!$B$3:$C$58,2,FALSE)</f>
        <v>0</v>
      </c>
      <c r="T241" s="20">
        <f>VLOOKUP(H241,'Int. Pa.'!$B$3:$C$58,2,FALSE)</f>
        <v>1</v>
      </c>
      <c r="U241" s="20">
        <f>VLOOKUP(I241,'Int. Pa.'!$B$3:$C$58,2,FALSE)</f>
        <v>0</v>
      </c>
      <c r="V241" s="20">
        <f>VLOOKUP(J241,'Int. Pa.'!$B$3:$C$58,2,FALSE)</f>
        <v>10</v>
      </c>
      <c r="W241" s="20">
        <f>VLOOKUP(K241,'Int. Pa.'!$B$3:$C$58,2,FALSE)</f>
        <v>1</v>
      </c>
      <c r="X241" s="20">
        <f>VLOOKUP(L241,'Int. Pa.'!$B$3:$C$58,2,FALSE)</f>
        <v>1</v>
      </c>
      <c r="Y241" s="20">
        <f>VLOOKUP(M241,'Int. Pa.'!$B$3:$C$58,2,FALSE)</f>
        <v>5</v>
      </c>
      <c r="Z241" s="20">
        <f>VLOOKUP(N241,'Int. Pa.'!$B$3:$C$58,2,FALSE)</f>
        <v>6</v>
      </c>
      <c r="AA241" s="20">
        <f t="shared" ref="AA241:AA272" si="10">IF(O241&gt;40,10,ROUND((O241/4),0))</f>
        <v>3</v>
      </c>
      <c r="AB241" s="20">
        <f t="shared" ref="AB241:AB272" si="11">($E$1*Q241+$F$1*R241+$G$1*S241+$H$1*T241+$I$1*U241+$J$1*V241+$K$1*W241+$L$1*X241+$M$1*Y241+$N$1*Z241+$O$1*AA241)</f>
        <v>34.166666666666664</v>
      </c>
    </row>
    <row r="242" spans="1:28">
      <c r="A242" s="84">
        <v>6</v>
      </c>
      <c r="B242" s="81">
        <v>445402</v>
      </c>
      <c r="C242" s="82" t="s">
        <v>327</v>
      </c>
      <c r="D242" s="86">
        <v>2000</v>
      </c>
      <c r="E242" s="18" t="s">
        <v>7</v>
      </c>
      <c r="F242" s="18" t="s">
        <v>2</v>
      </c>
      <c r="G242" s="18" t="s">
        <v>88</v>
      </c>
      <c r="H242" s="18" t="s">
        <v>20</v>
      </c>
      <c r="I242" s="18" t="s">
        <v>24</v>
      </c>
      <c r="J242" s="18" t="s">
        <v>35</v>
      </c>
      <c r="K242" s="18" t="s">
        <v>38</v>
      </c>
      <c r="L242" s="18" t="s">
        <v>42</v>
      </c>
      <c r="M242" s="18" t="s">
        <v>50</v>
      </c>
      <c r="N242" s="18" t="s">
        <v>66</v>
      </c>
      <c r="O242" s="20">
        <f>2013-Table1[[#This Row],[Startup Year]]</f>
        <v>13</v>
      </c>
      <c r="P242" s="20"/>
      <c r="Q242" s="20">
        <f>VLOOKUP(E242,'Int. Pa.'!$B$3:$C$58,2,FALSE)</f>
        <v>1</v>
      </c>
      <c r="R242" s="20">
        <f>VLOOKUP(F242,'Int. Pa.'!$B$3:$C$58,2,FALSE)</f>
        <v>10</v>
      </c>
      <c r="S242" s="20">
        <f>VLOOKUP(G242,'Int. Pa.'!$B$3:$C$58,2,FALSE)</f>
        <v>0</v>
      </c>
      <c r="T242" s="20">
        <f>VLOOKUP(H242,'Int. Pa.'!$B$3:$C$58,2,FALSE)</f>
        <v>1</v>
      </c>
      <c r="U242" s="20">
        <f>VLOOKUP(I242,'Int. Pa.'!$B$3:$C$58,2,FALSE)</f>
        <v>0</v>
      </c>
      <c r="V242" s="20">
        <f>VLOOKUP(J242,'Int. Pa.'!$B$3:$C$58,2,FALSE)</f>
        <v>10</v>
      </c>
      <c r="W242" s="20">
        <f>VLOOKUP(K242,'Int. Pa.'!$B$3:$C$58,2,FALSE)</f>
        <v>1</v>
      </c>
      <c r="X242" s="20">
        <f>VLOOKUP(L242,'Int. Pa.'!$B$3:$C$58,2,FALSE)</f>
        <v>1</v>
      </c>
      <c r="Y242" s="20">
        <f>VLOOKUP(M242,'Int. Pa.'!$B$3:$C$58,2,FALSE)</f>
        <v>5</v>
      </c>
      <c r="Z242" s="20">
        <f>VLOOKUP(N242,'Int. Pa.'!$B$3:$C$58,2,FALSE)</f>
        <v>6</v>
      </c>
      <c r="AA242" s="20">
        <f t="shared" si="10"/>
        <v>3</v>
      </c>
      <c r="AB242" s="20">
        <f t="shared" si="11"/>
        <v>34.166666666666664</v>
      </c>
    </row>
    <row r="243" spans="1:28">
      <c r="A243" s="84">
        <v>6</v>
      </c>
      <c r="B243" s="81">
        <v>445403</v>
      </c>
      <c r="C243" s="82" t="s">
        <v>328</v>
      </c>
      <c r="D243" s="85">
        <v>2012</v>
      </c>
      <c r="E243" s="18" t="s">
        <v>7</v>
      </c>
      <c r="F243" s="18" t="s">
        <v>2</v>
      </c>
      <c r="G243" s="18" t="s">
        <v>88</v>
      </c>
      <c r="H243" s="18" t="s">
        <v>20</v>
      </c>
      <c r="I243" s="18" t="s">
        <v>24</v>
      </c>
      <c r="J243" s="18" t="s">
        <v>35</v>
      </c>
      <c r="K243" s="18" t="s">
        <v>38</v>
      </c>
      <c r="L243" s="18" t="s">
        <v>42</v>
      </c>
      <c r="M243" s="18" t="s">
        <v>50</v>
      </c>
      <c r="N243" s="18" t="s">
        <v>66</v>
      </c>
      <c r="O243" s="20">
        <f>2013-Table1[[#This Row],[Startup Year]]</f>
        <v>1</v>
      </c>
      <c r="P243" s="20"/>
      <c r="Q243" s="20">
        <f>VLOOKUP(E243,'Int. Pa.'!$B$3:$C$58,2,FALSE)</f>
        <v>1</v>
      </c>
      <c r="R243" s="20">
        <f>VLOOKUP(F243,'Int. Pa.'!$B$3:$C$58,2,FALSE)</f>
        <v>10</v>
      </c>
      <c r="S243" s="20">
        <f>VLOOKUP(G243,'Int. Pa.'!$B$3:$C$58,2,FALSE)</f>
        <v>0</v>
      </c>
      <c r="T243" s="20">
        <f>VLOOKUP(H243,'Int. Pa.'!$B$3:$C$58,2,FALSE)</f>
        <v>1</v>
      </c>
      <c r="U243" s="20">
        <f>VLOOKUP(I243,'Int. Pa.'!$B$3:$C$58,2,FALSE)</f>
        <v>0</v>
      </c>
      <c r="V243" s="20">
        <f>VLOOKUP(J243,'Int. Pa.'!$B$3:$C$58,2,FALSE)</f>
        <v>10</v>
      </c>
      <c r="W243" s="20">
        <f>VLOOKUP(K243,'Int. Pa.'!$B$3:$C$58,2,FALSE)</f>
        <v>1</v>
      </c>
      <c r="X243" s="20">
        <f>VLOOKUP(L243,'Int. Pa.'!$B$3:$C$58,2,FALSE)</f>
        <v>1</v>
      </c>
      <c r="Y243" s="20">
        <f>VLOOKUP(M243,'Int. Pa.'!$B$3:$C$58,2,FALSE)</f>
        <v>5</v>
      </c>
      <c r="Z243" s="20">
        <f>VLOOKUP(N243,'Int. Pa.'!$B$3:$C$58,2,FALSE)</f>
        <v>6</v>
      </c>
      <c r="AA243" s="20">
        <f t="shared" si="10"/>
        <v>0</v>
      </c>
      <c r="AB243" s="20">
        <f t="shared" si="11"/>
        <v>33.333333333333329</v>
      </c>
    </row>
    <row r="244" spans="1:28" ht="25.5">
      <c r="A244" s="84">
        <v>6</v>
      </c>
      <c r="B244" s="81">
        <v>615201</v>
      </c>
      <c r="C244" s="82" t="s">
        <v>329</v>
      </c>
      <c r="D244" s="85">
        <v>2011</v>
      </c>
      <c r="E244" s="18" t="s">
        <v>7</v>
      </c>
      <c r="F244" s="18" t="s">
        <v>2</v>
      </c>
      <c r="G244" s="18" t="s">
        <v>88</v>
      </c>
      <c r="H244" s="18" t="s">
        <v>20</v>
      </c>
      <c r="I244" s="18" t="s">
        <v>24</v>
      </c>
      <c r="J244" s="18" t="s">
        <v>35</v>
      </c>
      <c r="K244" s="18" t="s">
        <v>38</v>
      </c>
      <c r="L244" s="18" t="s">
        <v>42</v>
      </c>
      <c r="M244" s="18" t="s">
        <v>50</v>
      </c>
      <c r="N244" s="18" t="s">
        <v>66</v>
      </c>
      <c r="O244" s="20">
        <f>2013-Table1[[#This Row],[Startup Year]]</f>
        <v>2</v>
      </c>
      <c r="P244" s="20"/>
      <c r="Q244" s="20">
        <f>VLOOKUP(E244,'Int. Pa.'!$B$3:$C$58,2,FALSE)</f>
        <v>1</v>
      </c>
      <c r="R244" s="20">
        <f>VLOOKUP(F244,'Int. Pa.'!$B$3:$C$58,2,FALSE)</f>
        <v>10</v>
      </c>
      <c r="S244" s="20">
        <f>VLOOKUP(G244,'Int. Pa.'!$B$3:$C$58,2,FALSE)</f>
        <v>0</v>
      </c>
      <c r="T244" s="20">
        <f>VLOOKUP(H244,'Int. Pa.'!$B$3:$C$58,2,FALSE)</f>
        <v>1</v>
      </c>
      <c r="U244" s="20">
        <f>VLOOKUP(I244,'Int. Pa.'!$B$3:$C$58,2,FALSE)</f>
        <v>0</v>
      </c>
      <c r="V244" s="20">
        <f>VLOOKUP(J244,'Int. Pa.'!$B$3:$C$58,2,FALSE)</f>
        <v>10</v>
      </c>
      <c r="W244" s="20">
        <f>VLOOKUP(K244,'Int. Pa.'!$B$3:$C$58,2,FALSE)</f>
        <v>1</v>
      </c>
      <c r="X244" s="20">
        <f>VLOOKUP(L244,'Int. Pa.'!$B$3:$C$58,2,FALSE)</f>
        <v>1</v>
      </c>
      <c r="Y244" s="20">
        <f>VLOOKUP(M244,'Int. Pa.'!$B$3:$C$58,2,FALSE)</f>
        <v>5</v>
      </c>
      <c r="Z244" s="20">
        <f>VLOOKUP(N244,'Int. Pa.'!$B$3:$C$58,2,FALSE)</f>
        <v>6</v>
      </c>
      <c r="AA244" s="20">
        <f t="shared" si="10"/>
        <v>1</v>
      </c>
      <c r="AB244" s="20">
        <f t="shared" si="11"/>
        <v>33.611111111111107</v>
      </c>
    </row>
    <row r="245" spans="1:28">
      <c r="A245" s="84">
        <v>6</v>
      </c>
      <c r="B245" s="81">
        <v>616101</v>
      </c>
      <c r="C245" s="82" t="s">
        <v>330</v>
      </c>
      <c r="D245" s="85">
        <v>2010</v>
      </c>
      <c r="E245" s="18" t="s">
        <v>7</v>
      </c>
      <c r="F245" s="18" t="s">
        <v>2</v>
      </c>
      <c r="G245" s="18" t="s">
        <v>88</v>
      </c>
      <c r="H245" s="18" t="s">
        <v>20</v>
      </c>
      <c r="I245" s="18" t="s">
        <v>24</v>
      </c>
      <c r="J245" s="18" t="s">
        <v>35</v>
      </c>
      <c r="K245" s="18" t="s">
        <v>38</v>
      </c>
      <c r="L245" s="18" t="s">
        <v>42</v>
      </c>
      <c r="M245" s="18" t="s">
        <v>50</v>
      </c>
      <c r="N245" s="18" t="s">
        <v>66</v>
      </c>
      <c r="O245" s="20">
        <f>2013-Table1[[#This Row],[Startup Year]]</f>
        <v>3</v>
      </c>
      <c r="P245" s="20"/>
      <c r="Q245" s="20">
        <f>VLOOKUP(E245,'Int. Pa.'!$B$3:$C$58,2,FALSE)</f>
        <v>1</v>
      </c>
      <c r="R245" s="20">
        <f>VLOOKUP(F245,'Int. Pa.'!$B$3:$C$58,2,FALSE)</f>
        <v>10</v>
      </c>
      <c r="S245" s="20">
        <f>VLOOKUP(G245,'Int. Pa.'!$B$3:$C$58,2,FALSE)</f>
        <v>0</v>
      </c>
      <c r="T245" s="20">
        <f>VLOOKUP(H245,'Int. Pa.'!$B$3:$C$58,2,FALSE)</f>
        <v>1</v>
      </c>
      <c r="U245" s="20">
        <f>VLOOKUP(I245,'Int. Pa.'!$B$3:$C$58,2,FALSE)</f>
        <v>0</v>
      </c>
      <c r="V245" s="20">
        <f>VLOOKUP(J245,'Int. Pa.'!$B$3:$C$58,2,FALSE)</f>
        <v>10</v>
      </c>
      <c r="W245" s="20">
        <f>VLOOKUP(K245,'Int. Pa.'!$B$3:$C$58,2,FALSE)</f>
        <v>1</v>
      </c>
      <c r="X245" s="20">
        <f>VLOOKUP(L245,'Int. Pa.'!$B$3:$C$58,2,FALSE)</f>
        <v>1</v>
      </c>
      <c r="Y245" s="20">
        <f>VLOOKUP(M245,'Int. Pa.'!$B$3:$C$58,2,FALSE)</f>
        <v>5</v>
      </c>
      <c r="Z245" s="20">
        <f>VLOOKUP(N245,'Int. Pa.'!$B$3:$C$58,2,FALSE)</f>
        <v>6</v>
      </c>
      <c r="AA245" s="20">
        <f t="shared" si="10"/>
        <v>1</v>
      </c>
      <c r="AB245" s="20">
        <f t="shared" si="11"/>
        <v>33.611111111111107</v>
      </c>
    </row>
    <row r="246" spans="1:28">
      <c r="A246" s="84">
        <v>6</v>
      </c>
      <c r="B246" s="81">
        <v>617801</v>
      </c>
      <c r="C246" s="82" t="s">
        <v>331</v>
      </c>
      <c r="D246" s="85">
        <v>2009</v>
      </c>
      <c r="E246" s="18" t="s">
        <v>7</v>
      </c>
      <c r="F246" s="18" t="s">
        <v>2</v>
      </c>
      <c r="G246" s="18" t="s">
        <v>88</v>
      </c>
      <c r="H246" s="18" t="s">
        <v>20</v>
      </c>
      <c r="I246" s="18" t="s">
        <v>24</v>
      </c>
      <c r="J246" s="18" t="s">
        <v>35</v>
      </c>
      <c r="K246" s="18" t="s">
        <v>38</v>
      </c>
      <c r="L246" s="18" t="s">
        <v>42</v>
      </c>
      <c r="M246" s="18" t="s">
        <v>50</v>
      </c>
      <c r="N246" s="18" t="s">
        <v>66</v>
      </c>
      <c r="O246" s="20">
        <f>2013-Table1[[#This Row],[Startup Year]]</f>
        <v>4</v>
      </c>
      <c r="P246" s="20"/>
      <c r="Q246" s="20">
        <f>VLOOKUP(E246,'Int. Pa.'!$B$3:$C$58,2,FALSE)</f>
        <v>1</v>
      </c>
      <c r="R246" s="20">
        <f>VLOOKUP(F246,'Int. Pa.'!$B$3:$C$58,2,FALSE)</f>
        <v>10</v>
      </c>
      <c r="S246" s="20">
        <f>VLOOKUP(G246,'Int. Pa.'!$B$3:$C$58,2,FALSE)</f>
        <v>0</v>
      </c>
      <c r="T246" s="20">
        <f>VLOOKUP(H246,'Int. Pa.'!$B$3:$C$58,2,FALSE)</f>
        <v>1</v>
      </c>
      <c r="U246" s="20">
        <f>VLOOKUP(I246,'Int. Pa.'!$B$3:$C$58,2,FALSE)</f>
        <v>0</v>
      </c>
      <c r="V246" s="20">
        <f>VLOOKUP(J246,'Int. Pa.'!$B$3:$C$58,2,FALSE)</f>
        <v>10</v>
      </c>
      <c r="W246" s="20">
        <f>VLOOKUP(K246,'Int. Pa.'!$B$3:$C$58,2,FALSE)</f>
        <v>1</v>
      </c>
      <c r="X246" s="20">
        <f>VLOOKUP(L246,'Int. Pa.'!$B$3:$C$58,2,FALSE)</f>
        <v>1</v>
      </c>
      <c r="Y246" s="20">
        <f>VLOOKUP(M246,'Int. Pa.'!$B$3:$C$58,2,FALSE)</f>
        <v>5</v>
      </c>
      <c r="Z246" s="20">
        <f>VLOOKUP(N246,'Int. Pa.'!$B$3:$C$58,2,FALSE)</f>
        <v>6</v>
      </c>
      <c r="AA246" s="20">
        <f t="shared" si="10"/>
        <v>1</v>
      </c>
      <c r="AB246" s="20">
        <f t="shared" si="11"/>
        <v>33.611111111111107</v>
      </c>
    </row>
    <row r="247" spans="1:28">
      <c r="A247" s="84">
        <v>6</v>
      </c>
      <c r="B247" s="81">
        <v>61520101</v>
      </c>
      <c r="C247" s="82" t="s">
        <v>332</v>
      </c>
      <c r="D247" s="85">
        <v>2011</v>
      </c>
      <c r="E247" s="18" t="s">
        <v>7</v>
      </c>
      <c r="F247" s="18" t="s">
        <v>2</v>
      </c>
      <c r="G247" s="18" t="s">
        <v>88</v>
      </c>
      <c r="H247" s="18" t="s">
        <v>20</v>
      </c>
      <c r="I247" s="18" t="s">
        <v>24</v>
      </c>
      <c r="J247" s="18" t="s">
        <v>35</v>
      </c>
      <c r="K247" s="18" t="s">
        <v>38</v>
      </c>
      <c r="L247" s="18" t="s">
        <v>42</v>
      </c>
      <c r="M247" s="18" t="s">
        <v>50</v>
      </c>
      <c r="N247" s="18" t="s">
        <v>66</v>
      </c>
      <c r="O247" s="20">
        <f>2013-Table1[[#This Row],[Startup Year]]</f>
        <v>2</v>
      </c>
      <c r="P247" s="20"/>
      <c r="Q247" s="20">
        <f>VLOOKUP(E247,'Int. Pa.'!$B$3:$C$58,2,FALSE)</f>
        <v>1</v>
      </c>
      <c r="R247" s="20">
        <f>VLOOKUP(F247,'Int. Pa.'!$B$3:$C$58,2,FALSE)</f>
        <v>10</v>
      </c>
      <c r="S247" s="20">
        <f>VLOOKUP(G247,'Int. Pa.'!$B$3:$C$58,2,FALSE)</f>
        <v>0</v>
      </c>
      <c r="T247" s="20">
        <f>VLOOKUP(H247,'Int. Pa.'!$B$3:$C$58,2,FALSE)</f>
        <v>1</v>
      </c>
      <c r="U247" s="20">
        <f>VLOOKUP(I247,'Int. Pa.'!$B$3:$C$58,2,FALSE)</f>
        <v>0</v>
      </c>
      <c r="V247" s="20">
        <f>VLOOKUP(J247,'Int. Pa.'!$B$3:$C$58,2,FALSE)</f>
        <v>10</v>
      </c>
      <c r="W247" s="20">
        <f>VLOOKUP(K247,'Int. Pa.'!$B$3:$C$58,2,FALSE)</f>
        <v>1</v>
      </c>
      <c r="X247" s="20">
        <f>VLOOKUP(L247,'Int. Pa.'!$B$3:$C$58,2,FALSE)</f>
        <v>1</v>
      </c>
      <c r="Y247" s="20">
        <f>VLOOKUP(M247,'Int. Pa.'!$B$3:$C$58,2,FALSE)</f>
        <v>5</v>
      </c>
      <c r="Z247" s="20">
        <f>VLOOKUP(N247,'Int. Pa.'!$B$3:$C$58,2,FALSE)</f>
        <v>6</v>
      </c>
      <c r="AA247" s="20">
        <f t="shared" si="10"/>
        <v>1</v>
      </c>
      <c r="AB247" s="20">
        <f t="shared" si="11"/>
        <v>33.611111111111107</v>
      </c>
    </row>
    <row r="248" spans="1:28" ht="25.5">
      <c r="A248" s="84">
        <v>6</v>
      </c>
      <c r="B248" s="81">
        <v>61610101</v>
      </c>
      <c r="C248" s="82" t="s">
        <v>333</v>
      </c>
      <c r="D248" s="85">
        <v>2010</v>
      </c>
      <c r="E248" s="18" t="s">
        <v>7</v>
      </c>
      <c r="F248" s="18" t="s">
        <v>2</v>
      </c>
      <c r="G248" s="18" t="s">
        <v>88</v>
      </c>
      <c r="H248" s="18" t="s">
        <v>20</v>
      </c>
      <c r="I248" s="18" t="s">
        <v>24</v>
      </c>
      <c r="J248" s="18" t="s">
        <v>35</v>
      </c>
      <c r="K248" s="18" t="s">
        <v>38</v>
      </c>
      <c r="L248" s="18" t="s">
        <v>42</v>
      </c>
      <c r="M248" s="18" t="s">
        <v>50</v>
      </c>
      <c r="N248" s="18" t="s">
        <v>66</v>
      </c>
      <c r="O248" s="20">
        <f>2013-Table1[[#This Row],[Startup Year]]</f>
        <v>3</v>
      </c>
      <c r="P248" s="20"/>
      <c r="Q248" s="20">
        <f>VLOOKUP(E248,'Int. Pa.'!$B$3:$C$58,2,FALSE)</f>
        <v>1</v>
      </c>
      <c r="R248" s="20">
        <f>VLOOKUP(F248,'Int. Pa.'!$B$3:$C$58,2,FALSE)</f>
        <v>10</v>
      </c>
      <c r="S248" s="20">
        <f>VLOOKUP(G248,'Int. Pa.'!$B$3:$C$58,2,FALSE)</f>
        <v>0</v>
      </c>
      <c r="T248" s="20">
        <f>VLOOKUP(H248,'Int. Pa.'!$B$3:$C$58,2,FALSE)</f>
        <v>1</v>
      </c>
      <c r="U248" s="20">
        <f>VLOOKUP(I248,'Int. Pa.'!$B$3:$C$58,2,FALSE)</f>
        <v>0</v>
      </c>
      <c r="V248" s="20">
        <f>VLOOKUP(J248,'Int. Pa.'!$B$3:$C$58,2,FALSE)</f>
        <v>10</v>
      </c>
      <c r="W248" s="20">
        <f>VLOOKUP(K248,'Int. Pa.'!$B$3:$C$58,2,FALSE)</f>
        <v>1</v>
      </c>
      <c r="X248" s="20">
        <f>VLOOKUP(L248,'Int. Pa.'!$B$3:$C$58,2,FALSE)</f>
        <v>1</v>
      </c>
      <c r="Y248" s="20">
        <f>VLOOKUP(M248,'Int. Pa.'!$B$3:$C$58,2,FALSE)</f>
        <v>5</v>
      </c>
      <c r="Z248" s="20">
        <f>VLOOKUP(N248,'Int. Pa.'!$B$3:$C$58,2,FALSE)</f>
        <v>6</v>
      </c>
      <c r="AA248" s="20">
        <f t="shared" si="10"/>
        <v>1</v>
      </c>
      <c r="AB248" s="20">
        <f t="shared" si="11"/>
        <v>33.611111111111107</v>
      </c>
    </row>
    <row r="249" spans="1:28" ht="25.5">
      <c r="A249" s="84">
        <v>6</v>
      </c>
      <c r="B249" s="81">
        <v>4457010102</v>
      </c>
      <c r="C249" s="82" t="s">
        <v>334</v>
      </c>
      <c r="D249" s="85">
        <v>2008</v>
      </c>
      <c r="E249" s="18" t="s">
        <v>7</v>
      </c>
      <c r="F249" s="18" t="s">
        <v>2</v>
      </c>
      <c r="G249" s="18" t="s">
        <v>88</v>
      </c>
      <c r="H249" s="18" t="s">
        <v>20</v>
      </c>
      <c r="I249" s="18" t="s">
        <v>24</v>
      </c>
      <c r="J249" s="18" t="s">
        <v>35</v>
      </c>
      <c r="K249" s="18" t="s">
        <v>38</v>
      </c>
      <c r="L249" s="18" t="s">
        <v>42</v>
      </c>
      <c r="M249" s="18" t="s">
        <v>50</v>
      </c>
      <c r="N249" s="18" t="s">
        <v>66</v>
      </c>
      <c r="O249" s="20">
        <f>2013-Table1[[#This Row],[Startup Year]]</f>
        <v>5</v>
      </c>
      <c r="P249" s="20"/>
      <c r="Q249" s="20">
        <f>VLOOKUP(E249,'Int. Pa.'!$B$3:$C$58,2,FALSE)</f>
        <v>1</v>
      </c>
      <c r="R249" s="20">
        <f>VLOOKUP(F249,'Int. Pa.'!$B$3:$C$58,2,FALSE)</f>
        <v>10</v>
      </c>
      <c r="S249" s="20">
        <f>VLOOKUP(G249,'Int. Pa.'!$B$3:$C$58,2,FALSE)</f>
        <v>0</v>
      </c>
      <c r="T249" s="20">
        <f>VLOOKUP(H249,'Int. Pa.'!$B$3:$C$58,2,FALSE)</f>
        <v>1</v>
      </c>
      <c r="U249" s="20">
        <f>VLOOKUP(I249,'Int. Pa.'!$B$3:$C$58,2,FALSE)</f>
        <v>0</v>
      </c>
      <c r="V249" s="20">
        <f>VLOOKUP(J249,'Int. Pa.'!$B$3:$C$58,2,FALSE)</f>
        <v>10</v>
      </c>
      <c r="W249" s="20">
        <f>VLOOKUP(K249,'Int. Pa.'!$B$3:$C$58,2,FALSE)</f>
        <v>1</v>
      </c>
      <c r="X249" s="20">
        <f>VLOOKUP(L249,'Int. Pa.'!$B$3:$C$58,2,FALSE)</f>
        <v>1</v>
      </c>
      <c r="Y249" s="20">
        <f>VLOOKUP(M249,'Int. Pa.'!$B$3:$C$58,2,FALSE)</f>
        <v>5</v>
      </c>
      <c r="Z249" s="20">
        <f>VLOOKUP(N249,'Int. Pa.'!$B$3:$C$58,2,FALSE)</f>
        <v>6</v>
      </c>
      <c r="AA249" s="20">
        <f t="shared" si="10"/>
        <v>1</v>
      </c>
      <c r="AB249" s="20">
        <f t="shared" si="11"/>
        <v>33.611111111111107</v>
      </c>
    </row>
    <row r="250" spans="1:28">
      <c r="A250" s="87">
        <v>6</v>
      </c>
      <c r="B250" s="88">
        <v>4457010103</v>
      </c>
      <c r="C250" s="89" t="s">
        <v>791</v>
      </c>
      <c r="D250" s="90">
        <v>2000</v>
      </c>
      <c r="E250" s="18" t="s">
        <v>7</v>
      </c>
      <c r="F250" s="18" t="s">
        <v>2</v>
      </c>
      <c r="G250" s="18" t="s">
        <v>88</v>
      </c>
      <c r="H250" s="18" t="s">
        <v>20</v>
      </c>
      <c r="I250" s="18" t="s">
        <v>24</v>
      </c>
      <c r="J250" s="18" t="s">
        <v>35</v>
      </c>
      <c r="K250" s="18" t="s">
        <v>38</v>
      </c>
      <c r="L250" s="18" t="s">
        <v>42</v>
      </c>
      <c r="M250" s="18" t="s">
        <v>50</v>
      </c>
      <c r="N250" s="18" t="s">
        <v>66</v>
      </c>
      <c r="O250" s="20">
        <f>2013-Table1[[#This Row],[Startup Year]]</f>
        <v>13</v>
      </c>
      <c r="P250" s="20"/>
      <c r="Q250" s="20">
        <f>VLOOKUP(E250,'Int. Pa.'!$B$3:$C$58,2,FALSE)</f>
        <v>1</v>
      </c>
      <c r="R250" s="20">
        <f>VLOOKUP(F250,'Int. Pa.'!$B$3:$C$58,2,FALSE)</f>
        <v>10</v>
      </c>
      <c r="S250" s="20">
        <f>VLOOKUP(G250,'Int. Pa.'!$B$3:$C$58,2,FALSE)</f>
        <v>0</v>
      </c>
      <c r="T250" s="20">
        <f>VLOOKUP(H250,'Int. Pa.'!$B$3:$C$58,2,FALSE)</f>
        <v>1</v>
      </c>
      <c r="U250" s="20">
        <f>VLOOKUP(I250,'Int. Pa.'!$B$3:$C$58,2,FALSE)</f>
        <v>0</v>
      </c>
      <c r="V250" s="20">
        <f>VLOOKUP(J250,'Int. Pa.'!$B$3:$C$58,2,FALSE)</f>
        <v>10</v>
      </c>
      <c r="W250" s="20">
        <f>VLOOKUP(K250,'Int. Pa.'!$B$3:$C$58,2,FALSE)</f>
        <v>1</v>
      </c>
      <c r="X250" s="20">
        <f>VLOOKUP(L250,'Int. Pa.'!$B$3:$C$58,2,FALSE)</f>
        <v>1</v>
      </c>
      <c r="Y250" s="20">
        <f>VLOOKUP(M250,'Int. Pa.'!$B$3:$C$58,2,FALSE)</f>
        <v>5</v>
      </c>
      <c r="Z250" s="20">
        <f>VLOOKUP(N250,'Int. Pa.'!$B$3:$C$58,2,FALSE)</f>
        <v>6</v>
      </c>
      <c r="AA250" s="20">
        <f t="shared" si="10"/>
        <v>3</v>
      </c>
      <c r="AB250" s="20">
        <f t="shared" si="11"/>
        <v>34.166666666666664</v>
      </c>
    </row>
    <row r="251" spans="1:28">
      <c r="A251" s="84">
        <v>6</v>
      </c>
      <c r="B251" s="81">
        <v>4457010104</v>
      </c>
      <c r="C251" s="82" t="s">
        <v>335</v>
      </c>
      <c r="D251" s="85">
        <v>2008</v>
      </c>
      <c r="E251" s="18" t="s">
        <v>7</v>
      </c>
      <c r="F251" s="18" t="s">
        <v>2</v>
      </c>
      <c r="G251" s="18" t="s">
        <v>88</v>
      </c>
      <c r="H251" s="18" t="s">
        <v>20</v>
      </c>
      <c r="I251" s="18" t="s">
        <v>24</v>
      </c>
      <c r="J251" s="18" t="s">
        <v>35</v>
      </c>
      <c r="K251" s="18" t="s">
        <v>38</v>
      </c>
      <c r="L251" s="18" t="s">
        <v>42</v>
      </c>
      <c r="M251" s="18" t="s">
        <v>50</v>
      </c>
      <c r="N251" s="18" t="s">
        <v>66</v>
      </c>
      <c r="O251" s="20">
        <f>2013-Table1[[#This Row],[Startup Year]]</f>
        <v>5</v>
      </c>
      <c r="P251" s="20"/>
      <c r="Q251" s="20">
        <f>VLOOKUP(E251,'Int. Pa.'!$B$3:$C$58,2,FALSE)</f>
        <v>1</v>
      </c>
      <c r="R251" s="20">
        <f>VLOOKUP(F251,'Int. Pa.'!$B$3:$C$58,2,FALSE)</f>
        <v>10</v>
      </c>
      <c r="S251" s="20">
        <f>VLOOKUP(G251,'Int. Pa.'!$B$3:$C$58,2,FALSE)</f>
        <v>0</v>
      </c>
      <c r="T251" s="20">
        <f>VLOOKUP(H251,'Int. Pa.'!$B$3:$C$58,2,FALSE)</f>
        <v>1</v>
      </c>
      <c r="U251" s="20">
        <f>VLOOKUP(I251,'Int. Pa.'!$B$3:$C$58,2,FALSE)</f>
        <v>0</v>
      </c>
      <c r="V251" s="20">
        <f>VLOOKUP(J251,'Int. Pa.'!$B$3:$C$58,2,FALSE)</f>
        <v>10</v>
      </c>
      <c r="W251" s="20">
        <f>VLOOKUP(K251,'Int. Pa.'!$B$3:$C$58,2,FALSE)</f>
        <v>1</v>
      </c>
      <c r="X251" s="20">
        <f>VLOOKUP(L251,'Int. Pa.'!$B$3:$C$58,2,FALSE)</f>
        <v>1</v>
      </c>
      <c r="Y251" s="20">
        <f>VLOOKUP(M251,'Int. Pa.'!$B$3:$C$58,2,FALSE)</f>
        <v>5</v>
      </c>
      <c r="Z251" s="20">
        <f>VLOOKUP(N251,'Int. Pa.'!$B$3:$C$58,2,FALSE)</f>
        <v>6</v>
      </c>
      <c r="AA251" s="20">
        <f t="shared" si="10"/>
        <v>1</v>
      </c>
      <c r="AB251" s="20">
        <f t="shared" si="11"/>
        <v>33.611111111111107</v>
      </c>
    </row>
    <row r="252" spans="1:28">
      <c r="A252" s="84">
        <v>6</v>
      </c>
      <c r="B252" s="81">
        <v>4457010105</v>
      </c>
      <c r="C252" s="82" t="s">
        <v>336</v>
      </c>
      <c r="D252" s="85">
        <v>2008</v>
      </c>
      <c r="E252" s="18" t="s">
        <v>7</v>
      </c>
      <c r="F252" s="18" t="s">
        <v>2</v>
      </c>
      <c r="G252" s="18" t="s">
        <v>88</v>
      </c>
      <c r="H252" s="18" t="s">
        <v>20</v>
      </c>
      <c r="I252" s="18" t="s">
        <v>24</v>
      </c>
      <c r="J252" s="18" t="s">
        <v>35</v>
      </c>
      <c r="K252" s="18" t="s">
        <v>38</v>
      </c>
      <c r="L252" s="18" t="s">
        <v>42</v>
      </c>
      <c r="M252" s="18" t="s">
        <v>50</v>
      </c>
      <c r="N252" s="18" t="s">
        <v>66</v>
      </c>
      <c r="O252" s="20">
        <f>2013-Table1[[#This Row],[Startup Year]]</f>
        <v>5</v>
      </c>
      <c r="P252" s="20"/>
      <c r="Q252" s="20">
        <f>VLOOKUP(E252,'Int. Pa.'!$B$3:$C$58,2,FALSE)</f>
        <v>1</v>
      </c>
      <c r="R252" s="20">
        <f>VLOOKUP(F252,'Int. Pa.'!$B$3:$C$58,2,FALSE)</f>
        <v>10</v>
      </c>
      <c r="S252" s="20">
        <f>VLOOKUP(G252,'Int. Pa.'!$B$3:$C$58,2,FALSE)</f>
        <v>0</v>
      </c>
      <c r="T252" s="20">
        <f>VLOOKUP(H252,'Int. Pa.'!$B$3:$C$58,2,FALSE)</f>
        <v>1</v>
      </c>
      <c r="U252" s="20">
        <f>VLOOKUP(I252,'Int. Pa.'!$B$3:$C$58,2,FALSE)</f>
        <v>0</v>
      </c>
      <c r="V252" s="20">
        <f>VLOOKUP(J252,'Int. Pa.'!$B$3:$C$58,2,FALSE)</f>
        <v>10</v>
      </c>
      <c r="W252" s="20">
        <f>VLOOKUP(K252,'Int. Pa.'!$B$3:$C$58,2,FALSE)</f>
        <v>1</v>
      </c>
      <c r="X252" s="20">
        <f>VLOOKUP(L252,'Int. Pa.'!$B$3:$C$58,2,FALSE)</f>
        <v>1</v>
      </c>
      <c r="Y252" s="20">
        <f>VLOOKUP(M252,'Int. Pa.'!$B$3:$C$58,2,FALSE)</f>
        <v>5</v>
      </c>
      <c r="Z252" s="20">
        <f>VLOOKUP(N252,'Int. Pa.'!$B$3:$C$58,2,FALSE)</f>
        <v>6</v>
      </c>
      <c r="AA252" s="20">
        <f t="shared" si="10"/>
        <v>1</v>
      </c>
      <c r="AB252" s="20">
        <f t="shared" si="11"/>
        <v>33.611111111111107</v>
      </c>
    </row>
    <row r="253" spans="1:28">
      <c r="A253" s="84">
        <v>6</v>
      </c>
      <c r="B253" s="81">
        <v>4457010106</v>
      </c>
      <c r="C253" s="82" t="s">
        <v>337</v>
      </c>
      <c r="D253" s="85">
        <v>2008</v>
      </c>
      <c r="E253" s="18" t="s">
        <v>7</v>
      </c>
      <c r="F253" s="18" t="s">
        <v>2</v>
      </c>
      <c r="G253" s="18" t="s">
        <v>88</v>
      </c>
      <c r="H253" s="18" t="s">
        <v>20</v>
      </c>
      <c r="I253" s="18" t="s">
        <v>24</v>
      </c>
      <c r="J253" s="18" t="s">
        <v>35</v>
      </c>
      <c r="K253" s="18" t="s">
        <v>38</v>
      </c>
      <c r="L253" s="18" t="s">
        <v>42</v>
      </c>
      <c r="M253" s="18" t="s">
        <v>50</v>
      </c>
      <c r="N253" s="18" t="s">
        <v>66</v>
      </c>
      <c r="O253" s="20">
        <f>2013-Table1[[#This Row],[Startup Year]]</f>
        <v>5</v>
      </c>
      <c r="P253" s="20"/>
      <c r="Q253" s="20">
        <f>VLOOKUP(E253,'Int. Pa.'!$B$3:$C$58,2,FALSE)</f>
        <v>1</v>
      </c>
      <c r="R253" s="20">
        <f>VLOOKUP(F253,'Int. Pa.'!$B$3:$C$58,2,FALSE)</f>
        <v>10</v>
      </c>
      <c r="S253" s="20">
        <f>VLOOKUP(G253,'Int. Pa.'!$B$3:$C$58,2,FALSE)</f>
        <v>0</v>
      </c>
      <c r="T253" s="20">
        <f>VLOOKUP(H253,'Int. Pa.'!$B$3:$C$58,2,FALSE)</f>
        <v>1</v>
      </c>
      <c r="U253" s="20">
        <f>VLOOKUP(I253,'Int. Pa.'!$B$3:$C$58,2,FALSE)</f>
        <v>0</v>
      </c>
      <c r="V253" s="20">
        <f>VLOOKUP(J253,'Int. Pa.'!$B$3:$C$58,2,FALSE)</f>
        <v>10</v>
      </c>
      <c r="W253" s="20">
        <f>VLOOKUP(K253,'Int. Pa.'!$B$3:$C$58,2,FALSE)</f>
        <v>1</v>
      </c>
      <c r="X253" s="20">
        <f>VLOOKUP(L253,'Int. Pa.'!$B$3:$C$58,2,FALSE)</f>
        <v>1</v>
      </c>
      <c r="Y253" s="20">
        <f>VLOOKUP(M253,'Int. Pa.'!$B$3:$C$58,2,FALSE)</f>
        <v>5</v>
      </c>
      <c r="Z253" s="20">
        <f>VLOOKUP(N253,'Int. Pa.'!$B$3:$C$58,2,FALSE)</f>
        <v>6</v>
      </c>
      <c r="AA253" s="20">
        <f t="shared" si="10"/>
        <v>1</v>
      </c>
      <c r="AB253" s="20">
        <f t="shared" si="11"/>
        <v>33.611111111111107</v>
      </c>
    </row>
    <row r="254" spans="1:28">
      <c r="A254" s="84">
        <v>6</v>
      </c>
      <c r="B254" s="81">
        <v>4457010108</v>
      </c>
      <c r="C254" s="82" t="s">
        <v>338</v>
      </c>
      <c r="D254" s="85">
        <v>2008</v>
      </c>
      <c r="E254" s="18" t="s">
        <v>7</v>
      </c>
      <c r="F254" s="18" t="s">
        <v>2</v>
      </c>
      <c r="G254" s="18" t="s">
        <v>88</v>
      </c>
      <c r="H254" s="18" t="s">
        <v>20</v>
      </c>
      <c r="I254" s="18" t="s">
        <v>24</v>
      </c>
      <c r="J254" s="18" t="s">
        <v>35</v>
      </c>
      <c r="K254" s="18" t="s">
        <v>38</v>
      </c>
      <c r="L254" s="18" t="s">
        <v>42</v>
      </c>
      <c r="M254" s="18" t="s">
        <v>50</v>
      </c>
      <c r="N254" s="18" t="s">
        <v>66</v>
      </c>
      <c r="O254" s="20">
        <f>2013-Table1[[#This Row],[Startup Year]]</f>
        <v>5</v>
      </c>
      <c r="P254" s="20"/>
      <c r="Q254" s="20">
        <f>VLOOKUP(E254,'Int. Pa.'!$B$3:$C$58,2,FALSE)</f>
        <v>1</v>
      </c>
      <c r="R254" s="20">
        <f>VLOOKUP(F254,'Int. Pa.'!$B$3:$C$58,2,FALSE)</f>
        <v>10</v>
      </c>
      <c r="S254" s="20">
        <f>VLOOKUP(G254,'Int. Pa.'!$B$3:$C$58,2,FALSE)</f>
        <v>0</v>
      </c>
      <c r="T254" s="20">
        <f>VLOOKUP(H254,'Int. Pa.'!$B$3:$C$58,2,FALSE)</f>
        <v>1</v>
      </c>
      <c r="U254" s="20">
        <f>VLOOKUP(I254,'Int. Pa.'!$B$3:$C$58,2,FALSE)</f>
        <v>0</v>
      </c>
      <c r="V254" s="20">
        <f>VLOOKUP(J254,'Int. Pa.'!$B$3:$C$58,2,FALSE)</f>
        <v>10</v>
      </c>
      <c r="W254" s="20">
        <f>VLOOKUP(K254,'Int. Pa.'!$B$3:$C$58,2,FALSE)</f>
        <v>1</v>
      </c>
      <c r="X254" s="20">
        <f>VLOOKUP(L254,'Int. Pa.'!$B$3:$C$58,2,FALSE)</f>
        <v>1</v>
      </c>
      <c r="Y254" s="20">
        <f>VLOOKUP(M254,'Int. Pa.'!$B$3:$C$58,2,FALSE)</f>
        <v>5</v>
      </c>
      <c r="Z254" s="20">
        <f>VLOOKUP(N254,'Int. Pa.'!$B$3:$C$58,2,FALSE)</f>
        <v>6</v>
      </c>
      <c r="AA254" s="20">
        <f t="shared" si="10"/>
        <v>1</v>
      </c>
      <c r="AB254" s="20">
        <f t="shared" si="11"/>
        <v>33.611111111111107</v>
      </c>
    </row>
    <row r="255" spans="1:28">
      <c r="A255" s="80">
        <v>6</v>
      </c>
      <c r="B255" s="81"/>
      <c r="C255" s="82" t="s">
        <v>777</v>
      </c>
      <c r="D255" s="83">
        <v>2000</v>
      </c>
      <c r="E255" s="18" t="s">
        <v>7</v>
      </c>
      <c r="F255" s="18" t="s">
        <v>2</v>
      </c>
      <c r="G255" s="18" t="s">
        <v>88</v>
      </c>
      <c r="H255" s="18" t="s">
        <v>20</v>
      </c>
      <c r="I255" s="18" t="s">
        <v>24</v>
      </c>
      <c r="J255" s="18" t="s">
        <v>35</v>
      </c>
      <c r="K255" s="18" t="s">
        <v>38</v>
      </c>
      <c r="L255" s="18" t="s">
        <v>42</v>
      </c>
      <c r="M255" s="18" t="s">
        <v>50</v>
      </c>
      <c r="N255" s="18" t="s">
        <v>66</v>
      </c>
      <c r="O255" s="20">
        <f>2013-Table1[[#This Row],[Startup Year]]</f>
        <v>13</v>
      </c>
      <c r="P255" s="20"/>
      <c r="Q255" s="20">
        <f>VLOOKUP(E255,'Int. Pa.'!$B$3:$C$58,2,FALSE)</f>
        <v>1</v>
      </c>
      <c r="R255" s="20">
        <f>VLOOKUP(F255,'Int. Pa.'!$B$3:$C$58,2,FALSE)</f>
        <v>10</v>
      </c>
      <c r="S255" s="20">
        <f>VLOOKUP(G255,'Int. Pa.'!$B$3:$C$58,2,FALSE)</f>
        <v>0</v>
      </c>
      <c r="T255" s="20">
        <f>VLOOKUP(H255,'Int. Pa.'!$B$3:$C$58,2,FALSE)</f>
        <v>1</v>
      </c>
      <c r="U255" s="20">
        <f>VLOOKUP(I255,'Int. Pa.'!$B$3:$C$58,2,FALSE)</f>
        <v>0</v>
      </c>
      <c r="V255" s="20">
        <f>VLOOKUP(J255,'Int. Pa.'!$B$3:$C$58,2,FALSE)</f>
        <v>10</v>
      </c>
      <c r="W255" s="20">
        <f>VLOOKUP(K255,'Int. Pa.'!$B$3:$C$58,2,FALSE)</f>
        <v>1</v>
      </c>
      <c r="X255" s="20">
        <f>VLOOKUP(L255,'Int. Pa.'!$B$3:$C$58,2,FALSE)</f>
        <v>1</v>
      </c>
      <c r="Y255" s="20">
        <f>VLOOKUP(M255,'Int. Pa.'!$B$3:$C$58,2,FALSE)</f>
        <v>5</v>
      </c>
      <c r="Z255" s="20">
        <f>VLOOKUP(N255,'Int. Pa.'!$B$3:$C$58,2,FALSE)</f>
        <v>6</v>
      </c>
      <c r="AA255" s="20">
        <f t="shared" si="10"/>
        <v>3</v>
      </c>
      <c r="AB255" s="20">
        <f t="shared" si="11"/>
        <v>34.166666666666664</v>
      </c>
    </row>
    <row r="256" spans="1:28">
      <c r="A256" s="87">
        <v>6</v>
      </c>
      <c r="B256" s="88">
        <v>4457010201</v>
      </c>
      <c r="C256" s="89" t="s">
        <v>789</v>
      </c>
      <c r="D256" s="90">
        <v>2000</v>
      </c>
      <c r="E256" s="18" t="s">
        <v>7</v>
      </c>
      <c r="F256" s="18" t="s">
        <v>2</v>
      </c>
      <c r="G256" s="18" t="s">
        <v>88</v>
      </c>
      <c r="H256" s="18" t="s">
        <v>20</v>
      </c>
      <c r="I256" s="18" t="s">
        <v>24</v>
      </c>
      <c r="J256" s="18" t="s">
        <v>35</v>
      </c>
      <c r="K256" s="18" t="s">
        <v>38</v>
      </c>
      <c r="L256" s="18" t="s">
        <v>42</v>
      </c>
      <c r="M256" s="18" t="s">
        <v>50</v>
      </c>
      <c r="N256" s="18" t="s">
        <v>66</v>
      </c>
      <c r="O256" s="20">
        <f>2013-Table1[[#This Row],[Startup Year]]</f>
        <v>13</v>
      </c>
      <c r="P256" s="20"/>
      <c r="Q256" s="20">
        <f>VLOOKUP(E256,'Int. Pa.'!$B$3:$C$58,2,FALSE)</f>
        <v>1</v>
      </c>
      <c r="R256" s="20">
        <f>VLOOKUP(F256,'Int. Pa.'!$B$3:$C$58,2,FALSE)</f>
        <v>10</v>
      </c>
      <c r="S256" s="20">
        <f>VLOOKUP(G256,'Int. Pa.'!$B$3:$C$58,2,FALSE)</f>
        <v>0</v>
      </c>
      <c r="T256" s="20">
        <f>VLOOKUP(H256,'Int. Pa.'!$B$3:$C$58,2,FALSE)</f>
        <v>1</v>
      </c>
      <c r="U256" s="20">
        <f>VLOOKUP(I256,'Int. Pa.'!$B$3:$C$58,2,FALSE)</f>
        <v>0</v>
      </c>
      <c r="V256" s="20">
        <f>VLOOKUP(J256,'Int. Pa.'!$B$3:$C$58,2,FALSE)</f>
        <v>10</v>
      </c>
      <c r="W256" s="20">
        <f>VLOOKUP(K256,'Int. Pa.'!$B$3:$C$58,2,FALSE)</f>
        <v>1</v>
      </c>
      <c r="X256" s="20">
        <f>VLOOKUP(L256,'Int. Pa.'!$B$3:$C$58,2,FALSE)</f>
        <v>1</v>
      </c>
      <c r="Y256" s="20">
        <f>VLOOKUP(M256,'Int. Pa.'!$B$3:$C$58,2,FALSE)</f>
        <v>5</v>
      </c>
      <c r="Z256" s="20">
        <f>VLOOKUP(N256,'Int. Pa.'!$B$3:$C$58,2,FALSE)</f>
        <v>6</v>
      </c>
      <c r="AA256" s="20">
        <f t="shared" si="10"/>
        <v>3</v>
      </c>
      <c r="AB256" s="20">
        <f t="shared" si="11"/>
        <v>34.166666666666664</v>
      </c>
    </row>
    <row r="257" spans="1:28">
      <c r="A257" s="84">
        <v>6</v>
      </c>
      <c r="B257" s="81">
        <v>4457010204</v>
      </c>
      <c r="C257" s="82" t="s">
        <v>339</v>
      </c>
      <c r="D257" s="85">
        <v>2008</v>
      </c>
      <c r="E257" s="18" t="s">
        <v>7</v>
      </c>
      <c r="F257" s="18" t="s">
        <v>2</v>
      </c>
      <c r="G257" s="18" t="s">
        <v>88</v>
      </c>
      <c r="H257" s="18" t="s">
        <v>20</v>
      </c>
      <c r="I257" s="18" t="s">
        <v>24</v>
      </c>
      <c r="J257" s="18" t="s">
        <v>35</v>
      </c>
      <c r="K257" s="18" t="s">
        <v>38</v>
      </c>
      <c r="L257" s="18" t="s">
        <v>42</v>
      </c>
      <c r="M257" s="18" t="s">
        <v>50</v>
      </c>
      <c r="N257" s="18" t="s">
        <v>66</v>
      </c>
      <c r="O257" s="20">
        <f>2013-Table1[[#This Row],[Startup Year]]</f>
        <v>5</v>
      </c>
      <c r="P257" s="20"/>
      <c r="Q257" s="20">
        <f>VLOOKUP(E257,'Int. Pa.'!$B$3:$C$58,2,FALSE)</f>
        <v>1</v>
      </c>
      <c r="R257" s="20">
        <f>VLOOKUP(F257,'Int. Pa.'!$B$3:$C$58,2,FALSE)</f>
        <v>10</v>
      </c>
      <c r="S257" s="20">
        <f>VLOOKUP(G257,'Int. Pa.'!$B$3:$C$58,2,FALSE)</f>
        <v>0</v>
      </c>
      <c r="T257" s="20">
        <f>VLOOKUP(H257,'Int. Pa.'!$B$3:$C$58,2,FALSE)</f>
        <v>1</v>
      </c>
      <c r="U257" s="20">
        <f>VLOOKUP(I257,'Int. Pa.'!$B$3:$C$58,2,FALSE)</f>
        <v>0</v>
      </c>
      <c r="V257" s="20">
        <f>VLOOKUP(J257,'Int. Pa.'!$B$3:$C$58,2,FALSE)</f>
        <v>10</v>
      </c>
      <c r="W257" s="20">
        <f>VLOOKUP(K257,'Int. Pa.'!$B$3:$C$58,2,FALSE)</f>
        <v>1</v>
      </c>
      <c r="X257" s="20">
        <f>VLOOKUP(L257,'Int. Pa.'!$B$3:$C$58,2,FALSE)</f>
        <v>1</v>
      </c>
      <c r="Y257" s="20">
        <f>VLOOKUP(M257,'Int. Pa.'!$B$3:$C$58,2,FALSE)</f>
        <v>5</v>
      </c>
      <c r="Z257" s="20">
        <f>VLOOKUP(N257,'Int. Pa.'!$B$3:$C$58,2,FALSE)</f>
        <v>6</v>
      </c>
      <c r="AA257" s="20">
        <f t="shared" si="10"/>
        <v>1</v>
      </c>
      <c r="AB257" s="20">
        <f t="shared" si="11"/>
        <v>33.611111111111107</v>
      </c>
    </row>
    <row r="258" spans="1:28">
      <c r="A258" s="84">
        <v>9</v>
      </c>
      <c r="B258" s="81">
        <v>620</v>
      </c>
      <c r="C258" s="82" t="s">
        <v>340</v>
      </c>
      <c r="D258" s="85">
        <v>1989</v>
      </c>
      <c r="E258" s="18" t="s">
        <v>7</v>
      </c>
      <c r="F258" s="18" t="s">
        <v>2</v>
      </c>
      <c r="G258" s="18" t="s">
        <v>88</v>
      </c>
      <c r="H258" s="18" t="s">
        <v>20</v>
      </c>
      <c r="I258" s="18" t="s">
        <v>24</v>
      </c>
      <c r="J258" s="18" t="s">
        <v>35</v>
      </c>
      <c r="K258" s="18" t="s">
        <v>38</v>
      </c>
      <c r="L258" s="18" t="s">
        <v>42</v>
      </c>
      <c r="M258" s="18" t="s">
        <v>50</v>
      </c>
      <c r="N258" s="18" t="s">
        <v>66</v>
      </c>
      <c r="O258" s="20">
        <f>2013-Table1[[#This Row],[Startup Year]]</f>
        <v>24</v>
      </c>
      <c r="P258" s="20"/>
      <c r="Q258" s="20">
        <f>VLOOKUP(E258,'Int. Pa.'!$B$3:$C$58,2,FALSE)</f>
        <v>1</v>
      </c>
      <c r="R258" s="20">
        <f>VLOOKUP(F258,'Int. Pa.'!$B$3:$C$58,2,FALSE)</f>
        <v>10</v>
      </c>
      <c r="S258" s="20">
        <f>VLOOKUP(G258,'Int. Pa.'!$B$3:$C$58,2,FALSE)</f>
        <v>0</v>
      </c>
      <c r="T258" s="20">
        <f>VLOOKUP(H258,'Int. Pa.'!$B$3:$C$58,2,FALSE)</f>
        <v>1</v>
      </c>
      <c r="U258" s="20">
        <f>VLOOKUP(I258,'Int. Pa.'!$B$3:$C$58,2,FALSE)</f>
        <v>0</v>
      </c>
      <c r="V258" s="20">
        <f>VLOOKUP(J258,'Int. Pa.'!$B$3:$C$58,2,FALSE)</f>
        <v>10</v>
      </c>
      <c r="W258" s="20">
        <f>VLOOKUP(K258,'Int. Pa.'!$B$3:$C$58,2,FALSE)</f>
        <v>1</v>
      </c>
      <c r="X258" s="20">
        <f>VLOOKUP(L258,'Int. Pa.'!$B$3:$C$58,2,FALSE)</f>
        <v>1</v>
      </c>
      <c r="Y258" s="20">
        <f>VLOOKUP(M258,'Int. Pa.'!$B$3:$C$58,2,FALSE)</f>
        <v>5</v>
      </c>
      <c r="Z258" s="20">
        <f>VLOOKUP(N258,'Int. Pa.'!$B$3:$C$58,2,FALSE)</f>
        <v>6</v>
      </c>
      <c r="AA258" s="20">
        <f t="shared" si="10"/>
        <v>6</v>
      </c>
      <c r="AB258" s="20">
        <f t="shared" si="11"/>
        <v>34.999999999999993</v>
      </c>
    </row>
    <row r="259" spans="1:28">
      <c r="A259" s="80">
        <v>9</v>
      </c>
      <c r="B259" s="81">
        <v>6521</v>
      </c>
      <c r="C259" s="82" t="s">
        <v>779</v>
      </c>
      <c r="D259" s="83">
        <v>2000</v>
      </c>
      <c r="E259" s="18" t="s">
        <v>7</v>
      </c>
      <c r="F259" s="18" t="s">
        <v>2</v>
      </c>
      <c r="G259" s="18" t="s">
        <v>88</v>
      </c>
      <c r="H259" s="18" t="s">
        <v>20</v>
      </c>
      <c r="I259" s="18" t="s">
        <v>24</v>
      </c>
      <c r="J259" s="18" t="s">
        <v>35</v>
      </c>
      <c r="K259" s="18" t="s">
        <v>38</v>
      </c>
      <c r="L259" s="18" t="s">
        <v>42</v>
      </c>
      <c r="M259" s="18" t="s">
        <v>50</v>
      </c>
      <c r="N259" s="18" t="s">
        <v>66</v>
      </c>
      <c r="O259" s="20">
        <f>2013-Table1[[#This Row],[Startup Year]]</f>
        <v>13</v>
      </c>
      <c r="P259" s="20"/>
      <c r="Q259" s="20">
        <f>VLOOKUP(E259,'Int. Pa.'!$B$3:$C$58,2,FALSE)</f>
        <v>1</v>
      </c>
      <c r="R259" s="20">
        <f>VLOOKUP(F259,'Int. Pa.'!$B$3:$C$58,2,FALSE)</f>
        <v>10</v>
      </c>
      <c r="S259" s="20">
        <f>VLOOKUP(G259,'Int. Pa.'!$B$3:$C$58,2,FALSE)</f>
        <v>0</v>
      </c>
      <c r="T259" s="20">
        <f>VLOOKUP(H259,'Int. Pa.'!$B$3:$C$58,2,FALSE)</f>
        <v>1</v>
      </c>
      <c r="U259" s="20">
        <f>VLOOKUP(I259,'Int. Pa.'!$B$3:$C$58,2,FALSE)</f>
        <v>0</v>
      </c>
      <c r="V259" s="20">
        <f>VLOOKUP(J259,'Int. Pa.'!$B$3:$C$58,2,FALSE)</f>
        <v>10</v>
      </c>
      <c r="W259" s="20">
        <f>VLOOKUP(K259,'Int. Pa.'!$B$3:$C$58,2,FALSE)</f>
        <v>1</v>
      </c>
      <c r="X259" s="20">
        <f>VLOOKUP(L259,'Int. Pa.'!$B$3:$C$58,2,FALSE)</f>
        <v>1</v>
      </c>
      <c r="Y259" s="20">
        <f>VLOOKUP(M259,'Int. Pa.'!$B$3:$C$58,2,FALSE)</f>
        <v>5</v>
      </c>
      <c r="Z259" s="20">
        <f>VLOOKUP(N259,'Int. Pa.'!$B$3:$C$58,2,FALSE)</f>
        <v>6</v>
      </c>
      <c r="AA259" s="20">
        <f t="shared" si="10"/>
        <v>3</v>
      </c>
      <c r="AB259" s="20">
        <f t="shared" si="11"/>
        <v>34.166666666666664</v>
      </c>
    </row>
    <row r="260" spans="1:28">
      <c r="A260" s="80">
        <v>9</v>
      </c>
      <c r="B260" s="81">
        <v>652200002</v>
      </c>
      <c r="C260" s="82" t="s">
        <v>784</v>
      </c>
      <c r="D260" s="83">
        <v>2000</v>
      </c>
      <c r="E260" s="18" t="s">
        <v>7</v>
      </c>
      <c r="F260" s="18" t="s">
        <v>2</v>
      </c>
      <c r="G260" s="18" t="s">
        <v>88</v>
      </c>
      <c r="H260" s="18" t="s">
        <v>20</v>
      </c>
      <c r="I260" s="18" t="s">
        <v>24</v>
      </c>
      <c r="J260" s="18" t="s">
        <v>35</v>
      </c>
      <c r="K260" s="18" t="s">
        <v>38</v>
      </c>
      <c r="L260" s="18" t="s">
        <v>42</v>
      </c>
      <c r="M260" s="18" t="s">
        <v>50</v>
      </c>
      <c r="N260" s="18" t="s">
        <v>66</v>
      </c>
      <c r="O260" s="20">
        <f>2013-Table1[[#This Row],[Startup Year]]</f>
        <v>13</v>
      </c>
      <c r="P260" s="20"/>
      <c r="Q260" s="20">
        <f>VLOOKUP(E260,'Int. Pa.'!$B$3:$C$58,2,FALSE)</f>
        <v>1</v>
      </c>
      <c r="R260" s="20">
        <f>VLOOKUP(F260,'Int. Pa.'!$B$3:$C$58,2,FALSE)</f>
        <v>10</v>
      </c>
      <c r="S260" s="20">
        <f>VLOOKUP(G260,'Int. Pa.'!$B$3:$C$58,2,FALSE)</f>
        <v>0</v>
      </c>
      <c r="T260" s="20">
        <f>VLOOKUP(H260,'Int. Pa.'!$B$3:$C$58,2,FALSE)</f>
        <v>1</v>
      </c>
      <c r="U260" s="20">
        <f>VLOOKUP(I260,'Int. Pa.'!$B$3:$C$58,2,FALSE)</f>
        <v>0</v>
      </c>
      <c r="V260" s="20">
        <f>VLOOKUP(J260,'Int. Pa.'!$B$3:$C$58,2,FALSE)</f>
        <v>10</v>
      </c>
      <c r="W260" s="20">
        <f>VLOOKUP(K260,'Int. Pa.'!$B$3:$C$58,2,FALSE)</f>
        <v>1</v>
      </c>
      <c r="X260" s="20">
        <f>VLOOKUP(L260,'Int. Pa.'!$B$3:$C$58,2,FALSE)</f>
        <v>1</v>
      </c>
      <c r="Y260" s="20">
        <f>VLOOKUP(M260,'Int. Pa.'!$B$3:$C$58,2,FALSE)</f>
        <v>5</v>
      </c>
      <c r="Z260" s="20">
        <f>VLOOKUP(N260,'Int. Pa.'!$B$3:$C$58,2,FALSE)</f>
        <v>6</v>
      </c>
      <c r="AA260" s="20">
        <f t="shared" si="10"/>
        <v>3</v>
      </c>
      <c r="AB260" s="20">
        <f t="shared" si="11"/>
        <v>34.166666666666664</v>
      </c>
    </row>
    <row r="261" spans="1:28">
      <c r="A261" s="80">
        <v>9</v>
      </c>
      <c r="B261" s="81">
        <v>6523</v>
      </c>
      <c r="C261" s="82" t="s">
        <v>781</v>
      </c>
      <c r="D261" s="83">
        <v>2000</v>
      </c>
      <c r="E261" s="18" t="s">
        <v>7</v>
      </c>
      <c r="F261" s="18" t="s">
        <v>2</v>
      </c>
      <c r="G261" s="18" t="s">
        <v>88</v>
      </c>
      <c r="H261" s="18" t="s">
        <v>20</v>
      </c>
      <c r="I261" s="18" t="s">
        <v>24</v>
      </c>
      <c r="J261" s="18" t="s">
        <v>35</v>
      </c>
      <c r="K261" s="18" t="s">
        <v>38</v>
      </c>
      <c r="L261" s="18" t="s">
        <v>42</v>
      </c>
      <c r="M261" s="18" t="s">
        <v>50</v>
      </c>
      <c r="N261" s="18" t="s">
        <v>66</v>
      </c>
      <c r="O261" s="20">
        <f>2013-Table1[[#This Row],[Startup Year]]</f>
        <v>13</v>
      </c>
      <c r="P261" s="20"/>
      <c r="Q261" s="20">
        <f>VLOOKUP(E261,'Int. Pa.'!$B$3:$C$58,2,FALSE)</f>
        <v>1</v>
      </c>
      <c r="R261" s="20">
        <f>VLOOKUP(F261,'Int. Pa.'!$B$3:$C$58,2,FALSE)</f>
        <v>10</v>
      </c>
      <c r="S261" s="20">
        <f>VLOOKUP(G261,'Int. Pa.'!$B$3:$C$58,2,FALSE)</f>
        <v>0</v>
      </c>
      <c r="T261" s="20">
        <f>VLOOKUP(H261,'Int. Pa.'!$B$3:$C$58,2,FALSE)</f>
        <v>1</v>
      </c>
      <c r="U261" s="20">
        <f>VLOOKUP(I261,'Int. Pa.'!$B$3:$C$58,2,FALSE)</f>
        <v>0</v>
      </c>
      <c r="V261" s="20">
        <f>VLOOKUP(J261,'Int. Pa.'!$B$3:$C$58,2,FALSE)</f>
        <v>10</v>
      </c>
      <c r="W261" s="20">
        <f>VLOOKUP(K261,'Int. Pa.'!$B$3:$C$58,2,FALSE)</f>
        <v>1</v>
      </c>
      <c r="X261" s="20">
        <f>VLOOKUP(L261,'Int. Pa.'!$B$3:$C$58,2,FALSE)</f>
        <v>1</v>
      </c>
      <c r="Y261" s="20">
        <f>VLOOKUP(M261,'Int. Pa.'!$B$3:$C$58,2,FALSE)</f>
        <v>5</v>
      </c>
      <c r="Z261" s="20">
        <f>VLOOKUP(N261,'Int. Pa.'!$B$3:$C$58,2,FALSE)</f>
        <v>6</v>
      </c>
      <c r="AA261" s="20">
        <f t="shared" si="10"/>
        <v>3</v>
      </c>
      <c r="AB261" s="20">
        <f t="shared" si="11"/>
        <v>34.166666666666664</v>
      </c>
    </row>
    <row r="262" spans="1:28">
      <c r="A262" s="80">
        <v>9</v>
      </c>
      <c r="B262" s="81">
        <v>6525</v>
      </c>
      <c r="C262" s="82" t="s">
        <v>799</v>
      </c>
      <c r="D262" s="83">
        <v>2000</v>
      </c>
      <c r="E262" s="18" t="s">
        <v>7</v>
      </c>
      <c r="F262" s="18" t="s">
        <v>2</v>
      </c>
      <c r="G262" s="18" t="s">
        <v>88</v>
      </c>
      <c r="H262" s="18" t="s">
        <v>20</v>
      </c>
      <c r="I262" s="18" t="s">
        <v>24</v>
      </c>
      <c r="J262" s="18" t="s">
        <v>35</v>
      </c>
      <c r="K262" s="18" t="s">
        <v>38</v>
      </c>
      <c r="L262" s="18" t="s">
        <v>42</v>
      </c>
      <c r="M262" s="18" t="s">
        <v>50</v>
      </c>
      <c r="N262" s="18" t="s">
        <v>66</v>
      </c>
      <c r="O262" s="20">
        <f>2013-Table1[[#This Row],[Startup Year]]</f>
        <v>13</v>
      </c>
      <c r="P262" s="20"/>
      <c r="Q262" s="20">
        <f>VLOOKUP(E262,'Int. Pa.'!$B$3:$C$58,2,FALSE)</f>
        <v>1</v>
      </c>
      <c r="R262" s="20">
        <f>VLOOKUP(F262,'Int. Pa.'!$B$3:$C$58,2,FALSE)</f>
        <v>10</v>
      </c>
      <c r="S262" s="20">
        <f>VLOOKUP(G262,'Int. Pa.'!$B$3:$C$58,2,FALSE)</f>
        <v>0</v>
      </c>
      <c r="T262" s="20">
        <f>VLOOKUP(H262,'Int. Pa.'!$B$3:$C$58,2,FALSE)</f>
        <v>1</v>
      </c>
      <c r="U262" s="20">
        <f>VLOOKUP(I262,'Int. Pa.'!$B$3:$C$58,2,FALSE)</f>
        <v>0</v>
      </c>
      <c r="V262" s="20">
        <f>VLOOKUP(J262,'Int. Pa.'!$B$3:$C$58,2,FALSE)</f>
        <v>10</v>
      </c>
      <c r="W262" s="20">
        <f>VLOOKUP(K262,'Int. Pa.'!$B$3:$C$58,2,FALSE)</f>
        <v>1</v>
      </c>
      <c r="X262" s="20">
        <f>VLOOKUP(L262,'Int. Pa.'!$B$3:$C$58,2,FALSE)</f>
        <v>1</v>
      </c>
      <c r="Y262" s="20">
        <f>VLOOKUP(M262,'Int. Pa.'!$B$3:$C$58,2,FALSE)</f>
        <v>5</v>
      </c>
      <c r="Z262" s="20">
        <f>VLOOKUP(N262,'Int. Pa.'!$B$3:$C$58,2,FALSE)</f>
        <v>6</v>
      </c>
      <c r="AA262" s="20">
        <f t="shared" si="10"/>
        <v>3</v>
      </c>
      <c r="AB262" s="20">
        <f t="shared" si="11"/>
        <v>34.166666666666664</v>
      </c>
    </row>
    <row r="263" spans="1:28">
      <c r="A263" s="80">
        <v>9</v>
      </c>
      <c r="B263" s="81">
        <v>652501</v>
      </c>
      <c r="C263" s="82"/>
      <c r="D263" s="83">
        <v>2000</v>
      </c>
      <c r="E263" s="18" t="s">
        <v>7</v>
      </c>
      <c r="F263" s="18" t="s">
        <v>2</v>
      </c>
      <c r="G263" s="18" t="s">
        <v>88</v>
      </c>
      <c r="H263" s="18" t="s">
        <v>20</v>
      </c>
      <c r="I263" s="18" t="s">
        <v>24</v>
      </c>
      <c r="J263" s="18" t="s">
        <v>35</v>
      </c>
      <c r="K263" s="18" t="s">
        <v>38</v>
      </c>
      <c r="L263" s="18" t="s">
        <v>42</v>
      </c>
      <c r="M263" s="18" t="s">
        <v>50</v>
      </c>
      <c r="N263" s="18" t="s">
        <v>66</v>
      </c>
      <c r="O263" s="20">
        <f>2013-Table1[[#This Row],[Startup Year]]</f>
        <v>13</v>
      </c>
      <c r="P263" s="20"/>
      <c r="Q263" s="20">
        <f>VLOOKUP(E263,'Int. Pa.'!$B$3:$C$58,2,FALSE)</f>
        <v>1</v>
      </c>
      <c r="R263" s="20">
        <f>VLOOKUP(F263,'Int. Pa.'!$B$3:$C$58,2,FALSE)</f>
        <v>10</v>
      </c>
      <c r="S263" s="20">
        <f>VLOOKUP(G263,'Int. Pa.'!$B$3:$C$58,2,FALSE)</f>
        <v>0</v>
      </c>
      <c r="T263" s="20">
        <f>VLOOKUP(H263,'Int. Pa.'!$B$3:$C$58,2,FALSE)</f>
        <v>1</v>
      </c>
      <c r="U263" s="20">
        <f>VLOOKUP(I263,'Int. Pa.'!$B$3:$C$58,2,FALSE)</f>
        <v>0</v>
      </c>
      <c r="V263" s="20">
        <f>VLOOKUP(J263,'Int. Pa.'!$B$3:$C$58,2,FALSE)</f>
        <v>10</v>
      </c>
      <c r="W263" s="20">
        <f>VLOOKUP(K263,'Int. Pa.'!$B$3:$C$58,2,FALSE)</f>
        <v>1</v>
      </c>
      <c r="X263" s="20">
        <f>VLOOKUP(L263,'Int. Pa.'!$B$3:$C$58,2,FALSE)</f>
        <v>1</v>
      </c>
      <c r="Y263" s="20">
        <f>VLOOKUP(M263,'Int. Pa.'!$B$3:$C$58,2,FALSE)</f>
        <v>5</v>
      </c>
      <c r="Z263" s="20">
        <f>VLOOKUP(N263,'Int. Pa.'!$B$3:$C$58,2,FALSE)</f>
        <v>6</v>
      </c>
      <c r="AA263" s="20">
        <f t="shared" si="10"/>
        <v>3</v>
      </c>
      <c r="AB263" s="20">
        <f t="shared" si="11"/>
        <v>34.166666666666664</v>
      </c>
    </row>
    <row r="264" spans="1:28">
      <c r="A264" s="84">
        <v>9</v>
      </c>
      <c r="B264" s="81">
        <v>4470</v>
      </c>
      <c r="C264" s="82" t="s">
        <v>341</v>
      </c>
      <c r="D264" s="85">
        <v>2000</v>
      </c>
      <c r="E264" s="18" t="s">
        <v>7</v>
      </c>
      <c r="F264" s="18" t="s">
        <v>2</v>
      </c>
      <c r="G264" s="18" t="s">
        <v>88</v>
      </c>
      <c r="H264" s="18" t="s">
        <v>20</v>
      </c>
      <c r="I264" s="18" t="s">
        <v>24</v>
      </c>
      <c r="J264" s="18" t="s">
        <v>35</v>
      </c>
      <c r="K264" s="18" t="s">
        <v>38</v>
      </c>
      <c r="L264" s="18" t="s">
        <v>42</v>
      </c>
      <c r="M264" s="18" t="s">
        <v>50</v>
      </c>
      <c r="N264" s="18" t="s">
        <v>66</v>
      </c>
      <c r="O264" s="20">
        <f>2013-Table1[[#This Row],[Startup Year]]</f>
        <v>13</v>
      </c>
      <c r="P264" s="20"/>
      <c r="Q264" s="20">
        <f>VLOOKUP(E264,'Int. Pa.'!$B$3:$C$58,2,FALSE)</f>
        <v>1</v>
      </c>
      <c r="R264" s="20">
        <f>VLOOKUP(F264,'Int. Pa.'!$B$3:$C$58,2,FALSE)</f>
        <v>10</v>
      </c>
      <c r="S264" s="20">
        <f>VLOOKUP(G264,'Int. Pa.'!$B$3:$C$58,2,FALSE)</f>
        <v>0</v>
      </c>
      <c r="T264" s="20">
        <f>VLOOKUP(H264,'Int. Pa.'!$B$3:$C$58,2,FALSE)</f>
        <v>1</v>
      </c>
      <c r="U264" s="20">
        <f>VLOOKUP(I264,'Int. Pa.'!$B$3:$C$58,2,FALSE)</f>
        <v>0</v>
      </c>
      <c r="V264" s="20">
        <f>VLOOKUP(J264,'Int. Pa.'!$B$3:$C$58,2,FALSE)</f>
        <v>10</v>
      </c>
      <c r="W264" s="20">
        <f>VLOOKUP(K264,'Int. Pa.'!$B$3:$C$58,2,FALSE)</f>
        <v>1</v>
      </c>
      <c r="X264" s="20">
        <f>VLOOKUP(L264,'Int. Pa.'!$B$3:$C$58,2,FALSE)</f>
        <v>1</v>
      </c>
      <c r="Y264" s="20">
        <f>VLOOKUP(M264,'Int. Pa.'!$B$3:$C$58,2,FALSE)</f>
        <v>5</v>
      </c>
      <c r="Z264" s="20">
        <f>VLOOKUP(N264,'Int. Pa.'!$B$3:$C$58,2,FALSE)</f>
        <v>6</v>
      </c>
      <c r="AA264" s="20">
        <f t="shared" si="10"/>
        <v>3</v>
      </c>
      <c r="AB264" s="20">
        <f t="shared" si="11"/>
        <v>34.166666666666664</v>
      </c>
    </row>
    <row r="265" spans="1:28">
      <c r="A265" s="84">
        <v>9</v>
      </c>
      <c r="B265" s="81">
        <v>6203</v>
      </c>
      <c r="C265" s="82" t="s">
        <v>342</v>
      </c>
      <c r="D265" s="85">
        <v>1990</v>
      </c>
      <c r="E265" s="18" t="s">
        <v>7</v>
      </c>
      <c r="F265" s="18" t="s">
        <v>2</v>
      </c>
      <c r="G265" s="18" t="s">
        <v>88</v>
      </c>
      <c r="H265" s="18" t="s">
        <v>20</v>
      </c>
      <c r="I265" s="18" t="s">
        <v>24</v>
      </c>
      <c r="J265" s="18" t="s">
        <v>35</v>
      </c>
      <c r="K265" s="18" t="s">
        <v>38</v>
      </c>
      <c r="L265" s="18" t="s">
        <v>42</v>
      </c>
      <c r="M265" s="18" t="s">
        <v>50</v>
      </c>
      <c r="N265" s="18" t="s">
        <v>66</v>
      </c>
      <c r="O265" s="20">
        <f>2013-Table1[[#This Row],[Startup Year]]</f>
        <v>23</v>
      </c>
      <c r="P265" s="20"/>
      <c r="Q265" s="20">
        <f>VLOOKUP(E265,'Int. Pa.'!$B$3:$C$58,2,FALSE)</f>
        <v>1</v>
      </c>
      <c r="R265" s="20">
        <f>VLOOKUP(F265,'Int. Pa.'!$B$3:$C$58,2,FALSE)</f>
        <v>10</v>
      </c>
      <c r="S265" s="20">
        <f>VLOOKUP(G265,'Int. Pa.'!$B$3:$C$58,2,FALSE)</f>
        <v>0</v>
      </c>
      <c r="T265" s="20">
        <f>VLOOKUP(H265,'Int. Pa.'!$B$3:$C$58,2,FALSE)</f>
        <v>1</v>
      </c>
      <c r="U265" s="20">
        <f>VLOOKUP(I265,'Int. Pa.'!$B$3:$C$58,2,FALSE)</f>
        <v>0</v>
      </c>
      <c r="V265" s="20">
        <f>VLOOKUP(J265,'Int. Pa.'!$B$3:$C$58,2,FALSE)</f>
        <v>10</v>
      </c>
      <c r="W265" s="20">
        <f>VLOOKUP(K265,'Int. Pa.'!$B$3:$C$58,2,FALSE)</f>
        <v>1</v>
      </c>
      <c r="X265" s="20">
        <f>VLOOKUP(L265,'Int. Pa.'!$B$3:$C$58,2,FALSE)</f>
        <v>1</v>
      </c>
      <c r="Y265" s="20">
        <f>VLOOKUP(M265,'Int. Pa.'!$B$3:$C$58,2,FALSE)</f>
        <v>5</v>
      </c>
      <c r="Z265" s="20">
        <f>VLOOKUP(N265,'Int. Pa.'!$B$3:$C$58,2,FALSE)</f>
        <v>6</v>
      </c>
      <c r="AA265" s="20">
        <f t="shared" si="10"/>
        <v>6</v>
      </c>
      <c r="AB265" s="20">
        <f t="shared" si="11"/>
        <v>34.999999999999993</v>
      </c>
    </row>
    <row r="266" spans="1:28">
      <c r="A266" s="84">
        <v>9</v>
      </c>
      <c r="B266" s="81">
        <v>6208</v>
      </c>
      <c r="C266" s="82" t="s">
        <v>343</v>
      </c>
      <c r="D266" s="85">
        <v>2008</v>
      </c>
      <c r="E266" s="18" t="s">
        <v>7</v>
      </c>
      <c r="F266" s="18" t="s">
        <v>2</v>
      </c>
      <c r="G266" s="18" t="s">
        <v>88</v>
      </c>
      <c r="H266" s="18" t="s">
        <v>20</v>
      </c>
      <c r="I266" s="18" t="s">
        <v>24</v>
      </c>
      <c r="J266" s="18" t="s">
        <v>35</v>
      </c>
      <c r="K266" s="18" t="s">
        <v>38</v>
      </c>
      <c r="L266" s="18" t="s">
        <v>42</v>
      </c>
      <c r="M266" s="18" t="s">
        <v>50</v>
      </c>
      <c r="N266" s="18" t="s">
        <v>66</v>
      </c>
      <c r="O266" s="20">
        <f>2013-Table1[[#This Row],[Startup Year]]</f>
        <v>5</v>
      </c>
      <c r="P266" s="20"/>
      <c r="Q266" s="20">
        <f>VLOOKUP(E266,'Int. Pa.'!$B$3:$C$58,2,FALSE)</f>
        <v>1</v>
      </c>
      <c r="R266" s="20">
        <f>VLOOKUP(F266,'Int. Pa.'!$B$3:$C$58,2,FALSE)</f>
        <v>10</v>
      </c>
      <c r="S266" s="20">
        <f>VLOOKUP(G266,'Int. Pa.'!$B$3:$C$58,2,FALSE)</f>
        <v>0</v>
      </c>
      <c r="T266" s="20">
        <f>VLOOKUP(H266,'Int. Pa.'!$B$3:$C$58,2,FALSE)</f>
        <v>1</v>
      </c>
      <c r="U266" s="20">
        <f>VLOOKUP(I266,'Int. Pa.'!$B$3:$C$58,2,FALSE)</f>
        <v>0</v>
      </c>
      <c r="V266" s="20">
        <f>VLOOKUP(J266,'Int. Pa.'!$B$3:$C$58,2,FALSE)</f>
        <v>10</v>
      </c>
      <c r="W266" s="20">
        <f>VLOOKUP(K266,'Int. Pa.'!$B$3:$C$58,2,FALSE)</f>
        <v>1</v>
      </c>
      <c r="X266" s="20">
        <f>VLOOKUP(L266,'Int. Pa.'!$B$3:$C$58,2,FALSE)</f>
        <v>1</v>
      </c>
      <c r="Y266" s="20">
        <f>VLOOKUP(M266,'Int. Pa.'!$B$3:$C$58,2,FALSE)</f>
        <v>5</v>
      </c>
      <c r="Z266" s="20">
        <f>VLOOKUP(N266,'Int. Pa.'!$B$3:$C$58,2,FALSE)</f>
        <v>6</v>
      </c>
      <c r="AA266" s="20">
        <f t="shared" si="10"/>
        <v>1</v>
      </c>
      <c r="AB266" s="20">
        <f t="shared" si="11"/>
        <v>33.611111111111107</v>
      </c>
    </row>
    <row r="267" spans="1:28">
      <c r="A267" s="84">
        <v>9</v>
      </c>
      <c r="B267" s="81">
        <v>6531</v>
      </c>
      <c r="C267" s="82" t="s">
        <v>344</v>
      </c>
      <c r="D267" s="86">
        <v>2000</v>
      </c>
      <c r="E267" s="18" t="s">
        <v>7</v>
      </c>
      <c r="F267" s="18" t="s">
        <v>2</v>
      </c>
      <c r="G267" s="18" t="s">
        <v>88</v>
      </c>
      <c r="H267" s="18" t="s">
        <v>20</v>
      </c>
      <c r="I267" s="18" t="s">
        <v>24</v>
      </c>
      <c r="J267" s="18" t="s">
        <v>35</v>
      </c>
      <c r="K267" s="18" t="s">
        <v>38</v>
      </c>
      <c r="L267" s="18" t="s">
        <v>42</v>
      </c>
      <c r="M267" s="18" t="s">
        <v>50</v>
      </c>
      <c r="N267" s="18" t="s">
        <v>66</v>
      </c>
      <c r="O267" s="20">
        <f>2013-Table1[[#This Row],[Startup Year]]</f>
        <v>13</v>
      </c>
      <c r="P267" s="20"/>
      <c r="Q267" s="20">
        <f>VLOOKUP(E267,'Int. Pa.'!$B$3:$C$58,2,FALSE)</f>
        <v>1</v>
      </c>
      <c r="R267" s="20">
        <f>VLOOKUP(F267,'Int. Pa.'!$B$3:$C$58,2,FALSE)</f>
        <v>10</v>
      </c>
      <c r="S267" s="20">
        <f>VLOOKUP(G267,'Int. Pa.'!$B$3:$C$58,2,FALSE)</f>
        <v>0</v>
      </c>
      <c r="T267" s="20">
        <f>VLOOKUP(H267,'Int. Pa.'!$B$3:$C$58,2,FALSE)</f>
        <v>1</v>
      </c>
      <c r="U267" s="20">
        <f>VLOOKUP(I267,'Int. Pa.'!$B$3:$C$58,2,FALSE)</f>
        <v>0</v>
      </c>
      <c r="V267" s="20">
        <f>VLOOKUP(J267,'Int. Pa.'!$B$3:$C$58,2,FALSE)</f>
        <v>10</v>
      </c>
      <c r="W267" s="20">
        <f>VLOOKUP(K267,'Int. Pa.'!$B$3:$C$58,2,FALSE)</f>
        <v>1</v>
      </c>
      <c r="X267" s="20">
        <f>VLOOKUP(L267,'Int. Pa.'!$B$3:$C$58,2,FALSE)</f>
        <v>1</v>
      </c>
      <c r="Y267" s="20">
        <f>VLOOKUP(M267,'Int. Pa.'!$B$3:$C$58,2,FALSE)</f>
        <v>5</v>
      </c>
      <c r="Z267" s="20">
        <f>VLOOKUP(N267,'Int. Pa.'!$B$3:$C$58,2,FALSE)</f>
        <v>6</v>
      </c>
      <c r="AA267" s="20">
        <f t="shared" si="10"/>
        <v>3</v>
      </c>
      <c r="AB267" s="20">
        <f t="shared" si="11"/>
        <v>34.166666666666664</v>
      </c>
    </row>
    <row r="268" spans="1:28">
      <c r="A268" s="80">
        <v>9</v>
      </c>
      <c r="B268" s="81">
        <v>653100001</v>
      </c>
      <c r="C268" s="82"/>
      <c r="D268" s="83">
        <v>2000</v>
      </c>
      <c r="E268" s="18" t="s">
        <v>7</v>
      </c>
      <c r="F268" s="18" t="s">
        <v>2</v>
      </c>
      <c r="G268" s="18" t="s">
        <v>88</v>
      </c>
      <c r="H268" s="18" t="s">
        <v>20</v>
      </c>
      <c r="I268" s="18" t="s">
        <v>24</v>
      </c>
      <c r="J268" s="18" t="s">
        <v>35</v>
      </c>
      <c r="K268" s="18" t="s">
        <v>38</v>
      </c>
      <c r="L268" s="18" t="s">
        <v>42</v>
      </c>
      <c r="M268" s="18" t="s">
        <v>50</v>
      </c>
      <c r="N268" s="18" t="s">
        <v>66</v>
      </c>
      <c r="O268" s="20">
        <f>2013-Table1[[#This Row],[Startup Year]]</f>
        <v>13</v>
      </c>
      <c r="P268" s="20"/>
      <c r="Q268" s="20">
        <f>VLOOKUP(E268,'Int. Pa.'!$B$3:$C$58,2,FALSE)</f>
        <v>1</v>
      </c>
      <c r="R268" s="20">
        <f>VLOOKUP(F268,'Int. Pa.'!$B$3:$C$58,2,FALSE)</f>
        <v>10</v>
      </c>
      <c r="S268" s="20">
        <f>VLOOKUP(G268,'Int. Pa.'!$B$3:$C$58,2,FALSE)</f>
        <v>0</v>
      </c>
      <c r="T268" s="20">
        <f>VLOOKUP(H268,'Int. Pa.'!$B$3:$C$58,2,FALSE)</f>
        <v>1</v>
      </c>
      <c r="U268" s="20">
        <f>VLOOKUP(I268,'Int. Pa.'!$B$3:$C$58,2,FALSE)</f>
        <v>0</v>
      </c>
      <c r="V268" s="20">
        <f>VLOOKUP(J268,'Int. Pa.'!$B$3:$C$58,2,FALSE)</f>
        <v>10</v>
      </c>
      <c r="W268" s="20">
        <f>VLOOKUP(K268,'Int. Pa.'!$B$3:$C$58,2,FALSE)</f>
        <v>1</v>
      </c>
      <c r="X268" s="20">
        <f>VLOOKUP(L268,'Int. Pa.'!$B$3:$C$58,2,FALSE)</f>
        <v>1</v>
      </c>
      <c r="Y268" s="20">
        <f>VLOOKUP(M268,'Int. Pa.'!$B$3:$C$58,2,FALSE)</f>
        <v>5</v>
      </c>
      <c r="Z268" s="20">
        <f>VLOOKUP(N268,'Int. Pa.'!$B$3:$C$58,2,FALSE)</f>
        <v>6</v>
      </c>
      <c r="AA268" s="20">
        <f t="shared" si="10"/>
        <v>3</v>
      </c>
      <c r="AB268" s="20">
        <f t="shared" si="11"/>
        <v>34.166666666666664</v>
      </c>
    </row>
    <row r="269" spans="1:28">
      <c r="A269" s="80">
        <v>9</v>
      </c>
      <c r="B269" s="81">
        <v>65311</v>
      </c>
      <c r="C269" s="82" t="s">
        <v>817</v>
      </c>
      <c r="D269" s="83">
        <v>2000</v>
      </c>
      <c r="E269" s="18" t="s">
        <v>7</v>
      </c>
      <c r="F269" s="18" t="s">
        <v>2</v>
      </c>
      <c r="G269" s="18" t="s">
        <v>88</v>
      </c>
      <c r="H269" s="18" t="s">
        <v>20</v>
      </c>
      <c r="I269" s="18" t="s">
        <v>24</v>
      </c>
      <c r="J269" s="18" t="s">
        <v>35</v>
      </c>
      <c r="K269" s="18" t="s">
        <v>38</v>
      </c>
      <c r="L269" s="18" t="s">
        <v>42</v>
      </c>
      <c r="M269" s="18" t="s">
        <v>50</v>
      </c>
      <c r="N269" s="18" t="s">
        <v>66</v>
      </c>
      <c r="O269" s="20">
        <f>2013-Table1[[#This Row],[Startup Year]]</f>
        <v>13</v>
      </c>
      <c r="P269" s="20"/>
      <c r="Q269" s="20">
        <f>VLOOKUP(E269,'Int. Pa.'!$B$3:$C$58,2,FALSE)</f>
        <v>1</v>
      </c>
      <c r="R269" s="20">
        <f>VLOOKUP(F269,'Int. Pa.'!$B$3:$C$58,2,FALSE)</f>
        <v>10</v>
      </c>
      <c r="S269" s="20">
        <f>VLOOKUP(G269,'Int. Pa.'!$B$3:$C$58,2,FALSE)</f>
        <v>0</v>
      </c>
      <c r="T269" s="20">
        <f>VLOOKUP(H269,'Int. Pa.'!$B$3:$C$58,2,FALSE)</f>
        <v>1</v>
      </c>
      <c r="U269" s="20">
        <f>VLOOKUP(I269,'Int. Pa.'!$B$3:$C$58,2,FALSE)</f>
        <v>0</v>
      </c>
      <c r="V269" s="20">
        <f>VLOOKUP(J269,'Int. Pa.'!$B$3:$C$58,2,FALSE)</f>
        <v>10</v>
      </c>
      <c r="W269" s="20">
        <f>VLOOKUP(K269,'Int. Pa.'!$B$3:$C$58,2,FALSE)</f>
        <v>1</v>
      </c>
      <c r="X269" s="20">
        <f>VLOOKUP(L269,'Int. Pa.'!$B$3:$C$58,2,FALSE)</f>
        <v>1</v>
      </c>
      <c r="Y269" s="20">
        <f>VLOOKUP(M269,'Int. Pa.'!$B$3:$C$58,2,FALSE)</f>
        <v>5</v>
      </c>
      <c r="Z269" s="20">
        <f>VLOOKUP(N269,'Int. Pa.'!$B$3:$C$58,2,FALSE)</f>
        <v>6</v>
      </c>
      <c r="AA269" s="20">
        <f t="shared" si="10"/>
        <v>3</v>
      </c>
      <c r="AB269" s="20">
        <f t="shared" si="11"/>
        <v>34.166666666666664</v>
      </c>
    </row>
    <row r="270" spans="1:28">
      <c r="A270" s="80">
        <v>9</v>
      </c>
      <c r="B270" s="81">
        <v>653110101</v>
      </c>
      <c r="C270" s="82" t="s">
        <v>823</v>
      </c>
      <c r="D270" s="83">
        <v>2000</v>
      </c>
      <c r="E270" s="18" t="s">
        <v>7</v>
      </c>
      <c r="F270" s="18" t="s">
        <v>2</v>
      </c>
      <c r="G270" s="18" t="s">
        <v>88</v>
      </c>
      <c r="H270" s="18" t="s">
        <v>20</v>
      </c>
      <c r="I270" s="18" t="s">
        <v>24</v>
      </c>
      <c r="J270" s="18" t="s">
        <v>35</v>
      </c>
      <c r="K270" s="18" t="s">
        <v>38</v>
      </c>
      <c r="L270" s="18" t="s">
        <v>42</v>
      </c>
      <c r="M270" s="18" t="s">
        <v>50</v>
      </c>
      <c r="N270" s="18" t="s">
        <v>66</v>
      </c>
      <c r="O270" s="20">
        <f>2013-Table1[[#This Row],[Startup Year]]</f>
        <v>13</v>
      </c>
      <c r="P270" s="20"/>
      <c r="Q270" s="20">
        <f>VLOOKUP(E270,'Int. Pa.'!$B$3:$C$58,2,FALSE)</f>
        <v>1</v>
      </c>
      <c r="R270" s="20">
        <f>VLOOKUP(F270,'Int. Pa.'!$B$3:$C$58,2,FALSE)</f>
        <v>10</v>
      </c>
      <c r="S270" s="20">
        <f>VLOOKUP(G270,'Int. Pa.'!$B$3:$C$58,2,FALSE)</f>
        <v>0</v>
      </c>
      <c r="T270" s="20">
        <f>VLOOKUP(H270,'Int. Pa.'!$B$3:$C$58,2,FALSE)</f>
        <v>1</v>
      </c>
      <c r="U270" s="20">
        <f>VLOOKUP(I270,'Int. Pa.'!$B$3:$C$58,2,FALSE)</f>
        <v>0</v>
      </c>
      <c r="V270" s="20">
        <f>VLOOKUP(J270,'Int. Pa.'!$B$3:$C$58,2,FALSE)</f>
        <v>10</v>
      </c>
      <c r="W270" s="20">
        <f>VLOOKUP(K270,'Int. Pa.'!$B$3:$C$58,2,FALSE)</f>
        <v>1</v>
      </c>
      <c r="X270" s="20">
        <f>VLOOKUP(L270,'Int. Pa.'!$B$3:$C$58,2,FALSE)</f>
        <v>1</v>
      </c>
      <c r="Y270" s="20">
        <f>VLOOKUP(M270,'Int. Pa.'!$B$3:$C$58,2,FALSE)</f>
        <v>5</v>
      </c>
      <c r="Z270" s="20">
        <f>VLOOKUP(N270,'Int. Pa.'!$B$3:$C$58,2,FALSE)</f>
        <v>6</v>
      </c>
      <c r="AA270" s="20">
        <f t="shared" si="10"/>
        <v>3</v>
      </c>
      <c r="AB270" s="20">
        <f t="shared" si="11"/>
        <v>34.166666666666664</v>
      </c>
    </row>
    <row r="271" spans="1:28">
      <c r="A271" s="80">
        <v>9</v>
      </c>
      <c r="B271" s="81">
        <v>653110103</v>
      </c>
      <c r="C271" s="82" t="s">
        <v>826</v>
      </c>
      <c r="D271" s="83">
        <v>2000</v>
      </c>
      <c r="E271" s="18" t="s">
        <v>7</v>
      </c>
      <c r="F271" s="18" t="s">
        <v>2</v>
      </c>
      <c r="G271" s="18" t="s">
        <v>88</v>
      </c>
      <c r="H271" s="18" t="s">
        <v>20</v>
      </c>
      <c r="I271" s="18" t="s">
        <v>24</v>
      </c>
      <c r="J271" s="18" t="s">
        <v>35</v>
      </c>
      <c r="K271" s="18" t="s">
        <v>38</v>
      </c>
      <c r="L271" s="18" t="s">
        <v>42</v>
      </c>
      <c r="M271" s="18" t="s">
        <v>50</v>
      </c>
      <c r="N271" s="18" t="s">
        <v>66</v>
      </c>
      <c r="O271" s="20">
        <f>2013-Table1[[#This Row],[Startup Year]]</f>
        <v>13</v>
      </c>
      <c r="P271" s="20"/>
      <c r="Q271" s="20">
        <f>VLOOKUP(E271,'Int. Pa.'!$B$3:$C$58,2,FALSE)</f>
        <v>1</v>
      </c>
      <c r="R271" s="20">
        <f>VLOOKUP(F271,'Int. Pa.'!$B$3:$C$58,2,FALSE)</f>
        <v>10</v>
      </c>
      <c r="S271" s="20">
        <f>VLOOKUP(G271,'Int. Pa.'!$B$3:$C$58,2,FALSE)</f>
        <v>0</v>
      </c>
      <c r="T271" s="20">
        <f>VLOOKUP(H271,'Int. Pa.'!$B$3:$C$58,2,FALSE)</f>
        <v>1</v>
      </c>
      <c r="U271" s="20">
        <f>VLOOKUP(I271,'Int. Pa.'!$B$3:$C$58,2,FALSE)</f>
        <v>0</v>
      </c>
      <c r="V271" s="20">
        <f>VLOOKUP(J271,'Int. Pa.'!$B$3:$C$58,2,FALSE)</f>
        <v>10</v>
      </c>
      <c r="W271" s="20">
        <f>VLOOKUP(K271,'Int. Pa.'!$B$3:$C$58,2,FALSE)</f>
        <v>1</v>
      </c>
      <c r="X271" s="20">
        <f>VLOOKUP(L271,'Int. Pa.'!$B$3:$C$58,2,FALSE)</f>
        <v>1</v>
      </c>
      <c r="Y271" s="20">
        <f>VLOOKUP(M271,'Int. Pa.'!$B$3:$C$58,2,FALSE)</f>
        <v>5</v>
      </c>
      <c r="Z271" s="20">
        <f>VLOOKUP(N271,'Int. Pa.'!$B$3:$C$58,2,FALSE)</f>
        <v>6</v>
      </c>
      <c r="AA271" s="20">
        <f t="shared" si="10"/>
        <v>3</v>
      </c>
      <c r="AB271" s="20">
        <f t="shared" si="11"/>
        <v>34.166666666666664</v>
      </c>
    </row>
    <row r="272" spans="1:28">
      <c r="A272" s="80">
        <v>9</v>
      </c>
      <c r="B272" s="81">
        <v>653110104</v>
      </c>
      <c r="C272" s="82" t="s">
        <v>828</v>
      </c>
      <c r="D272" s="83">
        <v>2000</v>
      </c>
      <c r="E272" s="18" t="s">
        <v>7</v>
      </c>
      <c r="F272" s="18" t="s">
        <v>2</v>
      </c>
      <c r="G272" s="18" t="s">
        <v>88</v>
      </c>
      <c r="H272" s="18" t="s">
        <v>20</v>
      </c>
      <c r="I272" s="18" t="s">
        <v>24</v>
      </c>
      <c r="J272" s="18" t="s">
        <v>35</v>
      </c>
      <c r="K272" s="18" t="s">
        <v>38</v>
      </c>
      <c r="L272" s="18" t="s">
        <v>42</v>
      </c>
      <c r="M272" s="18" t="s">
        <v>50</v>
      </c>
      <c r="N272" s="18" t="s">
        <v>66</v>
      </c>
      <c r="O272" s="20">
        <f>2013-Table1[[#This Row],[Startup Year]]</f>
        <v>13</v>
      </c>
      <c r="P272" s="20"/>
      <c r="Q272" s="20">
        <f>VLOOKUP(E272,'Int. Pa.'!$B$3:$C$58,2,FALSE)</f>
        <v>1</v>
      </c>
      <c r="R272" s="20">
        <f>VLOOKUP(F272,'Int. Pa.'!$B$3:$C$58,2,FALSE)</f>
        <v>10</v>
      </c>
      <c r="S272" s="20">
        <f>VLOOKUP(G272,'Int. Pa.'!$B$3:$C$58,2,FALSE)</f>
        <v>0</v>
      </c>
      <c r="T272" s="20">
        <f>VLOOKUP(H272,'Int. Pa.'!$B$3:$C$58,2,FALSE)</f>
        <v>1</v>
      </c>
      <c r="U272" s="20">
        <f>VLOOKUP(I272,'Int. Pa.'!$B$3:$C$58,2,FALSE)</f>
        <v>0</v>
      </c>
      <c r="V272" s="20">
        <f>VLOOKUP(J272,'Int. Pa.'!$B$3:$C$58,2,FALSE)</f>
        <v>10</v>
      </c>
      <c r="W272" s="20">
        <f>VLOOKUP(K272,'Int. Pa.'!$B$3:$C$58,2,FALSE)</f>
        <v>1</v>
      </c>
      <c r="X272" s="20">
        <f>VLOOKUP(L272,'Int. Pa.'!$B$3:$C$58,2,FALSE)</f>
        <v>1</v>
      </c>
      <c r="Y272" s="20">
        <f>VLOOKUP(M272,'Int. Pa.'!$B$3:$C$58,2,FALSE)</f>
        <v>5</v>
      </c>
      <c r="Z272" s="20">
        <f>VLOOKUP(N272,'Int. Pa.'!$B$3:$C$58,2,FALSE)</f>
        <v>6</v>
      </c>
      <c r="AA272" s="20">
        <f t="shared" si="10"/>
        <v>3</v>
      </c>
      <c r="AB272" s="20">
        <f t="shared" si="11"/>
        <v>34.166666666666664</v>
      </c>
    </row>
    <row r="273" spans="1:28">
      <c r="A273" s="80">
        <v>9</v>
      </c>
      <c r="B273" s="81">
        <v>653110105</v>
      </c>
      <c r="C273" s="82" t="s">
        <v>830</v>
      </c>
      <c r="D273" s="83">
        <v>2000</v>
      </c>
      <c r="E273" s="18" t="s">
        <v>7</v>
      </c>
      <c r="F273" s="18" t="s">
        <v>2</v>
      </c>
      <c r="G273" s="18" t="s">
        <v>88</v>
      </c>
      <c r="H273" s="18" t="s">
        <v>20</v>
      </c>
      <c r="I273" s="18" t="s">
        <v>24</v>
      </c>
      <c r="J273" s="18" t="s">
        <v>35</v>
      </c>
      <c r="K273" s="18" t="s">
        <v>38</v>
      </c>
      <c r="L273" s="18" t="s">
        <v>42</v>
      </c>
      <c r="M273" s="18" t="s">
        <v>50</v>
      </c>
      <c r="N273" s="18" t="s">
        <v>66</v>
      </c>
      <c r="O273" s="20">
        <f>2013-Table1[[#This Row],[Startup Year]]</f>
        <v>13</v>
      </c>
      <c r="P273" s="20"/>
      <c r="Q273" s="20">
        <f>VLOOKUP(E273,'Int. Pa.'!$B$3:$C$58,2,FALSE)</f>
        <v>1</v>
      </c>
      <c r="R273" s="20">
        <f>VLOOKUP(F273,'Int. Pa.'!$B$3:$C$58,2,FALSE)</f>
        <v>10</v>
      </c>
      <c r="S273" s="20">
        <f>VLOOKUP(G273,'Int. Pa.'!$B$3:$C$58,2,FALSE)</f>
        <v>0</v>
      </c>
      <c r="T273" s="20">
        <f>VLOOKUP(H273,'Int. Pa.'!$B$3:$C$58,2,FALSE)</f>
        <v>1</v>
      </c>
      <c r="U273" s="20">
        <f>VLOOKUP(I273,'Int. Pa.'!$B$3:$C$58,2,FALSE)</f>
        <v>0</v>
      </c>
      <c r="V273" s="20">
        <f>VLOOKUP(J273,'Int. Pa.'!$B$3:$C$58,2,FALSE)</f>
        <v>10</v>
      </c>
      <c r="W273" s="20">
        <f>VLOOKUP(K273,'Int. Pa.'!$B$3:$C$58,2,FALSE)</f>
        <v>1</v>
      </c>
      <c r="X273" s="20">
        <f>VLOOKUP(L273,'Int. Pa.'!$B$3:$C$58,2,FALSE)</f>
        <v>1</v>
      </c>
      <c r="Y273" s="20">
        <f>VLOOKUP(M273,'Int. Pa.'!$B$3:$C$58,2,FALSE)</f>
        <v>5</v>
      </c>
      <c r="Z273" s="20">
        <f>VLOOKUP(N273,'Int. Pa.'!$B$3:$C$58,2,FALSE)</f>
        <v>6</v>
      </c>
      <c r="AA273" s="20">
        <f t="shared" ref="AA273:AA309" si="12">IF(O273&gt;40,10,ROUND((O273/4),0))</f>
        <v>3</v>
      </c>
      <c r="AB273" s="20">
        <f t="shared" ref="AB273:AB304" si="13">($E$1*Q273+$F$1*R273+$G$1*S273+$H$1*T273+$I$1*U273+$J$1*V273+$K$1*W273+$L$1*X273+$M$1*Y273+$N$1*Z273+$O$1*AA273)</f>
        <v>34.166666666666664</v>
      </c>
    </row>
    <row r="274" spans="1:28">
      <c r="A274" s="80">
        <v>9</v>
      </c>
      <c r="B274" s="81">
        <v>653110106</v>
      </c>
      <c r="C274" s="82" t="s">
        <v>832</v>
      </c>
      <c r="D274" s="83">
        <v>2000</v>
      </c>
      <c r="E274" s="18" t="s">
        <v>7</v>
      </c>
      <c r="F274" s="18" t="s">
        <v>2</v>
      </c>
      <c r="G274" s="18" t="s">
        <v>88</v>
      </c>
      <c r="H274" s="18" t="s">
        <v>20</v>
      </c>
      <c r="I274" s="18" t="s">
        <v>24</v>
      </c>
      <c r="J274" s="18" t="s">
        <v>35</v>
      </c>
      <c r="K274" s="18" t="s">
        <v>38</v>
      </c>
      <c r="L274" s="18" t="s">
        <v>42</v>
      </c>
      <c r="M274" s="18" t="s">
        <v>50</v>
      </c>
      <c r="N274" s="18" t="s">
        <v>66</v>
      </c>
      <c r="O274" s="20">
        <f>2013-Table1[[#This Row],[Startup Year]]</f>
        <v>13</v>
      </c>
      <c r="P274" s="20"/>
      <c r="Q274" s="20">
        <f>VLOOKUP(E274,'Int. Pa.'!$B$3:$C$58,2,FALSE)</f>
        <v>1</v>
      </c>
      <c r="R274" s="20">
        <f>VLOOKUP(F274,'Int. Pa.'!$B$3:$C$58,2,FALSE)</f>
        <v>10</v>
      </c>
      <c r="S274" s="20">
        <f>VLOOKUP(G274,'Int. Pa.'!$B$3:$C$58,2,FALSE)</f>
        <v>0</v>
      </c>
      <c r="T274" s="20">
        <f>VLOOKUP(H274,'Int. Pa.'!$B$3:$C$58,2,FALSE)</f>
        <v>1</v>
      </c>
      <c r="U274" s="20">
        <f>VLOOKUP(I274,'Int. Pa.'!$B$3:$C$58,2,FALSE)</f>
        <v>0</v>
      </c>
      <c r="V274" s="20">
        <f>VLOOKUP(J274,'Int. Pa.'!$B$3:$C$58,2,FALSE)</f>
        <v>10</v>
      </c>
      <c r="W274" s="20">
        <f>VLOOKUP(K274,'Int. Pa.'!$B$3:$C$58,2,FALSE)</f>
        <v>1</v>
      </c>
      <c r="X274" s="20">
        <f>VLOOKUP(L274,'Int. Pa.'!$B$3:$C$58,2,FALSE)</f>
        <v>1</v>
      </c>
      <c r="Y274" s="20">
        <f>VLOOKUP(M274,'Int. Pa.'!$B$3:$C$58,2,FALSE)</f>
        <v>5</v>
      </c>
      <c r="Z274" s="20">
        <f>VLOOKUP(N274,'Int. Pa.'!$B$3:$C$58,2,FALSE)</f>
        <v>6</v>
      </c>
      <c r="AA274" s="20">
        <f t="shared" si="12"/>
        <v>3</v>
      </c>
      <c r="AB274" s="20">
        <f t="shared" si="13"/>
        <v>34.166666666666664</v>
      </c>
    </row>
    <row r="275" spans="1:28">
      <c r="A275" s="80">
        <v>9</v>
      </c>
      <c r="B275" s="81">
        <v>653110108</v>
      </c>
      <c r="C275" s="82" t="s">
        <v>834</v>
      </c>
      <c r="D275" s="83">
        <v>2000</v>
      </c>
      <c r="E275" s="18" t="s">
        <v>7</v>
      </c>
      <c r="F275" s="18" t="s">
        <v>2</v>
      </c>
      <c r="G275" s="18" t="s">
        <v>88</v>
      </c>
      <c r="H275" s="18" t="s">
        <v>20</v>
      </c>
      <c r="I275" s="18" t="s">
        <v>24</v>
      </c>
      <c r="J275" s="18" t="s">
        <v>35</v>
      </c>
      <c r="K275" s="18" t="s">
        <v>38</v>
      </c>
      <c r="L275" s="18" t="s">
        <v>42</v>
      </c>
      <c r="M275" s="18" t="s">
        <v>50</v>
      </c>
      <c r="N275" s="18" t="s">
        <v>66</v>
      </c>
      <c r="O275" s="20">
        <f>2013-Table1[[#This Row],[Startup Year]]</f>
        <v>13</v>
      </c>
      <c r="P275" s="20"/>
      <c r="Q275" s="20">
        <f>VLOOKUP(E275,'Int. Pa.'!$B$3:$C$58,2,FALSE)</f>
        <v>1</v>
      </c>
      <c r="R275" s="20">
        <f>VLOOKUP(F275,'Int. Pa.'!$B$3:$C$58,2,FALSE)</f>
        <v>10</v>
      </c>
      <c r="S275" s="20">
        <f>VLOOKUP(G275,'Int. Pa.'!$B$3:$C$58,2,FALSE)</f>
        <v>0</v>
      </c>
      <c r="T275" s="20">
        <f>VLOOKUP(H275,'Int. Pa.'!$B$3:$C$58,2,FALSE)</f>
        <v>1</v>
      </c>
      <c r="U275" s="20">
        <f>VLOOKUP(I275,'Int. Pa.'!$B$3:$C$58,2,FALSE)</f>
        <v>0</v>
      </c>
      <c r="V275" s="20">
        <f>VLOOKUP(J275,'Int. Pa.'!$B$3:$C$58,2,FALSE)</f>
        <v>10</v>
      </c>
      <c r="W275" s="20">
        <f>VLOOKUP(K275,'Int. Pa.'!$B$3:$C$58,2,FALSE)</f>
        <v>1</v>
      </c>
      <c r="X275" s="20">
        <f>VLOOKUP(L275,'Int. Pa.'!$B$3:$C$58,2,FALSE)</f>
        <v>1</v>
      </c>
      <c r="Y275" s="20">
        <f>VLOOKUP(M275,'Int. Pa.'!$B$3:$C$58,2,FALSE)</f>
        <v>5</v>
      </c>
      <c r="Z275" s="20">
        <f>VLOOKUP(N275,'Int. Pa.'!$B$3:$C$58,2,FALSE)</f>
        <v>6</v>
      </c>
      <c r="AA275" s="20">
        <f t="shared" si="12"/>
        <v>3</v>
      </c>
      <c r="AB275" s="20">
        <f t="shared" si="13"/>
        <v>34.166666666666664</v>
      </c>
    </row>
    <row r="276" spans="1:28">
      <c r="A276" s="80">
        <v>9</v>
      </c>
      <c r="B276" s="81">
        <v>653110109</v>
      </c>
      <c r="C276" s="82" t="s">
        <v>836</v>
      </c>
      <c r="D276" s="83">
        <v>2000</v>
      </c>
      <c r="E276" s="18" t="s">
        <v>7</v>
      </c>
      <c r="F276" s="18" t="s">
        <v>2</v>
      </c>
      <c r="G276" s="18" t="s">
        <v>88</v>
      </c>
      <c r="H276" s="18" t="s">
        <v>20</v>
      </c>
      <c r="I276" s="18" t="s">
        <v>24</v>
      </c>
      <c r="J276" s="18" t="s">
        <v>35</v>
      </c>
      <c r="K276" s="18" t="s">
        <v>38</v>
      </c>
      <c r="L276" s="18" t="s">
        <v>42</v>
      </c>
      <c r="M276" s="18" t="s">
        <v>50</v>
      </c>
      <c r="N276" s="18" t="s">
        <v>66</v>
      </c>
      <c r="O276" s="20">
        <f>2013-Table1[[#This Row],[Startup Year]]</f>
        <v>13</v>
      </c>
      <c r="P276" s="20"/>
      <c r="Q276" s="20">
        <f>VLOOKUP(E276,'Int. Pa.'!$B$3:$C$58,2,FALSE)</f>
        <v>1</v>
      </c>
      <c r="R276" s="20">
        <f>VLOOKUP(F276,'Int. Pa.'!$B$3:$C$58,2,FALSE)</f>
        <v>10</v>
      </c>
      <c r="S276" s="20">
        <f>VLOOKUP(G276,'Int. Pa.'!$B$3:$C$58,2,FALSE)</f>
        <v>0</v>
      </c>
      <c r="T276" s="20">
        <f>VLOOKUP(H276,'Int. Pa.'!$B$3:$C$58,2,FALSE)</f>
        <v>1</v>
      </c>
      <c r="U276" s="20">
        <f>VLOOKUP(I276,'Int. Pa.'!$B$3:$C$58,2,FALSE)</f>
        <v>0</v>
      </c>
      <c r="V276" s="20">
        <f>VLOOKUP(J276,'Int. Pa.'!$B$3:$C$58,2,FALSE)</f>
        <v>10</v>
      </c>
      <c r="W276" s="20">
        <f>VLOOKUP(K276,'Int. Pa.'!$B$3:$C$58,2,FALSE)</f>
        <v>1</v>
      </c>
      <c r="X276" s="20">
        <f>VLOOKUP(L276,'Int. Pa.'!$B$3:$C$58,2,FALSE)</f>
        <v>1</v>
      </c>
      <c r="Y276" s="20">
        <f>VLOOKUP(M276,'Int. Pa.'!$B$3:$C$58,2,FALSE)</f>
        <v>5</v>
      </c>
      <c r="Z276" s="20">
        <f>VLOOKUP(N276,'Int. Pa.'!$B$3:$C$58,2,FALSE)</f>
        <v>6</v>
      </c>
      <c r="AA276" s="20">
        <f t="shared" si="12"/>
        <v>3</v>
      </c>
      <c r="AB276" s="20">
        <f t="shared" si="13"/>
        <v>34.166666666666664</v>
      </c>
    </row>
    <row r="277" spans="1:28">
      <c r="A277" s="80">
        <v>9</v>
      </c>
      <c r="B277" s="81">
        <v>653110110</v>
      </c>
      <c r="C277" s="82" t="s">
        <v>838</v>
      </c>
      <c r="D277" s="83">
        <v>2000</v>
      </c>
      <c r="E277" s="18" t="s">
        <v>7</v>
      </c>
      <c r="F277" s="18" t="s">
        <v>2</v>
      </c>
      <c r="G277" s="18" t="s">
        <v>88</v>
      </c>
      <c r="H277" s="18" t="s">
        <v>20</v>
      </c>
      <c r="I277" s="18" t="s">
        <v>24</v>
      </c>
      <c r="J277" s="18" t="s">
        <v>35</v>
      </c>
      <c r="K277" s="18" t="s">
        <v>38</v>
      </c>
      <c r="L277" s="18" t="s">
        <v>42</v>
      </c>
      <c r="M277" s="18" t="s">
        <v>50</v>
      </c>
      <c r="N277" s="18" t="s">
        <v>66</v>
      </c>
      <c r="O277" s="20">
        <f>2013-Table1[[#This Row],[Startup Year]]</f>
        <v>13</v>
      </c>
      <c r="P277" s="20"/>
      <c r="Q277" s="20">
        <f>VLOOKUP(E277,'Int. Pa.'!$B$3:$C$58,2,FALSE)</f>
        <v>1</v>
      </c>
      <c r="R277" s="20">
        <f>VLOOKUP(F277,'Int. Pa.'!$B$3:$C$58,2,FALSE)</f>
        <v>10</v>
      </c>
      <c r="S277" s="20">
        <f>VLOOKUP(G277,'Int. Pa.'!$B$3:$C$58,2,FALSE)</f>
        <v>0</v>
      </c>
      <c r="T277" s="20">
        <f>VLOOKUP(H277,'Int. Pa.'!$B$3:$C$58,2,FALSE)</f>
        <v>1</v>
      </c>
      <c r="U277" s="20">
        <f>VLOOKUP(I277,'Int. Pa.'!$B$3:$C$58,2,FALSE)</f>
        <v>0</v>
      </c>
      <c r="V277" s="20">
        <f>VLOOKUP(J277,'Int. Pa.'!$B$3:$C$58,2,FALSE)</f>
        <v>10</v>
      </c>
      <c r="W277" s="20">
        <f>VLOOKUP(K277,'Int. Pa.'!$B$3:$C$58,2,FALSE)</f>
        <v>1</v>
      </c>
      <c r="X277" s="20">
        <f>VLOOKUP(L277,'Int. Pa.'!$B$3:$C$58,2,FALSE)</f>
        <v>1</v>
      </c>
      <c r="Y277" s="20">
        <f>VLOOKUP(M277,'Int. Pa.'!$B$3:$C$58,2,FALSE)</f>
        <v>5</v>
      </c>
      <c r="Z277" s="20">
        <f>VLOOKUP(N277,'Int. Pa.'!$B$3:$C$58,2,FALSE)</f>
        <v>6</v>
      </c>
      <c r="AA277" s="20">
        <f t="shared" si="12"/>
        <v>3</v>
      </c>
      <c r="AB277" s="20">
        <f t="shared" si="13"/>
        <v>34.166666666666664</v>
      </c>
    </row>
    <row r="278" spans="1:28">
      <c r="A278" s="80">
        <v>9</v>
      </c>
      <c r="B278" s="81">
        <v>653110111</v>
      </c>
      <c r="C278" s="82" t="s">
        <v>840</v>
      </c>
      <c r="D278" s="83">
        <v>2000</v>
      </c>
      <c r="E278" s="18" t="s">
        <v>7</v>
      </c>
      <c r="F278" s="18" t="s">
        <v>2</v>
      </c>
      <c r="G278" s="18" t="s">
        <v>88</v>
      </c>
      <c r="H278" s="18" t="s">
        <v>20</v>
      </c>
      <c r="I278" s="18" t="s">
        <v>24</v>
      </c>
      <c r="J278" s="18" t="s">
        <v>35</v>
      </c>
      <c r="K278" s="18" t="s">
        <v>38</v>
      </c>
      <c r="L278" s="18" t="s">
        <v>42</v>
      </c>
      <c r="M278" s="18" t="s">
        <v>50</v>
      </c>
      <c r="N278" s="18" t="s">
        <v>66</v>
      </c>
      <c r="O278" s="20">
        <f>2013-Table1[[#This Row],[Startup Year]]</f>
        <v>13</v>
      </c>
      <c r="P278" s="20"/>
      <c r="Q278" s="20">
        <f>VLOOKUP(E278,'Int. Pa.'!$B$3:$C$58,2,FALSE)</f>
        <v>1</v>
      </c>
      <c r="R278" s="20">
        <f>VLOOKUP(F278,'Int. Pa.'!$B$3:$C$58,2,FALSE)</f>
        <v>10</v>
      </c>
      <c r="S278" s="20">
        <f>VLOOKUP(G278,'Int. Pa.'!$B$3:$C$58,2,FALSE)</f>
        <v>0</v>
      </c>
      <c r="T278" s="20">
        <f>VLOOKUP(H278,'Int. Pa.'!$B$3:$C$58,2,FALSE)</f>
        <v>1</v>
      </c>
      <c r="U278" s="20">
        <f>VLOOKUP(I278,'Int. Pa.'!$B$3:$C$58,2,FALSE)</f>
        <v>0</v>
      </c>
      <c r="V278" s="20">
        <f>VLOOKUP(J278,'Int. Pa.'!$B$3:$C$58,2,FALSE)</f>
        <v>10</v>
      </c>
      <c r="W278" s="20">
        <f>VLOOKUP(K278,'Int. Pa.'!$B$3:$C$58,2,FALSE)</f>
        <v>1</v>
      </c>
      <c r="X278" s="20">
        <f>VLOOKUP(L278,'Int. Pa.'!$B$3:$C$58,2,FALSE)</f>
        <v>1</v>
      </c>
      <c r="Y278" s="20">
        <f>VLOOKUP(M278,'Int. Pa.'!$B$3:$C$58,2,FALSE)</f>
        <v>5</v>
      </c>
      <c r="Z278" s="20">
        <f>VLOOKUP(N278,'Int. Pa.'!$B$3:$C$58,2,FALSE)</f>
        <v>6</v>
      </c>
      <c r="AA278" s="20">
        <f t="shared" si="12"/>
        <v>3</v>
      </c>
      <c r="AB278" s="20">
        <f t="shared" si="13"/>
        <v>34.166666666666664</v>
      </c>
    </row>
    <row r="279" spans="1:28">
      <c r="A279" s="80">
        <v>9</v>
      </c>
      <c r="B279" s="81">
        <v>653110112</v>
      </c>
      <c r="C279" s="82" t="s">
        <v>842</v>
      </c>
      <c r="D279" s="83">
        <v>2000</v>
      </c>
      <c r="E279" s="18" t="s">
        <v>7</v>
      </c>
      <c r="F279" s="18" t="s">
        <v>2</v>
      </c>
      <c r="G279" s="18" t="s">
        <v>88</v>
      </c>
      <c r="H279" s="18" t="s">
        <v>20</v>
      </c>
      <c r="I279" s="18" t="s">
        <v>24</v>
      </c>
      <c r="J279" s="18" t="s">
        <v>35</v>
      </c>
      <c r="K279" s="18" t="s">
        <v>38</v>
      </c>
      <c r="L279" s="18" t="s">
        <v>42</v>
      </c>
      <c r="M279" s="18" t="s">
        <v>50</v>
      </c>
      <c r="N279" s="18" t="s">
        <v>66</v>
      </c>
      <c r="O279" s="20">
        <f>2013-Table1[[#This Row],[Startup Year]]</f>
        <v>13</v>
      </c>
      <c r="P279" s="20"/>
      <c r="Q279" s="20">
        <f>VLOOKUP(E279,'Int. Pa.'!$B$3:$C$58,2,FALSE)</f>
        <v>1</v>
      </c>
      <c r="R279" s="20">
        <f>VLOOKUP(F279,'Int. Pa.'!$B$3:$C$58,2,FALSE)</f>
        <v>10</v>
      </c>
      <c r="S279" s="20">
        <f>VLOOKUP(G279,'Int. Pa.'!$B$3:$C$58,2,FALSE)</f>
        <v>0</v>
      </c>
      <c r="T279" s="20">
        <f>VLOOKUP(H279,'Int. Pa.'!$B$3:$C$58,2,FALSE)</f>
        <v>1</v>
      </c>
      <c r="U279" s="20">
        <f>VLOOKUP(I279,'Int. Pa.'!$B$3:$C$58,2,FALSE)</f>
        <v>0</v>
      </c>
      <c r="V279" s="20">
        <f>VLOOKUP(J279,'Int. Pa.'!$B$3:$C$58,2,FALSE)</f>
        <v>10</v>
      </c>
      <c r="W279" s="20">
        <f>VLOOKUP(K279,'Int. Pa.'!$B$3:$C$58,2,FALSE)</f>
        <v>1</v>
      </c>
      <c r="X279" s="20">
        <f>VLOOKUP(L279,'Int. Pa.'!$B$3:$C$58,2,FALSE)</f>
        <v>1</v>
      </c>
      <c r="Y279" s="20">
        <f>VLOOKUP(M279,'Int. Pa.'!$B$3:$C$58,2,FALSE)</f>
        <v>5</v>
      </c>
      <c r="Z279" s="20">
        <f>VLOOKUP(N279,'Int. Pa.'!$B$3:$C$58,2,FALSE)</f>
        <v>6</v>
      </c>
      <c r="AA279" s="20">
        <f t="shared" si="12"/>
        <v>3</v>
      </c>
      <c r="AB279" s="20">
        <f t="shared" si="13"/>
        <v>34.166666666666664</v>
      </c>
    </row>
    <row r="280" spans="1:28">
      <c r="A280" s="80">
        <v>9</v>
      </c>
      <c r="B280" s="81">
        <v>553110113</v>
      </c>
      <c r="C280" s="82" t="s">
        <v>843</v>
      </c>
      <c r="D280" s="83">
        <v>2000</v>
      </c>
      <c r="E280" s="18" t="s">
        <v>7</v>
      </c>
      <c r="F280" s="18" t="s">
        <v>2</v>
      </c>
      <c r="G280" s="18" t="s">
        <v>88</v>
      </c>
      <c r="H280" s="18" t="s">
        <v>20</v>
      </c>
      <c r="I280" s="18" t="s">
        <v>24</v>
      </c>
      <c r="J280" s="18" t="s">
        <v>35</v>
      </c>
      <c r="K280" s="18" t="s">
        <v>38</v>
      </c>
      <c r="L280" s="18" t="s">
        <v>42</v>
      </c>
      <c r="M280" s="18" t="s">
        <v>50</v>
      </c>
      <c r="N280" s="18" t="s">
        <v>66</v>
      </c>
      <c r="O280" s="20">
        <f>2013-Table1[[#This Row],[Startup Year]]</f>
        <v>13</v>
      </c>
      <c r="P280" s="20"/>
      <c r="Q280" s="20">
        <f>VLOOKUP(E280,'Int. Pa.'!$B$3:$C$58,2,FALSE)</f>
        <v>1</v>
      </c>
      <c r="R280" s="20">
        <f>VLOOKUP(F280,'Int. Pa.'!$B$3:$C$58,2,FALSE)</f>
        <v>10</v>
      </c>
      <c r="S280" s="20">
        <f>VLOOKUP(G280,'Int. Pa.'!$B$3:$C$58,2,FALSE)</f>
        <v>0</v>
      </c>
      <c r="T280" s="20">
        <f>VLOOKUP(H280,'Int. Pa.'!$B$3:$C$58,2,FALSE)</f>
        <v>1</v>
      </c>
      <c r="U280" s="20">
        <f>VLOOKUP(I280,'Int. Pa.'!$B$3:$C$58,2,FALSE)</f>
        <v>0</v>
      </c>
      <c r="V280" s="20">
        <f>VLOOKUP(J280,'Int. Pa.'!$B$3:$C$58,2,FALSE)</f>
        <v>10</v>
      </c>
      <c r="W280" s="20">
        <f>VLOOKUP(K280,'Int. Pa.'!$B$3:$C$58,2,FALSE)</f>
        <v>1</v>
      </c>
      <c r="X280" s="20">
        <f>VLOOKUP(L280,'Int. Pa.'!$B$3:$C$58,2,FALSE)</f>
        <v>1</v>
      </c>
      <c r="Y280" s="20">
        <f>VLOOKUP(M280,'Int. Pa.'!$B$3:$C$58,2,FALSE)</f>
        <v>5</v>
      </c>
      <c r="Z280" s="20">
        <f>VLOOKUP(N280,'Int. Pa.'!$B$3:$C$58,2,FALSE)</f>
        <v>6</v>
      </c>
      <c r="AA280" s="20">
        <f t="shared" si="12"/>
        <v>3</v>
      </c>
      <c r="AB280" s="20">
        <f t="shared" si="13"/>
        <v>34.166666666666664</v>
      </c>
    </row>
    <row r="281" spans="1:28">
      <c r="A281" s="80">
        <v>9</v>
      </c>
      <c r="B281" s="81">
        <v>653110114</v>
      </c>
      <c r="C281" s="82"/>
      <c r="D281" s="83">
        <v>2000</v>
      </c>
      <c r="E281" s="18" t="s">
        <v>7</v>
      </c>
      <c r="F281" s="18" t="s">
        <v>2</v>
      </c>
      <c r="G281" s="18" t="s">
        <v>88</v>
      </c>
      <c r="H281" s="18" t="s">
        <v>20</v>
      </c>
      <c r="I281" s="18" t="s">
        <v>24</v>
      </c>
      <c r="J281" s="18" t="s">
        <v>35</v>
      </c>
      <c r="K281" s="18" t="s">
        <v>38</v>
      </c>
      <c r="L281" s="18" t="s">
        <v>42</v>
      </c>
      <c r="M281" s="18" t="s">
        <v>50</v>
      </c>
      <c r="N281" s="18" t="s">
        <v>66</v>
      </c>
      <c r="O281" s="20">
        <f>2013-Table1[[#This Row],[Startup Year]]</f>
        <v>13</v>
      </c>
      <c r="P281" s="20"/>
      <c r="Q281" s="20">
        <f>VLOOKUP(E281,'Int. Pa.'!$B$3:$C$58,2,FALSE)</f>
        <v>1</v>
      </c>
      <c r="R281" s="20">
        <f>VLOOKUP(F281,'Int. Pa.'!$B$3:$C$58,2,FALSE)</f>
        <v>10</v>
      </c>
      <c r="S281" s="20">
        <f>VLOOKUP(G281,'Int. Pa.'!$B$3:$C$58,2,FALSE)</f>
        <v>0</v>
      </c>
      <c r="T281" s="20">
        <f>VLOOKUP(H281,'Int. Pa.'!$B$3:$C$58,2,FALSE)</f>
        <v>1</v>
      </c>
      <c r="U281" s="20">
        <f>VLOOKUP(I281,'Int. Pa.'!$B$3:$C$58,2,FALSE)</f>
        <v>0</v>
      </c>
      <c r="V281" s="20">
        <f>VLOOKUP(J281,'Int. Pa.'!$B$3:$C$58,2,FALSE)</f>
        <v>10</v>
      </c>
      <c r="W281" s="20">
        <f>VLOOKUP(K281,'Int. Pa.'!$B$3:$C$58,2,FALSE)</f>
        <v>1</v>
      </c>
      <c r="X281" s="20">
        <f>VLOOKUP(L281,'Int. Pa.'!$B$3:$C$58,2,FALSE)</f>
        <v>1</v>
      </c>
      <c r="Y281" s="20">
        <f>VLOOKUP(M281,'Int. Pa.'!$B$3:$C$58,2,FALSE)</f>
        <v>5</v>
      </c>
      <c r="Z281" s="20">
        <f>VLOOKUP(N281,'Int. Pa.'!$B$3:$C$58,2,FALSE)</f>
        <v>6</v>
      </c>
      <c r="AA281" s="20">
        <f t="shared" si="12"/>
        <v>3</v>
      </c>
      <c r="AB281" s="20">
        <f t="shared" si="13"/>
        <v>34.166666666666664</v>
      </c>
    </row>
    <row r="282" spans="1:28">
      <c r="A282" s="80">
        <v>9</v>
      </c>
      <c r="B282" s="81">
        <v>653110115</v>
      </c>
      <c r="C282" s="82" t="s">
        <v>846</v>
      </c>
      <c r="D282" s="83">
        <v>2000</v>
      </c>
      <c r="E282" s="18" t="s">
        <v>7</v>
      </c>
      <c r="F282" s="18" t="s">
        <v>2</v>
      </c>
      <c r="G282" s="18" t="s">
        <v>88</v>
      </c>
      <c r="H282" s="18" t="s">
        <v>20</v>
      </c>
      <c r="I282" s="18" t="s">
        <v>24</v>
      </c>
      <c r="J282" s="18" t="s">
        <v>35</v>
      </c>
      <c r="K282" s="18" t="s">
        <v>38</v>
      </c>
      <c r="L282" s="18" t="s">
        <v>42</v>
      </c>
      <c r="M282" s="18" t="s">
        <v>50</v>
      </c>
      <c r="N282" s="18" t="s">
        <v>66</v>
      </c>
      <c r="O282" s="20">
        <f>2013-Table1[[#This Row],[Startup Year]]</f>
        <v>13</v>
      </c>
      <c r="P282" s="20"/>
      <c r="Q282" s="20">
        <f>VLOOKUP(E282,'Int. Pa.'!$B$3:$C$58,2,FALSE)</f>
        <v>1</v>
      </c>
      <c r="R282" s="20">
        <f>VLOOKUP(F282,'Int. Pa.'!$B$3:$C$58,2,FALSE)</f>
        <v>10</v>
      </c>
      <c r="S282" s="20">
        <f>VLOOKUP(G282,'Int. Pa.'!$B$3:$C$58,2,FALSE)</f>
        <v>0</v>
      </c>
      <c r="T282" s="20">
        <f>VLOOKUP(H282,'Int. Pa.'!$B$3:$C$58,2,FALSE)</f>
        <v>1</v>
      </c>
      <c r="U282" s="20">
        <f>VLOOKUP(I282,'Int. Pa.'!$B$3:$C$58,2,FALSE)</f>
        <v>0</v>
      </c>
      <c r="V282" s="20">
        <f>VLOOKUP(J282,'Int. Pa.'!$B$3:$C$58,2,FALSE)</f>
        <v>10</v>
      </c>
      <c r="W282" s="20">
        <f>VLOOKUP(K282,'Int. Pa.'!$B$3:$C$58,2,FALSE)</f>
        <v>1</v>
      </c>
      <c r="X282" s="20">
        <f>VLOOKUP(L282,'Int. Pa.'!$B$3:$C$58,2,FALSE)</f>
        <v>1</v>
      </c>
      <c r="Y282" s="20">
        <f>VLOOKUP(M282,'Int. Pa.'!$B$3:$C$58,2,FALSE)</f>
        <v>5</v>
      </c>
      <c r="Z282" s="20">
        <f>VLOOKUP(N282,'Int. Pa.'!$B$3:$C$58,2,FALSE)</f>
        <v>6</v>
      </c>
      <c r="AA282" s="20">
        <f t="shared" si="12"/>
        <v>3</v>
      </c>
      <c r="AB282" s="20">
        <f t="shared" si="13"/>
        <v>34.166666666666664</v>
      </c>
    </row>
    <row r="283" spans="1:28">
      <c r="A283" s="80">
        <v>9</v>
      </c>
      <c r="B283" s="81">
        <v>653110116</v>
      </c>
      <c r="C283" s="82" t="s">
        <v>848</v>
      </c>
      <c r="D283" s="83">
        <v>2000</v>
      </c>
      <c r="E283" s="18" t="s">
        <v>7</v>
      </c>
      <c r="F283" s="18" t="s">
        <v>2</v>
      </c>
      <c r="G283" s="18" t="s">
        <v>88</v>
      </c>
      <c r="H283" s="18" t="s">
        <v>20</v>
      </c>
      <c r="I283" s="18" t="s">
        <v>24</v>
      </c>
      <c r="J283" s="18" t="s">
        <v>35</v>
      </c>
      <c r="K283" s="18" t="s">
        <v>38</v>
      </c>
      <c r="L283" s="18" t="s">
        <v>42</v>
      </c>
      <c r="M283" s="18" t="s">
        <v>50</v>
      </c>
      <c r="N283" s="18" t="s">
        <v>66</v>
      </c>
      <c r="O283" s="20">
        <f>2013-Table1[[#This Row],[Startup Year]]</f>
        <v>13</v>
      </c>
      <c r="P283" s="20"/>
      <c r="Q283" s="20">
        <f>VLOOKUP(E283,'Int. Pa.'!$B$3:$C$58,2,FALSE)</f>
        <v>1</v>
      </c>
      <c r="R283" s="20">
        <f>VLOOKUP(F283,'Int. Pa.'!$B$3:$C$58,2,FALSE)</f>
        <v>10</v>
      </c>
      <c r="S283" s="20">
        <f>VLOOKUP(G283,'Int. Pa.'!$B$3:$C$58,2,FALSE)</f>
        <v>0</v>
      </c>
      <c r="T283" s="20">
        <f>VLOOKUP(H283,'Int. Pa.'!$B$3:$C$58,2,FALSE)</f>
        <v>1</v>
      </c>
      <c r="U283" s="20">
        <f>VLOOKUP(I283,'Int. Pa.'!$B$3:$C$58,2,FALSE)</f>
        <v>0</v>
      </c>
      <c r="V283" s="20">
        <f>VLOOKUP(J283,'Int. Pa.'!$B$3:$C$58,2,FALSE)</f>
        <v>10</v>
      </c>
      <c r="W283" s="20">
        <f>VLOOKUP(K283,'Int. Pa.'!$B$3:$C$58,2,FALSE)</f>
        <v>1</v>
      </c>
      <c r="X283" s="20">
        <f>VLOOKUP(L283,'Int. Pa.'!$B$3:$C$58,2,FALSE)</f>
        <v>1</v>
      </c>
      <c r="Y283" s="20">
        <f>VLOOKUP(M283,'Int. Pa.'!$B$3:$C$58,2,FALSE)</f>
        <v>5</v>
      </c>
      <c r="Z283" s="20">
        <f>VLOOKUP(N283,'Int. Pa.'!$B$3:$C$58,2,FALSE)</f>
        <v>6</v>
      </c>
      <c r="AA283" s="20">
        <f t="shared" si="12"/>
        <v>3</v>
      </c>
      <c r="AB283" s="20">
        <f t="shared" si="13"/>
        <v>34.166666666666664</v>
      </c>
    </row>
    <row r="284" spans="1:28">
      <c r="A284" s="80">
        <v>9</v>
      </c>
      <c r="B284" s="81">
        <v>653110117</v>
      </c>
      <c r="C284" s="82" t="s">
        <v>850</v>
      </c>
      <c r="D284" s="83">
        <v>2000</v>
      </c>
      <c r="E284" s="18" t="s">
        <v>7</v>
      </c>
      <c r="F284" s="18" t="s">
        <v>2</v>
      </c>
      <c r="G284" s="18" t="s">
        <v>88</v>
      </c>
      <c r="H284" s="18" t="s">
        <v>20</v>
      </c>
      <c r="I284" s="18" t="s">
        <v>24</v>
      </c>
      <c r="J284" s="18" t="s">
        <v>35</v>
      </c>
      <c r="K284" s="18" t="s">
        <v>38</v>
      </c>
      <c r="L284" s="18" t="s">
        <v>42</v>
      </c>
      <c r="M284" s="18" t="s">
        <v>50</v>
      </c>
      <c r="N284" s="18" t="s">
        <v>66</v>
      </c>
      <c r="O284" s="20">
        <f>2013-Table1[[#This Row],[Startup Year]]</f>
        <v>13</v>
      </c>
      <c r="P284" s="20"/>
      <c r="Q284" s="20">
        <f>VLOOKUP(E284,'Int. Pa.'!$B$3:$C$58,2,FALSE)</f>
        <v>1</v>
      </c>
      <c r="R284" s="20">
        <f>VLOOKUP(F284,'Int. Pa.'!$B$3:$C$58,2,FALSE)</f>
        <v>10</v>
      </c>
      <c r="S284" s="20">
        <f>VLOOKUP(G284,'Int. Pa.'!$B$3:$C$58,2,FALSE)</f>
        <v>0</v>
      </c>
      <c r="T284" s="20">
        <f>VLOOKUP(H284,'Int. Pa.'!$B$3:$C$58,2,FALSE)</f>
        <v>1</v>
      </c>
      <c r="U284" s="20">
        <f>VLOOKUP(I284,'Int. Pa.'!$B$3:$C$58,2,FALSE)</f>
        <v>0</v>
      </c>
      <c r="V284" s="20">
        <f>VLOOKUP(J284,'Int. Pa.'!$B$3:$C$58,2,FALSE)</f>
        <v>10</v>
      </c>
      <c r="W284" s="20">
        <f>VLOOKUP(K284,'Int. Pa.'!$B$3:$C$58,2,FALSE)</f>
        <v>1</v>
      </c>
      <c r="X284" s="20">
        <f>VLOOKUP(L284,'Int. Pa.'!$B$3:$C$58,2,FALSE)</f>
        <v>1</v>
      </c>
      <c r="Y284" s="20">
        <f>VLOOKUP(M284,'Int. Pa.'!$B$3:$C$58,2,FALSE)</f>
        <v>5</v>
      </c>
      <c r="Z284" s="20">
        <f>VLOOKUP(N284,'Int. Pa.'!$B$3:$C$58,2,FALSE)</f>
        <v>6</v>
      </c>
      <c r="AA284" s="20">
        <f t="shared" si="12"/>
        <v>3</v>
      </c>
      <c r="AB284" s="20">
        <f t="shared" si="13"/>
        <v>34.166666666666664</v>
      </c>
    </row>
    <row r="285" spans="1:28">
      <c r="A285" s="80">
        <v>9</v>
      </c>
      <c r="B285" s="81">
        <v>6531102</v>
      </c>
      <c r="C285" s="82" t="s">
        <v>819</v>
      </c>
      <c r="D285" s="83">
        <v>2000</v>
      </c>
      <c r="E285" s="18" t="s">
        <v>7</v>
      </c>
      <c r="F285" s="18" t="s">
        <v>2</v>
      </c>
      <c r="G285" s="18" t="s">
        <v>88</v>
      </c>
      <c r="H285" s="18" t="s">
        <v>20</v>
      </c>
      <c r="I285" s="18" t="s">
        <v>24</v>
      </c>
      <c r="J285" s="18" t="s">
        <v>35</v>
      </c>
      <c r="K285" s="18" t="s">
        <v>38</v>
      </c>
      <c r="L285" s="18" t="s">
        <v>42</v>
      </c>
      <c r="M285" s="18" t="s">
        <v>50</v>
      </c>
      <c r="N285" s="18" t="s">
        <v>66</v>
      </c>
      <c r="O285" s="20">
        <f>2013-Table1[[#This Row],[Startup Year]]</f>
        <v>13</v>
      </c>
      <c r="P285" s="20"/>
      <c r="Q285" s="20">
        <f>VLOOKUP(E285,'Int. Pa.'!$B$3:$C$58,2,FALSE)</f>
        <v>1</v>
      </c>
      <c r="R285" s="20">
        <f>VLOOKUP(F285,'Int. Pa.'!$B$3:$C$58,2,FALSE)</f>
        <v>10</v>
      </c>
      <c r="S285" s="20">
        <f>VLOOKUP(G285,'Int. Pa.'!$B$3:$C$58,2,FALSE)</f>
        <v>0</v>
      </c>
      <c r="T285" s="20">
        <f>VLOOKUP(H285,'Int. Pa.'!$B$3:$C$58,2,FALSE)</f>
        <v>1</v>
      </c>
      <c r="U285" s="20">
        <f>VLOOKUP(I285,'Int. Pa.'!$B$3:$C$58,2,FALSE)</f>
        <v>0</v>
      </c>
      <c r="V285" s="20">
        <f>VLOOKUP(J285,'Int. Pa.'!$B$3:$C$58,2,FALSE)</f>
        <v>10</v>
      </c>
      <c r="W285" s="20">
        <f>VLOOKUP(K285,'Int. Pa.'!$B$3:$C$58,2,FALSE)</f>
        <v>1</v>
      </c>
      <c r="X285" s="20">
        <f>VLOOKUP(L285,'Int. Pa.'!$B$3:$C$58,2,FALSE)</f>
        <v>1</v>
      </c>
      <c r="Y285" s="20">
        <f>VLOOKUP(M285,'Int. Pa.'!$B$3:$C$58,2,FALSE)</f>
        <v>5</v>
      </c>
      <c r="Z285" s="20">
        <f>VLOOKUP(N285,'Int. Pa.'!$B$3:$C$58,2,FALSE)</f>
        <v>6</v>
      </c>
      <c r="AA285" s="20">
        <f t="shared" si="12"/>
        <v>3</v>
      </c>
      <c r="AB285" s="20">
        <f t="shared" si="13"/>
        <v>34.166666666666664</v>
      </c>
    </row>
    <row r="286" spans="1:28">
      <c r="A286" s="80">
        <v>9</v>
      </c>
      <c r="B286" s="81">
        <v>653110201</v>
      </c>
      <c r="C286" s="82" t="s">
        <v>852</v>
      </c>
      <c r="D286" s="83">
        <v>2000</v>
      </c>
      <c r="E286" s="18" t="s">
        <v>7</v>
      </c>
      <c r="F286" s="18" t="s">
        <v>2</v>
      </c>
      <c r="G286" s="18" t="s">
        <v>88</v>
      </c>
      <c r="H286" s="18" t="s">
        <v>20</v>
      </c>
      <c r="I286" s="18" t="s">
        <v>24</v>
      </c>
      <c r="J286" s="18" t="s">
        <v>35</v>
      </c>
      <c r="K286" s="18" t="s">
        <v>38</v>
      </c>
      <c r="L286" s="18" t="s">
        <v>42</v>
      </c>
      <c r="M286" s="18" t="s">
        <v>50</v>
      </c>
      <c r="N286" s="18" t="s">
        <v>66</v>
      </c>
      <c r="O286" s="20">
        <f>2013-Table1[[#This Row],[Startup Year]]</f>
        <v>13</v>
      </c>
      <c r="P286" s="20"/>
      <c r="Q286" s="20">
        <f>VLOOKUP(E286,'Int. Pa.'!$B$3:$C$58,2,FALSE)</f>
        <v>1</v>
      </c>
      <c r="R286" s="20">
        <f>VLOOKUP(F286,'Int. Pa.'!$B$3:$C$58,2,FALSE)</f>
        <v>10</v>
      </c>
      <c r="S286" s="20">
        <f>VLOOKUP(G286,'Int. Pa.'!$B$3:$C$58,2,FALSE)</f>
        <v>0</v>
      </c>
      <c r="T286" s="20">
        <f>VLOOKUP(H286,'Int. Pa.'!$B$3:$C$58,2,FALSE)</f>
        <v>1</v>
      </c>
      <c r="U286" s="20">
        <f>VLOOKUP(I286,'Int. Pa.'!$B$3:$C$58,2,FALSE)</f>
        <v>0</v>
      </c>
      <c r="V286" s="20">
        <f>VLOOKUP(J286,'Int. Pa.'!$B$3:$C$58,2,FALSE)</f>
        <v>10</v>
      </c>
      <c r="W286" s="20">
        <f>VLOOKUP(K286,'Int. Pa.'!$B$3:$C$58,2,FALSE)</f>
        <v>1</v>
      </c>
      <c r="X286" s="20">
        <f>VLOOKUP(L286,'Int. Pa.'!$B$3:$C$58,2,FALSE)</f>
        <v>1</v>
      </c>
      <c r="Y286" s="20">
        <f>VLOOKUP(M286,'Int. Pa.'!$B$3:$C$58,2,FALSE)</f>
        <v>5</v>
      </c>
      <c r="Z286" s="20">
        <f>VLOOKUP(N286,'Int. Pa.'!$B$3:$C$58,2,FALSE)</f>
        <v>6</v>
      </c>
      <c r="AA286" s="20">
        <f t="shared" si="12"/>
        <v>3</v>
      </c>
      <c r="AB286" s="20">
        <f t="shared" si="13"/>
        <v>34.166666666666664</v>
      </c>
    </row>
    <row r="287" spans="1:28">
      <c r="A287" s="80">
        <v>9</v>
      </c>
      <c r="B287" s="81">
        <v>653110202</v>
      </c>
      <c r="C287" s="82" t="s">
        <v>819</v>
      </c>
      <c r="D287" s="83">
        <v>2000</v>
      </c>
      <c r="E287" s="18" t="s">
        <v>7</v>
      </c>
      <c r="F287" s="18" t="s">
        <v>2</v>
      </c>
      <c r="G287" s="18" t="s">
        <v>88</v>
      </c>
      <c r="H287" s="18" t="s">
        <v>20</v>
      </c>
      <c r="I287" s="18" t="s">
        <v>24</v>
      </c>
      <c r="J287" s="18" t="s">
        <v>35</v>
      </c>
      <c r="K287" s="18" t="s">
        <v>38</v>
      </c>
      <c r="L287" s="18" t="s">
        <v>42</v>
      </c>
      <c r="M287" s="18" t="s">
        <v>50</v>
      </c>
      <c r="N287" s="18" t="s">
        <v>66</v>
      </c>
      <c r="O287" s="20">
        <f>2013-Table1[[#This Row],[Startup Year]]</f>
        <v>13</v>
      </c>
      <c r="P287" s="20"/>
      <c r="Q287" s="20">
        <f>VLOOKUP(E287,'Int. Pa.'!$B$3:$C$58,2,FALSE)</f>
        <v>1</v>
      </c>
      <c r="R287" s="20">
        <f>VLOOKUP(F287,'Int. Pa.'!$B$3:$C$58,2,FALSE)</f>
        <v>10</v>
      </c>
      <c r="S287" s="20">
        <f>VLOOKUP(G287,'Int. Pa.'!$B$3:$C$58,2,FALSE)</f>
        <v>0</v>
      </c>
      <c r="T287" s="20">
        <f>VLOOKUP(H287,'Int. Pa.'!$B$3:$C$58,2,FALSE)</f>
        <v>1</v>
      </c>
      <c r="U287" s="20">
        <f>VLOOKUP(I287,'Int. Pa.'!$B$3:$C$58,2,FALSE)</f>
        <v>0</v>
      </c>
      <c r="V287" s="20">
        <f>VLOOKUP(J287,'Int. Pa.'!$B$3:$C$58,2,FALSE)</f>
        <v>10</v>
      </c>
      <c r="W287" s="20">
        <f>VLOOKUP(K287,'Int. Pa.'!$B$3:$C$58,2,FALSE)</f>
        <v>1</v>
      </c>
      <c r="X287" s="20">
        <f>VLOOKUP(L287,'Int. Pa.'!$B$3:$C$58,2,FALSE)</f>
        <v>1</v>
      </c>
      <c r="Y287" s="20">
        <f>VLOOKUP(M287,'Int. Pa.'!$B$3:$C$58,2,FALSE)</f>
        <v>5</v>
      </c>
      <c r="Z287" s="20">
        <f>VLOOKUP(N287,'Int. Pa.'!$B$3:$C$58,2,FALSE)</f>
        <v>6</v>
      </c>
      <c r="AA287" s="20">
        <f t="shared" si="12"/>
        <v>3</v>
      </c>
      <c r="AB287" s="20">
        <f t="shared" si="13"/>
        <v>34.166666666666664</v>
      </c>
    </row>
    <row r="288" spans="1:28">
      <c r="A288" s="80">
        <v>9</v>
      </c>
      <c r="B288" s="81">
        <v>6531103</v>
      </c>
      <c r="C288" s="82"/>
      <c r="D288" s="83">
        <v>2000</v>
      </c>
      <c r="E288" s="18" t="s">
        <v>7</v>
      </c>
      <c r="F288" s="18" t="s">
        <v>2</v>
      </c>
      <c r="G288" s="18" t="s">
        <v>88</v>
      </c>
      <c r="H288" s="18" t="s">
        <v>20</v>
      </c>
      <c r="I288" s="18" t="s">
        <v>24</v>
      </c>
      <c r="J288" s="18" t="s">
        <v>35</v>
      </c>
      <c r="K288" s="18" t="s">
        <v>38</v>
      </c>
      <c r="L288" s="18" t="s">
        <v>42</v>
      </c>
      <c r="M288" s="18" t="s">
        <v>50</v>
      </c>
      <c r="N288" s="18" t="s">
        <v>66</v>
      </c>
      <c r="O288" s="20">
        <f>2013-Table1[[#This Row],[Startup Year]]</f>
        <v>13</v>
      </c>
      <c r="P288" s="20"/>
      <c r="Q288" s="20">
        <f>VLOOKUP(E288,'Int. Pa.'!$B$3:$C$58,2,FALSE)</f>
        <v>1</v>
      </c>
      <c r="R288" s="20">
        <f>VLOOKUP(F288,'Int. Pa.'!$B$3:$C$58,2,FALSE)</f>
        <v>10</v>
      </c>
      <c r="S288" s="20">
        <f>VLOOKUP(G288,'Int. Pa.'!$B$3:$C$58,2,FALSE)</f>
        <v>0</v>
      </c>
      <c r="T288" s="20">
        <f>VLOOKUP(H288,'Int. Pa.'!$B$3:$C$58,2,FALSE)</f>
        <v>1</v>
      </c>
      <c r="U288" s="20">
        <f>VLOOKUP(I288,'Int. Pa.'!$B$3:$C$58,2,FALSE)</f>
        <v>0</v>
      </c>
      <c r="V288" s="20">
        <f>VLOOKUP(J288,'Int. Pa.'!$B$3:$C$58,2,FALSE)</f>
        <v>10</v>
      </c>
      <c r="W288" s="20">
        <f>VLOOKUP(K288,'Int. Pa.'!$B$3:$C$58,2,FALSE)</f>
        <v>1</v>
      </c>
      <c r="X288" s="20">
        <f>VLOOKUP(L288,'Int. Pa.'!$B$3:$C$58,2,FALSE)</f>
        <v>1</v>
      </c>
      <c r="Y288" s="20">
        <f>VLOOKUP(M288,'Int. Pa.'!$B$3:$C$58,2,FALSE)</f>
        <v>5</v>
      </c>
      <c r="Z288" s="20">
        <f>VLOOKUP(N288,'Int. Pa.'!$B$3:$C$58,2,FALSE)</f>
        <v>6</v>
      </c>
      <c r="AA288" s="20">
        <f t="shared" si="12"/>
        <v>3</v>
      </c>
      <c r="AB288" s="20">
        <f t="shared" si="13"/>
        <v>34.166666666666664</v>
      </c>
    </row>
    <row r="289" spans="1:28">
      <c r="A289" s="80">
        <v>9</v>
      </c>
      <c r="B289" s="81">
        <v>6531104</v>
      </c>
      <c r="C289" s="82"/>
      <c r="D289" s="83">
        <v>2000</v>
      </c>
      <c r="E289" s="18" t="s">
        <v>7</v>
      </c>
      <c r="F289" s="18" t="s">
        <v>2</v>
      </c>
      <c r="G289" s="18" t="s">
        <v>88</v>
      </c>
      <c r="H289" s="18" t="s">
        <v>20</v>
      </c>
      <c r="I289" s="18" t="s">
        <v>24</v>
      </c>
      <c r="J289" s="18" t="s">
        <v>35</v>
      </c>
      <c r="K289" s="18" t="s">
        <v>38</v>
      </c>
      <c r="L289" s="18" t="s">
        <v>42</v>
      </c>
      <c r="M289" s="18" t="s">
        <v>50</v>
      </c>
      <c r="N289" s="18" t="s">
        <v>66</v>
      </c>
      <c r="O289" s="20">
        <f>2013-Table1[[#This Row],[Startup Year]]</f>
        <v>13</v>
      </c>
      <c r="P289" s="20"/>
      <c r="Q289" s="20">
        <f>VLOOKUP(E289,'Int. Pa.'!$B$3:$C$58,2,FALSE)</f>
        <v>1</v>
      </c>
      <c r="R289" s="20">
        <f>VLOOKUP(F289,'Int. Pa.'!$B$3:$C$58,2,FALSE)</f>
        <v>10</v>
      </c>
      <c r="S289" s="20">
        <f>VLOOKUP(G289,'Int. Pa.'!$B$3:$C$58,2,FALSE)</f>
        <v>0</v>
      </c>
      <c r="T289" s="20">
        <f>VLOOKUP(H289,'Int. Pa.'!$B$3:$C$58,2,FALSE)</f>
        <v>1</v>
      </c>
      <c r="U289" s="20">
        <f>VLOOKUP(I289,'Int. Pa.'!$B$3:$C$58,2,FALSE)</f>
        <v>0</v>
      </c>
      <c r="V289" s="20">
        <f>VLOOKUP(J289,'Int. Pa.'!$B$3:$C$58,2,FALSE)</f>
        <v>10</v>
      </c>
      <c r="W289" s="20">
        <f>VLOOKUP(K289,'Int. Pa.'!$B$3:$C$58,2,FALSE)</f>
        <v>1</v>
      </c>
      <c r="X289" s="20">
        <f>VLOOKUP(L289,'Int. Pa.'!$B$3:$C$58,2,FALSE)</f>
        <v>1</v>
      </c>
      <c r="Y289" s="20">
        <f>VLOOKUP(M289,'Int. Pa.'!$B$3:$C$58,2,FALSE)</f>
        <v>5</v>
      </c>
      <c r="Z289" s="20">
        <f>VLOOKUP(N289,'Int. Pa.'!$B$3:$C$58,2,FALSE)</f>
        <v>6</v>
      </c>
      <c r="AA289" s="20">
        <f t="shared" si="12"/>
        <v>3</v>
      </c>
      <c r="AB289" s="20">
        <f t="shared" si="13"/>
        <v>34.166666666666664</v>
      </c>
    </row>
    <row r="290" spans="1:28">
      <c r="A290" s="84">
        <v>9</v>
      </c>
      <c r="B290" s="81">
        <v>63401</v>
      </c>
      <c r="C290" s="82" t="s">
        <v>345</v>
      </c>
      <c r="D290" s="86">
        <v>2000</v>
      </c>
      <c r="E290" s="18" t="s">
        <v>7</v>
      </c>
      <c r="F290" s="18" t="s">
        <v>2</v>
      </c>
      <c r="G290" s="18" t="s">
        <v>88</v>
      </c>
      <c r="H290" s="18" t="s">
        <v>20</v>
      </c>
      <c r="I290" s="18" t="s">
        <v>24</v>
      </c>
      <c r="J290" s="18" t="s">
        <v>35</v>
      </c>
      <c r="K290" s="18" t="s">
        <v>38</v>
      </c>
      <c r="L290" s="18" t="s">
        <v>42</v>
      </c>
      <c r="M290" s="18" t="s">
        <v>50</v>
      </c>
      <c r="N290" s="18" t="s">
        <v>66</v>
      </c>
      <c r="O290" s="20">
        <f>2013-Table1[[#This Row],[Startup Year]]</f>
        <v>13</v>
      </c>
      <c r="P290" s="20"/>
      <c r="Q290" s="20">
        <f>VLOOKUP(E290,'Int. Pa.'!$B$3:$C$58,2,FALSE)</f>
        <v>1</v>
      </c>
      <c r="R290" s="20">
        <f>VLOOKUP(F290,'Int. Pa.'!$B$3:$C$58,2,FALSE)</f>
        <v>10</v>
      </c>
      <c r="S290" s="20">
        <f>VLOOKUP(G290,'Int. Pa.'!$B$3:$C$58,2,FALSE)</f>
        <v>0</v>
      </c>
      <c r="T290" s="20">
        <f>VLOOKUP(H290,'Int. Pa.'!$B$3:$C$58,2,FALSE)</f>
        <v>1</v>
      </c>
      <c r="U290" s="20">
        <f>VLOOKUP(I290,'Int. Pa.'!$B$3:$C$58,2,FALSE)</f>
        <v>0</v>
      </c>
      <c r="V290" s="20">
        <f>VLOOKUP(J290,'Int. Pa.'!$B$3:$C$58,2,FALSE)</f>
        <v>10</v>
      </c>
      <c r="W290" s="20">
        <f>VLOOKUP(K290,'Int. Pa.'!$B$3:$C$58,2,FALSE)</f>
        <v>1</v>
      </c>
      <c r="X290" s="20">
        <f>VLOOKUP(L290,'Int. Pa.'!$B$3:$C$58,2,FALSE)</f>
        <v>1</v>
      </c>
      <c r="Y290" s="20">
        <f>VLOOKUP(M290,'Int. Pa.'!$B$3:$C$58,2,FALSE)</f>
        <v>5</v>
      </c>
      <c r="Z290" s="20">
        <f>VLOOKUP(N290,'Int. Pa.'!$B$3:$C$58,2,FALSE)</f>
        <v>6</v>
      </c>
      <c r="AA290" s="20">
        <f t="shared" si="12"/>
        <v>3</v>
      </c>
      <c r="AB290" s="20">
        <f t="shared" si="13"/>
        <v>34.166666666666664</v>
      </c>
    </row>
    <row r="291" spans="1:28">
      <c r="A291" s="80">
        <v>9</v>
      </c>
      <c r="B291" s="81">
        <v>6340101</v>
      </c>
      <c r="C291" s="82" t="s">
        <v>793</v>
      </c>
      <c r="D291" s="83">
        <v>2000</v>
      </c>
      <c r="E291" s="18" t="s">
        <v>7</v>
      </c>
      <c r="F291" s="18" t="s">
        <v>2</v>
      </c>
      <c r="G291" s="18" t="s">
        <v>88</v>
      </c>
      <c r="H291" s="18" t="s">
        <v>20</v>
      </c>
      <c r="I291" s="18" t="s">
        <v>24</v>
      </c>
      <c r="J291" s="18" t="s">
        <v>35</v>
      </c>
      <c r="K291" s="18" t="s">
        <v>38</v>
      </c>
      <c r="L291" s="18" t="s">
        <v>42</v>
      </c>
      <c r="M291" s="18" t="s">
        <v>50</v>
      </c>
      <c r="N291" s="18" t="s">
        <v>66</v>
      </c>
      <c r="O291" s="20">
        <f>2013-Table1[[#This Row],[Startup Year]]</f>
        <v>13</v>
      </c>
      <c r="P291" s="20"/>
      <c r="Q291" s="20">
        <f>VLOOKUP(E291,'Int. Pa.'!$B$3:$C$58,2,FALSE)</f>
        <v>1</v>
      </c>
      <c r="R291" s="20">
        <f>VLOOKUP(F291,'Int. Pa.'!$B$3:$C$58,2,FALSE)</f>
        <v>10</v>
      </c>
      <c r="S291" s="20">
        <f>VLOOKUP(G291,'Int. Pa.'!$B$3:$C$58,2,FALSE)</f>
        <v>0</v>
      </c>
      <c r="T291" s="20">
        <f>VLOOKUP(H291,'Int. Pa.'!$B$3:$C$58,2,FALSE)</f>
        <v>1</v>
      </c>
      <c r="U291" s="20">
        <f>VLOOKUP(I291,'Int. Pa.'!$B$3:$C$58,2,FALSE)</f>
        <v>0</v>
      </c>
      <c r="V291" s="20">
        <f>VLOOKUP(J291,'Int. Pa.'!$B$3:$C$58,2,FALSE)</f>
        <v>10</v>
      </c>
      <c r="W291" s="20">
        <f>VLOOKUP(K291,'Int. Pa.'!$B$3:$C$58,2,FALSE)</f>
        <v>1</v>
      </c>
      <c r="X291" s="20">
        <f>VLOOKUP(L291,'Int. Pa.'!$B$3:$C$58,2,FALSE)</f>
        <v>1</v>
      </c>
      <c r="Y291" s="20">
        <f>VLOOKUP(M291,'Int. Pa.'!$B$3:$C$58,2,FALSE)</f>
        <v>5</v>
      </c>
      <c r="Z291" s="20">
        <f>VLOOKUP(N291,'Int. Pa.'!$B$3:$C$58,2,FALSE)</f>
        <v>6</v>
      </c>
      <c r="AA291" s="20">
        <f t="shared" si="12"/>
        <v>3</v>
      </c>
      <c r="AB291" s="20">
        <f t="shared" si="13"/>
        <v>34.166666666666664</v>
      </c>
    </row>
    <row r="292" spans="1:28">
      <c r="A292" s="80">
        <v>9</v>
      </c>
      <c r="B292" s="81">
        <v>634010101</v>
      </c>
      <c r="C292" s="82" t="s">
        <v>793</v>
      </c>
      <c r="D292" s="83">
        <v>2000</v>
      </c>
      <c r="E292" s="18" t="s">
        <v>7</v>
      </c>
      <c r="F292" s="18" t="s">
        <v>2</v>
      </c>
      <c r="G292" s="18" t="s">
        <v>88</v>
      </c>
      <c r="H292" s="18" t="s">
        <v>20</v>
      </c>
      <c r="I292" s="18" t="s">
        <v>24</v>
      </c>
      <c r="J292" s="18" t="s">
        <v>35</v>
      </c>
      <c r="K292" s="18" t="s">
        <v>38</v>
      </c>
      <c r="L292" s="18" t="s">
        <v>42</v>
      </c>
      <c r="M292" s="18" t="s">
        <v>50</v>
      </c>
      <c r="N292" s="18" t="s">
        <v>66</v>
      </c>
      <c r="O292" s="20">
        <f>2013-Table1[[#This Row],[Startup Year]]</f>
        <v>13</v>
      </c>
      <c r="P292" s="20"/>
      <c r="Q292" s="20">
        <f>VLOOKUP(E292,'Int. Pa.'!$B$3:$C$58,2,FALSE)</f>
        <v>1</v>
      </c>
      <c r="R292" s="20">
        <f>VLOOKUP(F292,'Int. Pa.'!$B$3:$C$58,2,FALSE)</f>
        <v>10</v>
      </c>
      <c r="S292" s="20">
        <f>VLOOKUP(G292,'Int. Pa.'!$B$3:$C$58,2,FALSE)</f>
        <v>0</v>
      </c>
      <c r="T292" s="20">
        <f>VLOOKUP(H292,'Int. Pa.'!$B$3:$C$58,2,FALSE)</f>
        <v>1</v>
      </c>
      <c r="U292" s="20">
        <f>VLOOKUP(I292,'Int. Pa.'!$B$3:$C$58,2,FALSE)</f>
        <v>0</v>
      </c>
      <c r="V292" s="20">
        <f>VLOOKUP(J292,'Int. Pa.'!$B$3:$C$58,2,FALSE)</f>
        <v>10</v>
      </c>
      <c r="W292" s="20">
        <f>VLOOKUP(K292,'Int. Pa.'!$B$3:$C$58,2,FALSE)</f>
        <v>1</v>
      </c>
      <c r="X292" s="20">
        <f>VLOOKUP(L292,'Int. Pa.'!$B$3:$C$58,2,FALSE)</f>
        <v>1</v>
      </c>
      <c r="Y292" s="20">
        <f>VLOOKUP(M292,'Int. Pa.'!$B$3:$C$58,2,FALSE)</f>
        <v>5</v>
      </c>
      <c r="Z292" s="20">
        <f>VLOOKUP(N292,'Int. Pa.'!$B$3:$C$58,2,FALSE)</f>
        <v>6</v>
      </c>
      <c r="AA292" s="20">
        <f t="shared" si="12"/>
        <v>3</v>
      </c>
      <c r="AB292" s="20">
        <f t="shared" si="13"/>
        <v>34.166666666666664</v>
      </c>
    </row>
    <row r="293" spans="1:28">
      <c r="A293" s="80">
        <v>9</v>
      </c>
      <c r="B293" s="81">
        <v>6340102</v>
      </c>
      <c r="C293" s="82" t="s">
        <v>795</v>
      </c>
      <c r="D293" s="83">
        <v>2000</v>
      </c>
      <c r="E293" s="18" t="s">
        <v>7</v>
      </c>
      <c r="F293" s="18" t="s">
        <v>2</v>
      </c>
      <c r="G293" s="18" t="s">
        <v>88</v>
      </c>
      <c r="H293" s="18" t="s">
        <v>20</v>
      </c>
      <c r="I293" s="18" t="s">
        <v>24</v>
      </c>
      <c r="J293" s="18" t="s">
        <v>35</v>
      </c>
      <c r="K293" s="18" t="s">
        <v>38</v>
      </c>
      <c r="L293" s="18" t="s">
        <v>42</v>
      </c>
      <c r="M293" s="18" t="s">
        <v>50</v>
      </c>
      <c r="N293" s="18" t="s">
        <v>66</v>
      </c>
      <c r="O293" s="20">
        <f>2013-Table1[[#This Row],[Startup Year]]</f>
        <v>13</v>
      </c>
      <c r="P293" s="20"/>
      <c r="Q293" s="20">
        <f>VLOOKUP(E293,'Int. Pa.'!$B$3:$C$58,2,FALSE)</f>
        <v>1</v>
      </c>
      <c r="R293" s="20">
        <f>VLOOKUP(F293,'Int. Pa.'!$B$3:$C$58,2,FALSE)</f>
        <v>10</v>
      </c>
      <c r="S293" s="20">
        <f>VLOOKUP(G293,'Int. Pa.'!$B$3:$C$58,2,FALSE)</f>
        <v>0</v>
      </c>
      <c r="T293" s="20">
        <f>VLOOKUP(H293,'Int. Pa.'!$B$3:$C$58,2,FALSE)</f>
        <v>1</v>
      </c>
      <c r="U293" s="20">
        <f>VLOOKUP(I293,'Int. Pa.'!$B$3:$C$58,2,FALSE)</f>
        <v>0</v>
      </c>
      <c r="V293" s="20">
        <f>VLOOKUP(J293,'Int. Pa.'!$B$3:$C$58,2,FALSE)</f>
        <v>10</v>
      </c>
      <c r="W293" s="20">
        <f>VLOOKUP(K293,'Int. Pa.'!$B$3:$C$58,2,FALSE)</f>
        <v>1</v>
      </c>
      <c r="X293" s="20">
        <f>VLOOKUP(L293,'Int. Pa.'!$B$3:$C$58,2,FALSE)</f>
        <v>1</v>
      </c>
      <c r="Y293" s="20">
        <f>VLOOKUP(M293,'Int. Pa.'!$B$3:$C$58,2,FALSE)</f>
        <v>5</v>
      </c>
      <c r="Z293" s="20">
        <f>VLOOKUP(N293,'Int. Pa.'!$B$3:$C$58,2,FALSE)</f>
        <v>6</v>
      </c>
      <c r="AA293" s="20">
        <f t="shared" si="12"/>
        <v>3</v>
      </c>
      <c r="AB293" s="20">
        <f t="shared" si="13"/>
        <v>34.166666666666664</v>
      </c>
    </row>
    <row r="294" spans="1:28">
      <c r="A294" s="84">
        <v>9</v>
      </c>
      <c r="B294" s="81">
        <v>65306</v>
      </c>
      <c r="C294" s="82" t="s">
        <v>346</v>
      </c>
      <c r="D294" s="86">
        <v>2000</v>
      </c>
      <c r="E294" s="18" t="s">
        <v>7</v>
      </c>
      <c r="F294" s="18" t="s">
        <v>2</v>
      </c>
      <c r="G294" s="18" t="s">
        <v>88</v>
      </c>
      <c r="H294" s="18" t="s">
        <v>20</v>
      </c>
      <c r="I294" s="18" t="s">
        <v>24</v>
      </c>
      <c r="J294" s="18" t="s">
        <v>35</v>
      </c>
      <c r="K294" s="18" t="s">
        <v>38</v>
      </c>
      <c r="L294" s="18" t="s">
        <v>42</v>
      </c>
      <c r="M294" s="18" t="s">
        <v>50</v>
      </c>
      <c r="N294" s="18" t="s">
        <v>66</v>
      </c>
      <c r="O294" s="20">
        <f>2013-Table1[[#This Row],[Startup Year]]</f>
        <v>13</v>
      </c>
      <c r="P294" s="20"/>
      <c r="Q294" s="20">
        <f>VLOOKUP(E294,'Int. Pa.'!$B$3:$C$58,2,FALSE)</f>
        <v>1</v>
      </c>
      <c r="R294" s="20">
        <f>VLOOKUP(F294,'Int. Pa.'!$B$3:$C$58,2,FALSE)</f>
        <v>10</v>
      </c>
      <c r="S294" s="20">
        <f>VLOOKUP(G294,'Int. Pa.'!$B$3:$C$58,2,FALSE)</f>
        <v>0</v>
      </c>
      <c r="T294" s="20">
        <f>VLOOKUP(H294,'Int. Pa.'!$B$3:$C$58,2,FALSE)</f>
        <v>1</v>
      </c>
      <c r="U294" s="20">
        <f>VLOOKUP(I294,'Int. Pa.'!$B$3:$C$58,2,FALSE)</f>
        <v>0</v>
      </c>
      <c r="V294" s="20">
        <f>VLOOKUP(J294,'Int. Pa.'!$B$3:$C$58,2,FALSE)</f>
        <v>10</v>
      </c>
      <c r="W294" s="20">
        <f>VLOOKUP(K294,'Int. Pa.'!$B$3:$C$58,2,FALSE)</f>
        <v>1</v>
      </c>
      <c r="X294" s="20">
        <f>VLOOKUP(L294,'Int. Pa.'!$B$3:$C$58,2,FALSE)</f>
        <v>1</v>
      </c>
      <c r="Y294" s="20">
        <f>VLOOKUP(M294,'Int. Pa.'!$B$3:$C$58,2,FALSE)</f>
        <v>5</v>
      </c>
      <c r="Z294" s="20">
        <f>VLOOKUP(N294,'Int. Pa.'!$B$3:$C$58,2,FALSE)</f>
        <v>6</v>
      </c>
      <c r="AA294" s="20">
        <f t="shared" si="12"/>
        <v>3</v>
      </c>
      <c r="AB294" s="20">
        <f t="shared" si="13"/>
        <v>34.166666666666664</v>
      </c>
    </row>
    <row r="295" spans="1:28">
      <c r="A295" s="80">
        <v>9</v>
      </c>
      <c r="B295" s="81">
        <v>653050001</v>
      </c>
      <c r="C295" s="82" t="s">
        <v>801</v>
      </c>
      <c r="D295" s="83">
        <v>2000</v>
      </c>
      <c r="E295" s="18" t="s">
        <v>7</v>
      </c>
      <c r="F295" s="18" t="s">
        <v>2</v>
      </c>
      <c r="G295" s="18" t="s">
        <v>88</v>
      </c>
      <c r="H295" s="18" t="s">
        <v>20</v>
      </c>
      <c r="I295" s="18" t="s">
        <v>24</v>
      </c>
      <c r="J295" s="18" t="s">
        <v>35</v>
      </c>
      <c r="K295" s="18" t="s">
        <v>38</v>
      </c>
      <c r="L295" s="18" t="s">
        <v>42</v>
      </c>
      <c r="M295" s="18" t="s">
        <v>50</v>
      </c>
      <c r="N295" s="18" t="s">
        <v>66</v>
      </c>
      <c r="O295" s="20">
        <f>2013-Table1[[#This Row],[Startup Year]]</f>
        <v>13</v>
      </c>
      <c r="P295" s="20"/>
      <c r="Q295" s="20">
        <f>VLOOKUP(E295,'Int. Pa.'!$B$3:$C$58,2,FALSE)</f>
        <v>1</v>
      </c>
      <c r="R295" s="20">
        <f>VLOOKUP(F295,'Int. Pa.'!$B$3:$C$58,2,FALSE)</f>
        <v>10</v>
      </c>
      <c r="S295" s="20">
        <f>VLOOKUP(G295,'Int. Pa.'!$B$3:$C$58,2,FALSE)</f>
        <v>0</v>
      </c>
      <c r="T295" s="20">
        <f>VLOOKUP(H295,'Int. Pa.'!$B$3:$C$58,2,FALSE)</f>
        <v>1</v>
      </c>
      <c r="U295" s="20">
        <f>VLOOKUP(I295,'Int. Pa.'!$B$3:$C$58,2,FALSE)</f>
        <v>0</v>
      </c>
      <c r="V295" s="20">
        <f>VLOOKUP(J295,'Int. Pa.'!$B$3:$C$58,2,FALSE)</f>
        <v>10</v>
      </c>
      <c r="W295" s="20">
        <f>VLOOKUP(K295,'Int. Pa.'!$B$3:$C$58,2,FALSE)</f>
        <v>1</v>
      </c>
      <c r="X295" s="20">
        <f>VLOOKUP(L295,'Int. Pa.'!$B$3:$C$58,2,FALSE)</f>
        <v>1</v>
      </c>
      <c r="Y295" s="20">
        <f>VLOOKUP(M295,'Int. Pa.'!$B$3:$C$58,2,FALSE)</f>
        <v>5</v>
      </c>
      <c r="Z295" s="20">
        <f>VLOOKUP(N295,'Int. Pa.'!$B$3:$C$58,2,FALSE)</f>
        <v>6</v>
      </c>
      <c r="AA295" s="20">
        <f t="shared" si="12"/>
        <v>3</v>
      </c>
      <c r="AB295" s="20">
        <f t="shared" si="13"/>
        <v>34.166666666666664</v>
      </c>
    </row>
    <row r="296" spans="1:28">
      <c r="A296" s="80">
        <v>9</v>
      </c>
      <c r="B296" s="81">
        <v>653050002</v>
      </c>
      <c r="C296" s="82" t="s">
        <v>803</v>
      </c>
      <c r="D296" s="83">
        <v>2000</v>
      </c>
      <c r="E296" s="18" t="s">
        <v>7</v>
      </c>
      <c r="F296" s="18" t="s">
        <v>2</v>
      </c>
      <c r="G296" s="18" t="s">
        <v>88</v>
      </c>
      <c r="H296" s="18" t="s">
        <v>20</v>
      </c>
      <c r="I296" s="18" t="s">
        <v>24</v>
      </c>
      <c r="J296" s="18" t="s">
        <v>35</v>
      </c>
      <c r="K296" s="18" t="s">
        <v>38</v>
      </c>
      <c r="L296" s="18" t="s">
        <v>42</v>
      </c>
      <c r="M296" s="18" t="s">
        <v>50</v>
      </c>
      <c r="N296" s="18" t="s">
        <v>66</v>
      </c>
      <c r="O296" s="20">
        <f>2013-Table1[[#This Row],[Startup Year]]</f>
        <v>13</v>
      </c>
      <c r="P296" s="20"/>
      <c r="Q296" s="20">
        <f>VLOOKUP(E296,'Int. Pa.'!$B$3:$C$58,2,FALSE)</f>
        <v>1</v>
      </c>
      <c r="R296" s="20">
        <f>VLOOKUP(F296,'Int. Pa.'!$B$3:$C$58,2,FALSE)</f>
        <v>10</v>
      </c>
      <c r="S296" s="20">
        <f>VLOOKUP(G296,'Int. Pa.'!$B$3:$C$58,2,FALSE)</f>
        <v>0</v>
      </c>
      <c r="T296" s="20">
        <f>VLOOKUP(H296,'Int. Pa.'!$B$3:$C$58,2,FALSE)</f>
        <v>1</v>
      </c>
      <c r="U296" s="20">
        <f>VLOOKUP(I296,'Int. Pa.'!$B$3:$C$58,2,FALSE)</f>
        <v>0</v>
      </c>
      <c r="V296" s="20">
        <f>VLOOKUP(J296,'Int. Pa.'!$B$3:$C$58,2,FALSE)</f>
        <v>10</v>
      </c>
      <c r="W296" s="20">
        <f>VLOOKUP(K296,'Int. Pa.'!$B$3:$C$58,2,FALSE)</f>
        <v>1</v>
      </c>
      <c r="X296" s="20">
        <f>VLOOKUP(L296,'Int. Pa.'!$B$3:$C$58,2,FALSE)</f>
        <v>1</v>
      </c>
      <c r="Y296" s="20">
        <f>VLOOKUP(M296,'Int. Pa.'!$B$3:$C$58,2,FALSE)</f>
        <v>5</v>
      </c>
      <c r="Z296" s="20">
        <f>VLOOKUP(N296,'Int. Pa.'!$B$3:$C$58,2,FALSE)</f>
        <v>6</v>
      </c>
      <c r="AA296" s="20">
        <f t="shared" si="12"/>
        <v>3</v>
      </c>
      <c r="AB296" s="20">
        <f t="shared" si="13"/>
        <v>34.166666666666664</v>
      </c>
    </row>
    <row r="297" spans="1:28">
      <c r="A297" s="80">
        <v>9</v>
      </c>
      <c r="B297" s="81">
        <v>653060001</v>
      </c>
      <c r="C297" s="82" t="s">
        <v>346</v>
      </c>
      <c r="D297" s="83">
        <v>2000</v>
      </c>
      <c r="E297" s="18" t="s">
        <v>7</v>
      </c>
      <c r="F297" s="18" t="s">
        <v>2</v>
      </c>
      <c r="G297" s="18" t="s">
        <v>88</v>
      </c>
      <c r="H297" s="18" t="s">
        <v>20</v>
      </c>
      <c r="I297" s="18" t="s">
        <v>24</v>
      </c>
      <c r="J297" s="18" t="s">
        <v>35</v>
      </c>
      <c r="K297" s="18" t="s">
        <v>38</v>
      </c>
      <c r="L297" s="18" t="s">
        <v>42</v>
      </c>
      <c r="M297" s="18" t="s">
        <v>50</v>
      </c>
      <c r="N297" s="18" t="s">
        <v>66</v>
      </c>
      <c r="O297" s="20">
        <f>2013-Table1[[#This Row],[Startup Year]]</f>
        <v>13</v>
      </c>
      <c r="P297" s="20"/>
      <c r="Q297" s="20">
        <f>VLOOKUP(E297,'Int. Pa.'!$B$3:$C$58,2,FALSE)</f>
        <v>1</v>
      </c>
      <c r="R297" s="20">
        <f>VLOOKUP(F297,'Int. Pa.'!$B$3:$C$58,2,FALSE)</f>
        <v>10</v>
      </c>
      <c r="S297" s="20">
        <f>VLOOKUP(G297,'Int. Pa.'!$B$3:$C$58,2,FALSE)</f>
        <v>0</v>
      </c>
      <c r="T297" s="20">
        <f>VLOOKUP(H297,'Int. Pa.'!$B$3:$C$58,2,FALSE)</f>
        <v>1</v>
      </c>
      <c r="U297" s="20">
        <f>VLOOKUP(I297,'Int. Pa.'!$B$3:$C$58,2,FALSE)</f>
        <v>0</v>
      </c>
      <c r="V297" s="20">
        <f>VLOOKUP(J297,'Int. Pa.'!$B$3:$C$58,2,FALSE)</f>
        <v>10</v>
      </c>
      <c r="W297" s="20">
        <f>VLOOKUP(K297,'Int. Pa.'!$B$3:$C$58,2,FALSE)</f>
        <v>1</v>
      </c>
      <c r="X297" s="20">
        <f>VLOOKUP(L297,'Int. Pa.'!$B$3:$C$58,2,FALSE)</f>
        <v>1</v>
      </c>
      <c r="Y297" s="20">
        <f>VLOOKUP(M297,'Int. Pa.'!$B$3:$C$58,2,FALSE)</f>
        <v>5</v>
      </c>
      <c r="Z297" s="20">
        <f>VLOOKUP(N297,'Int. Pa.'!$B$3:$C$58,2,FALSE)</f>
        <v>6</v>
      </c>
      <c r="AA297" s="20">
        <f t="shared" si="12"/>
        <v>3</v>
      </c>
      <c r="AB297" s="20">
        <f t="shared" si="13"/>
        <v>34.166666666666664</v>
      </c>
    </row>
    <row r="298" spans="1:28">
      <c r="A298" s="84">
        <v>9</v>
      </c>
      <c r="B298" s="81">
        <v>410903</v>
      </c>
      <c r="C298" s="82" t="s">
        <v>347</v>
      </c>
      <c r="D298" s="86">
        <v>2000</v>
      </c>
      <c r="E298" s="18" t="s">
        <v>7</v>
      </c>
      <c r="F298" s="18" t="s">
        <v>2</v>
      </c>
      <c r="G298" s="18" t="s">
        <v>88</v>
      </c>
      <c r="H298" s="18" t="s">
        <v>20</v>
      </c>
      <c r="I298" s="18" t="s">
        <v>24</v>
      </c>
      <c r="J298" s="18" t="s">
        <v>35</v>
      </c>
      <c r="K298" s="18" t="s">
        <v>38</v>
      </c>
      <c r="L298" s="18" t="s">
        <v>42</v>
      </c>
      <c r="M298" s="18" t="s">
        <v>50</v>
      </c>
      <c r="N298" s="18" t="s">
        <v>66</v>
      </c>
      <c r="O298" s="20">
        <f>2013-Table1[[#This Row],[Startup Year]]</f>
        <v>13</v>
      </c>
      <c r="P298" s="20"/>
      <c r="Q298" s="20">
        <f>VLOOKUP(E298,'Int. Pa.'!$B$3:$C$58,2,FALSE)</f>
        <v>1</v>
      </c>
      <c r="R298" s="20">
        <f>VLOOKUP(F298,'Int. Pa.'!$B$3:$C$58,2,FALSE)</f>
        <v>10</v>
      </c>
      <c r="S298" s="20">
        <f>VLOOKUP(G298,'Int. Pa.'!$B$3:$C$58,2,FALSE)</f>
        <v>0</v>
      </c>
      <c r="T298" s="20">
        <f>VLOOKUP(H298,'Int. Pa.'!$B$3:$C$58,2,FALSE)</f>
        <v>1</v>
      </c>
      <c r="U298" s="20">
        <f>VLOOKUP(I298,'Int. Pa.'!$B$3:$C$58,2,FALSE)</f>
        <v>0</v>
      </c>
      <c r="V298" s="20">
        <f>VLOOKUP(J298,'Int. Pa.'!$B$3:$C$58,2,FALSE)</f>
        <v>10</v>
      </c>
      <c r="W298" s="20">
        <f>VLOOKUP(K298,'Int. Pa.'!$B$3:$C$58,2,FALSE)</f>
        <v>1</v>
      </c>
      <c r="X298" s="20">
        <f>VLOOKUP(L298,'Int. Pa.'!$B$3:$C$58,2,FALSE)</f>
        <v>1</v>
      </c>
      <c r="Y298" s="20">
        <f>VLOOKUP(M298,'Int. Pa.'!$B$3:$C$58,2,FALSE)</f>
        <v>5</v>
      </c>
      <c r="Z298" s="20">
        <f>VLOOKUP(N298,'Int. Pa.'!$B$3:$C$58,2,FALSE)</f>
        <v>6</v>
      </c>
      <c r="AA298" s="20">
        <f t="shared" si="12"/>
        <v>3</v>
      </c>
      <c r="AB298" s="20">
        <f t="shared" si="13"/>
        <v>34.166666666666664</v>
      </c>
    </row>
    <row r="299" spans="1:28">
      <c r="A299" s="84">
        <v>9</v>
      </c>
      <c r="B299" s="81">
        <v>6203004</v>
      </c>
      <c r="C299" s="82" t="s">
        <v>348</v>
      </c>
      <c r="D299" s="85">
        <v>2001</v>
      </c>
      <c r="E299" s="18" t="s">
        <v>7</v>
      </c>
      <c r="F299" s="18" t="s">
        <v>2</v>
      </c>
      <c r="G299" s="18" t="s">
        <v>88</v>
      </c>
      <c r="H299" s="18" t="s">
        <v>20</v>
      </c>
      <c r="I299" s="18" t="s">
        <v>24</v>
      </c>
      <c r="J299" s="18" t="s">
        <v>35</v>
      </c>
      <c r="K299" s="18" t="s">
        <v>38</v>
      </c>
      <c r="L299" s="18" t="s">
        <v>42</v>
      </c>
      <c r="M299" s="18" t="s">
        <v>50</v>
      </c>
      <c r="N299" s="18" t="s">
        <v>66</v>
      </c>
      <c r="O299" s="20">
        <f>2013-Table1[[#This Row],[Startup Year]]</f>
        <v>12</v>
      </c>
      <c r="P299" s="20"/>
      <c r="Q299" s="20">
        <f>VLOOKUP(E299,'Int. Pa.'!$B$3:$C$58,2,FALSE)</f>
        <v>1</v>
      </c>
      <c r="R299" s="20">
        <f>VLOOKUP(F299,'Int. Pa.'!$B$3:$C$58,2,FALSE)</f>
        <v>10</v>
      </c>
      <c r="S299" s="20">
        <f>VLOOKUP(G299,'Int. Pa.'!$B$3:$C$58,2,FALSE)</f>
        <v>0</v>
      </c>
      <c r="T299" s="20">
        <f>VLOOKUP(H299,'Int. Pa.'!$B$3:$C$58,2,FALSE)</f>
        <v>1</v>
      </c>
      <c r="U299" s="20">
        <f>VLOOKUP(I299,'Int. Pa.'!$B$3:$C$58,2,FALSE)</f>
        <v>0</v>
      </c>
      <c r="V299" s="20">
        <f>VLOOKUP(J299,'Int. Pa.'!$B$3:$C$58,2,FALSE)</f>
        <v>10</v>
      </c>
      <c r="W299" s="20">
        <f>VLOOKUP(K299,'Int. Pa.'!$B$3:$C$58,2,FALSE)</f>
        <v>1</v>
      </c>
      <c r="X299" s="20">
        <f>VLOOKUP(L299,'Int. Pa.'!$B$3:$C$58,2,FALSE)</f>
        <v>1</v>
      </c>
      <c r="Y299" s="20">
        <f>VLOOKUP(M299,'Int. Pa.'!$B$3:$C$58,2,FALSE)</f>
        <v>5</v>
      </c>
      <c r="Z299" s="20">
        <f>VLOOKUP(N299,'Int. Pa.'!$B$3:$C$58,2,FALSE)</f>
        <v>6</v>
      </c>
      <c r="AA299" s="20">
        <f t="shared" si="12"/>
        <v>3</v>
      </c>
      <c r="AB299" s="20">
        <f t="shared" si="13"/>
        <v>34.166666666666664</v>
      </c>
    </row>
    <row r="300" spans="1:28">
      <c r="A300" s="84">
        <v>9</v>
      </c>
      <c r="B300" s="81">
        <v>651100001</v>
      </c>
      <c r="C300" s="82" t="s">
        <v>349</v>
      </c>
      <c r="D300" s="86">
        <v>2000</v>
      </c>
      <c r="E300" s="18" t="s">
        <v>7</v>
      </c>
      <c r="F300" s="18" t="s">
        <v>2</v>
      </c>
      <c r="G300" s="18" t="s">
        <v>88</v>
      </c>
      <c r="H300" s="18" t="s">
        <v>20</v>
      </c>
      <c r="I300" s="18" t="s">
        <v>24</v>
      </c>
      <c r="J300" s="18" t="s">
        <v>35</v>
      </c>
      <c r="K300" s="18" t="s">
        <v>38</v>
      </c>
      <c r="L300" s="18" t="s">
        <v>42</v>
      </c>
      <c r="M300" s="18" t="s">
        <v>50</v>
      </c>
      <c r="N300" s="18" t="s">
        <v>66</v>
      </c>
      <c r="O300" s="20">
        <f>2013-Table1[[#This Row],[Startup Year]]</f>
        <v>13</v>
      </c>
      <c r="P300" s="20"/>
      <c r="Q300" s="20">
        <f>VLOOKUP(E300,'Int. Pa.'!$B$3:$C$58,2,FALSE)</f>
        <v>1</v>
      </c>
      <c r="R300" s="20">
        <f>VLOOKUP(F300,'Int. Pa.'!$B$3:$C$58,2,FALSE)</f>
        <v>10</v>
      </c>
      <c r="S300" s="20">
        <f>VLOOKUP(G300,'Int. Pa.'!$B$3:$C$58,2,FALSE)</f>
        <v>0</v>
      </c>
      <c r="T300" s="20">
        <f>VLOOKUP(H300,'Int. Pa.'!$B$3:$C$58,2,FALSE)</f>
        <v>1</v>
      </c>
      <c r="U300" s="20">
        <f>VLOOKUP(I300,'Int. Pa.'!$B$3:$C$58,2,FALSE)</f>
        <v>0</v>
      </c>
      <c r="V300" s="20">
        <f>VLOOKUP(J300,'Int. Pa.'!$B$3:$C$58,2,FALSE)</f>
        <v>10</v>
      </c>
      <c r="W300" s="20">
        <f>VLOOKUP(K300,'Int. Pa.'!$B$3:$C$58,2,FALSE)</f>
        <v>1</v>
      </c>
      <c r="X300" s="20">
        <f>VLOOKUP(L300,'Int. Pa.'!$B$3:$C$58,2,FALSE)</f>
        <v>1</v>
      </c>
      <c r="Y300" s="20">
        <f>VLOOKUP(M300,'Int. Pa.'!$B$3:$C$58,2,FALSE)</f>
        <v>5</v>
      </c>
      <c r="Z300" s="20">
        <f>VLOOKUP(N300,'Int. Pa.'!$B$3:$C$58,2,FALSE)</f>
        <v>6</v>
      </c>
      <c r="AA300" s="20">
        <f t="shared" si="12"/>
        <v>3</v>
      </c>
      <c r="AB300" s="20">
        <f t="shared" si="13"/>
        <v>34.166666666666664</v>
      </c>
    </row>
    <row r="301" spans="1:28">
      <c r="A301" s="80">
        <v>9</v>
      </c>
      <c r="B301" s="81">
        <v>651100002</v>
      </c>
      <c r="C301" s="82" t="s">
        <v>809</v>
      </c>
      <c r="D301" s="83">
        <v>2000</v>
      </c>
      <c r="E301" s="18" t="s">
        <v>7</v>
      </c>
      <c r="F301" s="18" t="s">
        <v>2</v>
      </c>
      <c r="G301" s="18" t="s">
        <v>88</v>
      </c>
      <c r="H301" s="18" t="s">
        <v>20</v>
      </c>
      <c r="I301" s="18" t="s">
        <v>24</v>
      </c>
      <c r="J301" s="18" t="s">
        <v>35</v>
      </c>
      <c r="K301" s="18" t="s">
        <v>38</v>
      </c>
      <c r="L301" s="18" t="s">
        <v>42</v>
      </c>
      <c r="M301" s="18" t="s">
        <v>50</v>
      </c>
      <c r="N301" s="18" t="s">
        <v>66</v>
      </c>
      <c r="O301" s="20">
        <f>2013-Table1[[#This Row],[Startup Year]]</f>
        <v>13</v>
      </c>
      <c r="P301" s="20"/>
      <c r="Q301" s="20">
        <f>VLOOKUP(E301,'Int. Pa.'!$B$3:$C$58,2,FALSE)</f>
        <v>1</v>
      </c>
      <c r="R301" s="20">
        <f>VLOOKUP(F301,'Int. Pa.'!$B$3:$C$58,2,FALSE)</f>
        <v>10</v>
      </c>
      <c r="S301" s="20">
        <f>VLOOKUP(G301,'Int. Pa.'!$B$3:$C$58,2,FALSE)</f>
        <v>0</v>
      </c>
      <c r="T301" s="20">
        <f>VLOOKUP(H301,'Int. Pa.'!$B$3:$C$58,2,FALSE)</f>
        <v>1</v>
      </c>
      <c r="U301" s="20">
        <f>VLOOKUP(I301,'Int. Pa.'!$B$3:$C$58,2,FALSE)</f>
        <v>0</v>
      </c>
      <c r="V301" s="20">
        <f>VLOOKUP(J301,'Int. Pa.'!$B$3:$C$58,2,FALSE)</f>
        <v>10</v>
      </c>
      <c r="W301" s="20">
        <f>VLOOKUP(K301,'Int. Pa.'!$B$3:$C$58,2,FALSE)</f>
        <v>1</v>
      </c>
      <c r="X301" s="20">
        <f>VLOOKUP(L301,'Int. Pa.'!$B$3:$C$58,2,FALSE)</f>
        <v>1</v>
      </c>
      <c r="Y301" s="20">
        <f>VLOOKUP(M301,'Int. Pa.'!$B$3:$C$58,2,FALSE)</f>
        <v>5</v>
      </c>
      <c r="Z301" s="20">
        <f>VLOOKUP(N301,'Int. Pa.'!$B$3:$C$58,2,FALSE)</f>
        <v>6</v>
      </c>
      <c r="AA301" s="20">
        <f t="shared" si="12"/>
        <v>3</v>
      </c>
      <c r="AB301" s="20">
        <f t="shared" si="13"/>
        <v>34.166666666666664</v>
      </c>
    </row>
    <row r="302" spans="1:28">
      <c r="A302" s="80">
        <v>9</v>
      </c>
      <c r="B302" s="81">
        <v>651100003</v>
      </c>
      <c r="C302" s="82" t="s">
        <v>811</v>
      </c>
      <c r="D302" s="83">
        <v>2000</v>
      </c>
      <c r="E302" s="18" t="s">
        <v>7</v>
      </c>
      <c r="F302" s="18" t="s">
        <v>2</v>
      </c>
      <c r="G302" s="18" t="s">
        <v>88</v>
      </c>
      <c r="H302" s="18" t="s">
        <v>20</v>
      </c>
      <c r="I302" s="18" t="s">
        <v>24</v>
      </c>
      <c r="J302" s="18" t="s">
        <v>35</v>
      </c>
      <c r="K302" s="18" t="s">
        <v>38</v>
      </c>
      <c r="L302" s="18" t="s">
        <v>42</v>
      </c>
      <c r="M302" s="18" t="s">
        <v>50</v>
      </c>
      <c r="N302" s="18" t="s">
        <v>66</v>
      </c>
      <c r="O302" s="20">
        <f>2013-Table1[[#This Row],[Startup Year]]</f>
        <v>13</v>
      </c>
      <c r="P302" s="20"/>
      <c r="Q302" s="20">
        <f>VLOOKUP(E302,'Int. Pa.'!$B$3:$C$58,2,FALSE)</f>
        <v>1</v>
      </c>
      <c r="R302" s="20">
        <f>VLOOKUP(F302,'Int. Pa.'!$B$3:$C$58,2,FALSE)</f>
        <v>10</v>
      </c>
      <c r="S302" s="20">
        <f>VLOOKUP(G302,'Int. Pa.'!$B$3:$C$58,2,FALSE)</f>
        <v>0</v>
      </c>
      <c r="T302" s="20">
        <f>VLOOKUP(H302,'Int. Pa.'!$B$3:$C$58,2,FALSE)</f>
        <v>1</v>
      </c>
      <c r="U302" s="20">
        <f>VLOOKUP(I302,'Int. Pa.'!$B$3:$C$58,2,FALSE)</f>
        <v>0</v>
      </c>
      <c r="V302" s="20">
        <f>VLOOKUP(J302,'Int. Pa.'!$B$3:$C$58,2,FALSE)</f>
        <v>10</v>
      </c>
      <c r="W302" s="20">
        <f>VLOOKUP(K302,'Int. Pa.'!$B$3:$C$58,2,FALSE)</f>
        <v>1</v>
      </c>
      <c r="X302" s="20">
        <f>VLOOKUP(L302,'Int. Pa.'!$B$3:$C$58,2,FALSE)</f>
        <v>1</v>
      </c>
      <c r="Y302" s="20">
        <f>VLOOKUP(M302,'Int. Pa.'!$B$3:$C$58,2,FALSE)</f>
        <v>5</v>
      </c>
      <c r="Z302" s="20">
        <f>VLOOKUP(N302,'Int. Pa.'!$B$3:$C$58,2,FALSE)</f>
        <v>6</v>
      </c>
      <c r="AA302" s="20">
        <f t="shared" si="12"/>
        <v>3</v>
      </c>
      <c r="AB302" s="20">
        <f t="shared" si="13"/>
        <v>34.166666666666664</v>
      </c>
    </row>
    <row r="303" spans="1:28">
      <c r="A303" s="80">
        <v>9</v>
      </c>
      <c r="B303" s="81">
        <v>651100004</v>
      </c>
      <c r="C303" s="82" t="s">
        <v>813</v>
      </c>
      <c r="D303" s="83">
        <v>2000</v>
      </c>
      <c r="E303" s="18" t="s">
        <v>7</v>
      </c>
      <c r="F303" s="18" t="s">
        <v>2</v>
      </c>
      <c r="G303" s="18" t="s">
        <v>88</v>
      </c>
      <c r="H303" s="18" t="s">
        <v>20</v>
      </c>
      <c r="I303" s="18" t="s">
        <v>24</v>
      </c>
      <c r="J303" s="18" t="s">
        <v>35</v>
      </c>
      <c r="K303" s="18" t="s">
        <v>38</v>
      </c>
      <c r="L303" s="18" t="s">
        <v>42</v>
      </c>
      <c r="M303" s="18" t="s">
        <v>50</v>
      </c>
      <c r="N303" s="18" t="s">
        <v>66</v>
      </c>
      <c r="O303" s="20">
        <f>2013-Table1[[#This Row],[Startup Year]]</f>
        <v>13</v>
      </c>
      <c r="P303" s="20"/>
      <c r="Q303" s="20">
        <f>VLOOKUP(E303,'Int. Pa.'!$B$3:$C$58,2,FALSE)</f>
        <v>1</v>
      </c>
      <c r="R303" s="20">
        <f>VLOOKUP(F303,'Int. Pa.'!$B$3:$C$58,2,FALSE)</f>
        <v>10</v>
      </c>
      <c r="S303" s="20">
        <f>VLOOKUP(G303,'Int. Pa.'!$B$3:$C$58,2,FALSE)</f>
        <v>0</v>
      </c>
      <c r="T303" s="20">
        <f>VLOOKUP(H303,'Int. Pa.'!$B$3:$C$58,2,FALSE)</f>
        <v>1</v>
      </c>
      <c r="U303" s="20">
        <f>VLOOKUP(I303,'Int. Pa.'!$B$3:$C$58,2,FALSE)</f>
        <v>0</v>
      </c>
      <c r="V303" s="20">
        <f>VLOOKUP(J303,'Int. Pa.'!$B$3:$C$58,2,FALSE)</f>
        <v>10</v>
      </c>
      <c r="W303" s="20">
        <f>VLOOKUP(K303,'Int. Pa.'!$B$3:$C$58,2,FALSE)</f>
        <v>1</v>
      </c>
      <c r="X303" s="20">
        <f>VLOOKUP(L303,'Int. Pa.'!$B$3:$C$58,2,FALSE)</f>
        <v>1</v>
      </c>
      <c r="Y303" s="20">
        <f>VLOOKUP(M303,'Int. Pa.'!$B$3:$C$58,2,FALSE)</f>
        <v>5</v>
      </c>
      <c r="Z303" s="20">
        <f>VLOOKUP(N303,'Int. Pa.'!$B$3:$C$58,2,FALSE)</f>
        <v>6</v>
      </c>
      <c r="AA303" s="20">
        <f t="shared" si="12"/>
        <v>3</v>
      </c>
      <c r="AB303" s="20">
        <f t="shared" si="13"/>
        <v>34.166666666666664</v>
      </c>
    </row>
    <row r="304" spans="1:28">
      <c r="A304" s="80">
        <v>9</v>
      </c>
      <c r="B304" s="81">
        <v>651200001</v>
      </c>
      <c r="C304" s="82" t="s">
        <v>815</v>
      </c>
      <c r="D304" s="83">
        <v>2000</v>
      </c>
      <c r="E304" s="18" t="s">
        <v>7</v>
      </c>
      <c r="F304" s="18" t="s">
        <v>2</v>
      </c>
      <c r="G304" s="18" t="s">
        <v>88</v>
      </c>
      <c r="H304" s="18" t="s">
        <v>20</v>
      </c>
      <c r="I304" s="18" t="s">
        <v>24</v>
      </c>
      <c r="J304" s="18" t="s">
        <v>35</v>
      </c>
      <c r="K304" s="18" t="s">
        <v>38</v>
      </c>
      <c r="L304" s="18" t="s">
        <v>42</v>
      </c>
      <c r="M304" s="18" t="s">
        <v>50</v>
      </c>
      <c r="N304" s="18" t="s">
        <v>66</v>
      </c>
      <c r="O304" s="20">
        <f>2013-Table1[[#This Row],[Startup Year]]</f>
        <v>13</v>
      </c>
      <c r="P304" s="20"/>
      <c r="Q304" s="20">
        <f>VLOOKUP(E304,'Int. Pa.'!$B$3:$C$58,2,FALSE)</f>
        <v>1</v>
      </c>
      <c r="R304" s="20">
        <f>VLOOKUP(F304,'Int. Pa.'!$B$3:$C$58,2,FALSE)</f>
        <v>10</v>
      </c>
      <c r="S304" s="20">
        <f>VLOOKUP(G304,'Int. Pa.'!$B$3:$C$58,2,FALSE)</f>
        <v>0</v>
      </c>
      <c r="T304" s="20">
        <f>VLOOKUP(H304,'Int. Pa.'!$B$3:$C$58,2,FALSE)</f>
        <v>1</v>
      </c>
      <c r="U304" s="20">
        <f>VLOOKUP(I304,'Int. Pa.'!$B$3:$C$58,2,FALSE)</f>
        <v>0</v>
      </c>
      <c r="V304" s="20">
        <f>VLOOKUP(J304,'Int. Pa.'!$B$3:$C$58,2,FALSE)</f>
        <v>10</v>
      </c>
      <c r="W304" s="20">
        <f>VLOOKUP(K304,'Int. Pa.'!$B$3:$C$58,2,FALSE)</f>
        <v>1</v>
      </c>
      <c r="X304" s="20">
        <f>VLOOKUP(L304,'Int. Pa.'!$B$3:$C$58,2,FALSE)</f>
        <v>1</v>
      </c>
      <c r="Y304" s="20">
        <f>VLOOKUP(M304,'Int. Pa.'!$B$3:$C$58,2,FALSE)</f>
        <v>5</v>
      </c>
      <c r="Z304" s="20">
        <f>VLOOKUP(N304,'Int. Pa.'!$B$3:$C$58,2,FALSE)</f>
        <v>6</v>
      </c>
      <c r="AA304" s="20">
        <f t="shared" si="12"/>
        <v>3</v>
      </c>
      <c r="AB304" s="20">
        <f t="shared" si="13"/>
        <v>34.166666666666664</v>
      </c>
    </row>
    <row r="305" spans="1:28">
      <c r="A305" s="94">
        <v>9</v>
      </c>
      <c r="B305" s="96">
        <v>651300001</v>
      </c>
      <c r="C305" s="97" t="s">
        <v>350</v>
      </c>
      <c r="D305" s="98">
        <v>2000</v>
      </c>
      <c r="E305" s="18" t="s">
        <v>7</v>
      </c>
      <c r="F305" s="18" t="s">
        <v>2</v>
      </c>
      <c r="G305" s="18" t="s">
        <v>88</v>
      </c>
      <c r="H305" s="18" t="s">
        <v>20</v>
      </c>
      <c r="I305" s="18" t="s">
        <v>24</v>
      </c>
      <c r="J305" s="18" t="s">
        <v>35</v>
      </c>
      <c r="K305" s="18" t="s">
        <v>38</v>
      </c>
      <c r="L305" s="18" t="s">
        <v>42</v>
      </c>
      <c r="M305" s="18" t="s">
        <v>50</v>
      </c>
      <c r="N305" s="18" t="s">
        <v>66</v>
      </c>
      <c r="O305" s="20">
        <f>2013-Table1[[#This Row],[Startup Year]]</f>
        <v>13</v>
      </c>
      <c r="P305" s="20"/>
      <c r="Q305" s="20">
        <f>VLOOKUP(E305,'Int. Pa.'!$B$3:$C$58,2,FALSE)</f>
        <v>1</v>
      </c>
      <c r="R305" s="20">
        <f>VLOOKUP(F305,'Int. Pa.'!$B$3:$C$58,2,FALSE)</f>
        <v>10</v>
      </c>
      <c r="S305" s="20">
        <f>VLOOKUP(G305,'Int. Pa.'!$B$3:$C$58,2,FALSE)</f>
        <v>0</v>
      </c>
      <c r="T305" s="20">
        <f>VLOOKUP(H305,'Int. Pa.'!$B$3:$C$58,2,FALSE)</f>
        <v>1</v>
      </c>
      <c r="U305" s="20">
        <f>VLOOKUP(I305,'Int. Pa.'!$B$3:$C$58,2,FALSE)</f>
        <v>0</v>
      </c>
      <c r="V305" s="20">
        <f>VLOOKUP(J305,'Int. Pa.'!$B$3:$C$58,2,FALSE)</f>
        <v>10</v>
      </c>
      <c r="W305" s="20">
        <f>VLOOKUP(K305,'Int. Pa.'!$B$3:$C$58,2,FALSE)</f>
        <v>1</v>
      </c>
      <c r="X305" s="20">
        <f>VLOOKUP(L305,'Int. Pa.'!$B$3:$C$58,2,FALSE)</f>
        <v>1</v>
      </c>
      <c r="Y305" s="20">
        <f>VLOOKUP(M305,'Int. Pa.'!$B$3:$C$58,2,FALSE)</f>
        <v>5</v>
      </c>
      <c r="Z305" s="20">
        <f>VLOOKUP(N305,'Int. Pa.'!$B$3:$C$58,2,FALSE)</f>
        <v>6</v>
      </c>
      <c r="AA305" s="20">
        <f t="shared" si="12"/>
        <v>3</v>
      </c>
      <c r="AB305" s="20">
        <f>($E$1*Q305+$F$1*R305+$G$1*S305+$H$1*T305+$I$1*U305+$J$1*V305+$K$1*W305+$L$1*X305+$M$1*Y305+$N$1*Z305+$O$1*AA305)</f>
        <v>34.166666666666664</v>
      </c>
    </row>
    <row r="306" spans="1:28">
      <c r="A306" s="80">
        <v>9</v>
      </c>
      <c r="B306" s="81">
        <v>65130101</v>
      </c>
      <c r="C306" s="82" t="s">
        <v>805</v>
      </c>
      <c r="D306" s="83">
        <v>2000</v>
      </c>
      <c r="E306" s="18" t="s">
        <v>7</v>
      </c>
      <c r="F306" s="18" t="s">
        <v>2</v>
      </c>
      <c r="G306" s="18" t="s">
        <v>88</v>
      </c>
      <c r="H306" s="18" t="s">
        <v>20</v>
      </c>
      <c r="I306" s="18" t="s">
        <v>24</v>
      </c>
      <c r="J306" s="18" t="s">
        <v>35</v>
      </c>
      <c r="K306" s="18" t="s">
        <v>38</v>
      </c>
      <c r="L306" s="18" t="s">
        <v>42</v>
      </c>
      <c r="M306" s="18" t="s">
        <v>50</v>
      </c>
      <c r="N306" s="18" t="s">
        <v>66</v>
      </c>
      <c r="O306" s="20">
        <f>2013-Table1[[#This Row],[Startup Year]]</f>
        <v>13</v>
      </c>
      <c r="P306" s="20"/>
      <c r="Q306" s="20">
        <f>VLOOKUP(E306,'Int. Pa.'!$B$3:$C$58,2,FALSE)</f>
        <v>1</v>
      </c>
      <c r="R306" s="20">
        <f>VLOOKUP(F306,'Int. Pa.'!$B$3:$C$58,2,FALSE)</f>
        <v>10</v>
      </c>
      <c r="S306" s="20">
        <f>VLOOKUP(G306,'Int. Pa.'!$B$3:$C$58,2,FALSE)</f>
        <v>0</v>
      </c>
      <c r="T306" s="20">
        <f>VLOOKUP(H306,'Int. Pa.'!$B$3:$C$58,2,FALSE)</f>
        <v>1</v>
      </c>
      <c r="U306" s="20">
        <f>VLOOKUP(I306,'Int. Pa.'!$B$3:$C$58,2,FALSE)</f>
        <v>0</v>
      </c>
      <c r="V306" s="20">
        <f>VLOOKUP(J306,'Int. Pa.'!$B$3:$C$58,2,FALSE)</f>
        <v>10</v>
      </c>
      <c r="W306" s="20">
        <f>VLOOKUP(K306,'Int. Pa.'!$B$3:$C$58,2,FALSE)</f>
        <v>1</v>
      </c>
      <c r="X306" s="20">
        <f>VLOOKUP(L306,'Int. Pa.'!$B$3:$C$58,2,FALSE)</f>
        <v>1</v>
      </c>
      <c r="Y306" s="20">
        <f>VLOOKUP(M306,'Int. Pa.'!$B$3:$C$58,2,FALSE)</f>
        <v>5</v>
      </c>
      <c r="Z306" s="20">
        <f>VLOOKUP(N306,'Int. Pa.'!$B$3:$C$58,2,FALSE)</f>
        <v>6</v>
      </c>
      <c r="AA306" s="20">
        <f t="shared" si="12"/>
        <v>3</v>
      </c>
      <c r="AB306" s="20">
        <f>($E$1*Q306+$F$1*R306+$G$1*S306+$H$1*T306+$I$1*U306+$J$1*V306+$K$1*W306+$L$1*X306+$M$1*Y306+$N$1*Z306+$O$1*AA306)</f>
        <v>34.166666666666664</v>
      </c>
    </row>
    <row r="307" spans="1:28">
      <c r="A307" s="80">
        <v>9</v>
      </c>
      <c r="B307" s="81">
        <v>65130201</v>
      </c>
      <c r="C307" s="82" t="s">
        <v>807</v>
      </c>
      <c r="D307" s="83">
        <v>2000</v>
      </c>
      <c r="E307" s="18" t="s">
        <v>7</v>
      </c>
      <c r="F307" s="18" t="s">
        <v>2</v>
      </c>
      <c r="G307" s="18" t="s">
        <v>88</v>
      </c>
      <c r="H307" s="18" t="s">
        <v>20</v>
      </c>
      <c r="I307" s="18" t="s">
        <v>24</v>
      </c>
      <c r="J307" s="18" t="s">
        <v>35</v>
      </c>
      <c r="K307" s="18" t="s">
        <v>38</v>
      </c>
      <c r="L307" s="18" t="s">
        <v>42</v>
      </c>
      <c r="M307" s="18" t="s">
        <v>50</v>
      </c>
      <c r="N307" s="18" t="s">
        <v>66</v>
      </c>
      <c r="O307" s="20">
        <f>2013-Table1[[#This Row],[Startup Year]]</f>
        <v>13</v>
      </c>
      <c r="P307" s="20"/>
      <c r="Q307" s="20">
        <f>VLOOKUP(E307,'Int. Pa.'!$B$3:$C$58,2,FALSE)</f>
        <v>1</v>
      </c>
      <c r="R307" s="20">
        <f>VLOOKUP(F307,'Int. Pa.'!$B$3:$C$58,2,FALSE)</f>
        <v>10</v>
      </c>
      <c r="S307" s="20">
        <f>VLOOKUP(G307,'Int. Pa.'!$B$3:$C$58,2,FALSE)</f>
        <v>0</v>
      </c>
      <c r="T307" s="20">
        <f>VLOOKUP(H307,'Int. Pa.'!$B$3:$C$58,2,FALSE)</f>
        <v>1</v>
      </c>
      <c r="U307" s="20">
        <f>VLOOKUP(I307,'Int. Pa.'!$B$3:$C$58,2,FALSE)</f>
        <v>0</v>
      </c>
      <c r="V307" s="20">
        <f>VLOOKUP(J307,'Int. Pa.'!$B$3:$C$58,2,FALSE)</f>
        <v>10</v>
      </c>
      <c r="W307" s="20">
        <f>VLOOKUP(K307,'Int. Pa.'!$B$3:$C$58,2,FALSE)</f>
        <v>1</v>
      </c>
      <c r="X307" s="20">
        <f>VLOOKUP(L307,'Int. Pa.'!$B$3:$C$58,2,FALSE)</f>
        <v>1</v>
      </c>
      <c r="Y307" s="20">
        <f>VLOOKUP(M307,'Int. Pa.'!$B$3:$C$58,2,FALSE)</f>
        <v>5</v>
      </c>
      <c r="Z307" s="20">
        <f>VLOOKUP(N307,'Int. Pa.'!$B$3:$C$58,2,FALSE)</f>
        <v>6</v>
      </c>
      <c r="AA307" s="20">
        <f t="shared" si="12"/>
        <v>3</v>
      </c>
      <c r="AB307" s="20">
        <f>($E$1*Q307+$F$1*R307+$G$1*S307+$H$1*T307+$I$1*U307+$J$1*V307+$K$1*W307+$L$1*X307+$M$1*Y307+$N$1*Z307+$O$1*AA307)</f>
        <v>34.166666666666664</v>
      </c>
    </row>
    <row r="308" spans="1:28">
      <c r="A308" s="106"/>
      <c r="B308" s="101" t="s">
        <v>537</v>
      </c>
      <c r="C308" s="101"/>
      <c r="D308" s="19"/>
      <c r="E308" s="18" t="s">
        <v>83</v>
      </c>
      <c r="F308" s="18" t="s">
        <v>2</v>
      </c>
      <c r="G308" s="18" t="s">
        <v>88</v>
      </c>
      <c r="H308" s="18" t="s">
        <v>20</v>
      </c>
      <c r="I308" s="18" t="s">
        <v>24</v>
      </c>
      <c r="J308" s="18" t="s">
        <v>35</v>
      </c>
      <c r="K308" s="18" t="s">
        <v>38</v>
      </c>
      <c r="L308" s="18" t="s">
        <v>42</v>
      </c>
      <c r="M308" s="18" t="s">
        <v>50</v>
      </c>
      <c r="N308" s="18" t="s">
        <v>63</v>
      </c>
      <c r="O308" s="19">
        <v>40</v>
      </c>
      <c r="P308" s="19"/>
      <c r="Q308" s="20">
        <f>VLOOKUP(E308,'Int. Pa.'!$B$3:$C$58,2,FALSE)</f>
        <v>3</v>
      </c>
      <c r="R308" s="20">
        <f>VLOOKUP(F308,'Int. Pa.'!$B$3:$C$58,2,FALSE)</f>
        <v>10</v>
      </c>
      <c r="S308" s="20">
        <f>VLOOKUP(G308,'Int. Pa.'!$B$3:$C$58,2,FALSE)</f>
        <v>0</v>
      </c>
      <c r="T308" s="20">
        <f>VLOOKUP(H308,'Int. Pa.'!$B$3:$C$58,2,FALSE)</f>
        <v>1</v>
      </c>
      <c r="U308" s="20">
        <f>VLOOKUP(I308,'Int. Pa.'!$B$3:$C$58,2,FALSE)</f>
        <v>0</v>
      </c>
      <c r="V308" s="20">
        <f>VLOOKUP(J308,'Int. Pa.'!$B$3:$C$58,2,FALSE)</f>
        <v>10</v>
      </c>
      <c r="W308" s="20">
        <f>VLOOKUP(K308,'Int. Pa.'!$B$3:$C$58,2,FALSE)</f>
        <v>1</v>
      </c>
      <c r="X308" s="20">
        <f>VLOOKUP(L308,'Int. Pa.'!$B$3:$C$58,2,FALSE)</f>
        <v>1</v>
      </c>
      <c r="Y308" s="20">
        <f>VLOOKUP(M308,'Int. Pa.'!$B$3:$C$58,2,FALSE)</f>
        <v>5</v>
      </c>
      <c r="Z308" s="20">
        <f>VLOOKUP(N308,'Int. Pa.'!$B$3:$C$58,2,FALSE)</f>
        <v>4</v>
      </c>
      <c r="AA308" s="20">
        <f t="shared" si="12"/>
        <v>10</v>
      </c>
      <c r="AB308" s="20">
        <f>($E$1*Q308+$F$1*R308+$G$1*S308+$H$1*T308+$I$1*U308+$J$1*V308+$K$1*W308+$L$1*X308+$M$1*Y308+$N$1*Z308+$O$1*AA308)</f>
        <v>36.111111111111114</v>
      </c>
    </row>
    <row r="309" spans="1:28">
      <c r="A309" s="106"/>
      <c r="B309" s="107" t="s">
        <v>547</v>
      </c>
      <c r="C309" s="107"/>
      <c r="D309" s="42"/>
      <c r="E309" s="18" t="s">
        <v>85</v>
      </c>
      <c r="F309" s="18" t="s">
        <v>2</v>
      </c>
      <c r="G309" s="18" t="s">
        <v>90</v>
      </c>
      <c r="H309" s="18" t="s">
        <v>21</v>
      </c>
      <c r="I309" s="18" t="s">
        <v>31</v>
      </c>
      <c r="J309" s="18" t="s">
        <v>35</v>
      </c>
      <c r="K309" s="18" t="s">
        <v>39</v>
      </c>
      <c r="L309" s="18" t="s">
        <v>49</v>
      </c>
      <c r="M309" s="18" t="s">
        <v>58</v>
      </c>
      <c r="N309" s="18" t="s">
        <v>65</v>
      </c>
      <c r="O309" s="42">
        <v>40</v>
      </c>
      <c r="P309" s="42"/>
      <c r="Q309" s="20">
        <f>VLOOKUP(E309,'Int. Pa.'!$B$3:$C$58,2,FALSE)</f>
        <v>10</v>
      </c>
      <c r="R309" s="20">
        <f>VLOOKUP(F309,'Int. Pa.'!$B$3:$C$58,2,FALSE)</f>
        <v>10</v>
      </c>
      <c r="S309" s="20">
        <f>VLOOKUP(G309,'Int. Pa.'!$B$3:$C$58,2,FALSE)</f>
        <v>10</v>
      </c>
      <c r="T309" s="20">
        <f>VLOOKUP(H309,'Int. Pa.'!$B$3:$C$58,2,FALSE)</f>
        <v>10</v>
      </c>
      <c r="U309" s="20">
        <f>VLOOKUP(I309,'Int. Pa.'!$B$3:$C$58,2,FALSE)</f>
        <v>10</v>
      </c>
      <c r="V309" s="20">
        <f>VLOOKUP(J309,'Int. Pa.'!$B$3:$C$58,2,FALSE)</f>
        <v>10</v>
      </c>
      <c r="W309" s="20">
        <f>VLOOKUP(K309,'Int. Pa.'!$B$3:$C$58,2,FALSE)</f>
        <v>10</v>
      </c>
      <c r="X309" s="20">
        <f>VLOOKUP(L309,'Int. Pa.'!$B$3:$C$58,2,FALSE)</f>
        <v>10</v>
      </c>
      <c r="Y309" s="20">
        <f>VLOOKUP(M309,'Int. Pa.'!$B$3:$C$58,2,FALSE)</f>
        <v>10</v>
      </c>
      <c r="Z309" s="20">
        <f>VLOOKUP(N309,'Int. Pa.'!$B$3:$C$58,2,FALSE)</f>
        <v>10</v>
      </c>
      <c r="AA309" s="20">
        <f t="shared" si="12"/>
        <v>10</v>
      </c>
      <c r="AB309" s="20">
        <f>($E$1*Q309+$F$1*R309+$G$1*S309+$H$1*T309+$I$1*U309+$J$1*V309+$K$1*W309+$L$1*X309+$M$1*Y309+$N$1*Z309+$O$1*AA309)</f>
        <v>100</v>
      </c>
    </row>
    <row r="310" spans="1:28">
      <c r="A310" s="106">
        <v>3</v>
      </c>
      <c r="B310" s="137">
        <v>3301</v>
      </c>
      <c r="C310" s="137" t="s">
        <v>943</v>
      </c>
      <c r="D310" s="86">
        <v>2000</v>
      </c>
      <c r="E310" s="18" t="s">
        <v>7</v>
      </c>
      <c r="F310" s="18" t="s">
        <v>2</v>
      </c>
      <c r="G310" s="18" t="s">
        <v>88</v>
      </c>
      <c r="H310" s="18" t="s">
        <v>20</v>
      </c>
      <c r="I310" s="18" t="s">
        <v>24</v>
      </c>
      <c r="J310" s="18" t="s">
        <v>35</v>
      </c>
      <c r="K310" s="18" t="s">
        <v>38</v>
      </c>
      <c r="L310" s="18" t="s">
        <v>42</v>
      </c>
      <c r="M310" s="18" t="s">
        <v>50</v>
      </c>
      <c r="N310" s="18" t="s">
        <v>66</v>
      </c>
      <c r="O310" s="20">
        <f>2013-Table1[[#This Row],[Startup Year]]</f>
        <v>13</v>
      </c>
      <c r="P310" s="42"/>
      <c r="Q310" s="20">
        <f>VLOOKUP(E310,'Int. Pa.'!$B$3:$C$58,2,FALSE)</f>
        <v>1</v>
      </c>
      <c r="R310" s="20">
        <f>VLOOKUP(F310,'Int. Pa.'!$B$3:$C$58,2,FALSE)</f>
        <v>10</v>
      </c>
      <c r="S310" s="20">
        <f>VLOOKUP(G310,'Int. Pa.'!$B$3:$C$58,2,FALSE)</f>
        <v>0</v>
      </c>
      <c r="T310" s="20">
        <f>VLOOKUP(H310,'Int. Pa.'!$B$3:$C$58,2,FALSE)</f>
        <v>1</v>
      </c>
      <c r="U310" s="20">
        <f>VLOOKUP(I310,'Int. Pa.'!$B$3:$C$58,2,FALSE)</f>
        <v>0</v>
      </c>
      <c r="V310" s="20">
        <f>VLOOKUP(J310,'Int. Pa.'!$B$3:$C$58,2,FALSE)</f>
        <v>10</v>
      </c>
      <c r="W310" s="20">
        <f>VLOOKUP(K310,'Int. Pa.'!$B$3:$C$58,2,FALSE)</f>
        <v>1</v>
      </c>
      <c r="X310" s="20">
        <f>VLOOKUP(L310,'Int. Pa.'!$B$3:$C$58,2,FALSE)</f>
        <v>1</v>
      </c>
      <c r="Y310" s="20">
        <f>VLOOKUP(M310,'Int. Pa.'!$B$3:$C$58,2,FALSE)</f>
        <v>5</v>
      </c>
      <c r="Z310" s="20">
        <f>VLOOKUP(N310,'Int. Pa.'!$B$3:$C$58,2,FALSE)</f>
        <v>6</v>
      </c>
      <c r="AA310" s="20">
        <f t="shared" ref="AA310:AA327" si="14">IF(O310&gt;40,10,ROUND((O310/4),0))</f>
        <v>3</v>
      </c>
      <c r="AB310" s="20">
        <f t="shared" ref="AB310:AB327" si="15">($E$1*Q310+$F$1*R310+$G$1*S310+$H$1*T310+$I$1*U310+$J$1*V310+$K$1*W310+$L$1*X310+$M$1*Y310+$N$1*Z310+$O$1*AA310)</f>
        <v>34.166666666666664</v>
      </c>
    </row>
    <row r="311" spans="1:28">
      <c r="A311" s="106">
        <v>3</v>
      </c>
      <c r="B311" s="137">
        <v>330100001</v>
      </c>
      <c r="C311" s="137" t="s">
        <v>930</v>
      </c>
      <c r="D311" s="86">
        <v>2000</v>
      </c>
      <c r="E311" s="18" t="s">
        <v>7</v>
      </c>
      <c r="F311" s="18" t="s">
        <v>2</v>
      </c>
      <c r="G311" s="18" t="s">
        <v>88</v>
      </c>
      <c r="H311" s="18" t="s">
        <v>20</v>
      </c>
      <c r="I311" s="18" t="s">
        <v>24</v>
      </c>
      <c r="J311" s="18" t="s">
        <v>35</v>
      </c>
      <c r="K311" s="18" t="s">
        <v>38</v>
      </c>
      <c r="L311" s="18" t="s">
        <v>42</v>
      </c>
      <c r="M311" s="18" t="s">
        <v>50</v>
      </c>
      <c r="N311" s="18" t="s">
        <v>66</v>
      </c>
      <c r="O311" s="20">
        <f>2013-Table1[[#This Row],[Startup Year]]</f>
        <v>13</v>
      </c>
      <c r="P311" s="42"/>
      <c r="Q311" s="20">
        <f>VLOOKUP(E311,'Int. Pa.'!$B$3:$C$58,2,FALSE)</f>
        <v>1</v>
      </c>
      <c r="R311" s="20">
        <f>VLOOKUP(F311,'Int. Pa.'!$B$3:$C$58,2,FALSE)</f>
        <v>10</v>
      </c>
      <c r="S311" s="20">
        <f>VLOOKUP(G311,'Int. Pa.'!$B$3:$C$58,2,FALSE)</f>
        <v>0</v>
      </c>
      <c r="T311" s="20">
        <f>VLOOKUP(H311,'Int. Pa.'!$B$3:$C$58,2,FALSE)</f>
        <v>1</v>
      </c>
      <c r="U311" s="20">
        <f>VLOOKUP(I311,'Int. Pa.'!$B$3:$C$58,2,FALSE)</f>
        <v>0</v>
      </c>
      <c r="V311" s="20">
        <f>VLOOKUP(J311,'Int. Pa.'!$B$3:$C$58,2,FALSE)</f>
        <v>10</v>
      </c>
      <c r="W311" s="20">
        <f>VLOOKUP(K311,'Int. Pa.'!$B$3:$C$58,2,FALSE)</f>
        <v>1</v>
      </c>
      <c r="X311" s="20">
        <f>VLOOKUP(L311,'Int. Pa.'!$B$3:$C$58,2,FALSE)</f>
        <v>1</v>
      </c>
      <c r="Y311" s="20">
        <f>VLOOKUP(M311,'Int. Pa.'!$B$3:$C$58,2,FALSE)</f>
        <v>5</v>
      </c>
      <c r="Z311" s="20">
        <f>VLOOKUP(N311,'Int. Pa.'!$B$3:$C$58,2,FALSE)</f>
        <v>6</v>
      </c>
      <c r="AA311" s="20">
        <f t="shared" si="14"/>
        <v>3</v>
      </c>
      <c r="AB311" s="20">
        <f t="shared" si="15"/>
        <v>34.166666666666664</v>
      </c>
    </row>
    <row r="312" spans="1:28">
      <c r="A312" s="106">
        <v>3</v>
      </c>
      <c r="B312" s="137">
        <v>330100004</v>
      </c>
      <c r="C312" s="137" t="s">
        <v>769</v>
      </c>
      <c r="D312" s="86">
        <v>2000</v>
      </c>
      <c r="E312" s="18" t="s">
        <v>7</v>
      </c>
      <c r="F312" s="18" t="s">
        <v>2</v>
      </c>
      <c r="G312" s="18" t="s">
        <v>88</v>
      </c>
      <c r="H312" s="18" t="s">
        <v>20</v>
      </c>
      <c r="I312" s="18" t="s">
        <v>24</v>
      </c>
      <c r="J312" s="18" t="s">
        <v>35</v>
      </c>
      <c r="K312" s="18" t="s">
        <v>38</v>
      </c>
      <c r="L312" s="18" t="s">
        <v>42</v>
      </c>
      <c r="M312" s="18" t="s">
        <v>50</v>
      </c>
      <c r="N312" s="18" t="s">
        <v>66</v>
      </c>
      <c r="O312" s="20">
        <f>2013-Table1[[#This Row],[Startup Year]]</f>
        <v>13</v>
      </c>
      <c r="P312" s="42"/>
      <c r="Q312" s="20">
        <f>VLOOKUP(E312,'Int. Pa.'!$B$3:$C$58,2,FALSE)</f>
        <v>1</v>
      </c>
      <c r="R312" s="20">
        <f>VLOOKUP(F312,'Int. Pa.'!$B$3:$C$58,2,FALSE)</f>
        <v>10</v>
      </c>
      <c r="S312" s="20">
        <f>VLOOKUP(G312,'Int. Pa.'!$B$3:$C$58,2,FALSE)</f>
        <v>0</v>
      </c>
      <c r="T312" s="20">
        <f>VLOOKUP(H312,'Int. Pa.'!$B$3:$C$58,2,FALSE)</f>
        <v>1</v>
      </c>
      <c r="U312" s="20">
        <f>VLOOKUP(I312,'Int. Pa.'!$B$3:$C$58,2,FALSE)</f>
        <v>0</v>
      </c>
      <c r="V312" s="20">
        <f>VLOOKUP(J312,'Int. Pa.'!$B$3:$C$58,2,FALSE)</f>
        <v>10</v>
      </c>
      <c r="W312" s="20">
        <f>VLOOKUP(K312,'Int. Pa.'!$B$3:$C$58,2,FALSE)</f>
        <v>1</v>
      </c>
      <c r="X312" s="20">
        <f>VLOOKUP(L312,'Int. Pa.'!$B$3:$C$58,2,FALSE)</f>
        <v>1</v>
      </c>
      <c r="Y312" s="20">
        <f>VLOOKUP(M312,'Int. Pa.'!$B$3:$C$58,2,FALSE)</f>
        <v>5</v>
      </c>
      <c r="Z312" s="20">
        <f>VLOOKUP(N312,'Int. Pa.'!$B$3:$C$58,2,FALSE)</f>
        <v>6</v>
      </c>
      <c r="AA312" s="20">
        <f t="shared" si="14"/>
        <v>3</v>
      </c>
      <c r="AB312" s="20">
        <f t="shared" si="15"/>
        <v>34.166666666666664</v>
      </c>
    </row>
    <row r="313" spans="1:28">
      <c r="A313" s="106">
        <v>3</v>
      </c>
      <c r="B313" s="136">
        <v>3302</v>
      </c>
      <c r="C313" s="136" t="s">
        <v>917</v>
      </c>
      <c r="D313" s="86">
        <v>2000</v>
      </c>
      <c r="E313" s="18" t="s">
        <v>7</v>
      </c>
      <c r="F313" s="18" t="s">
        <v>2</v>
      </c>
      <c r="G313" s="18" t="s">
        <v>88</v>
      </c>
      <c r="H313" s="18" t="s">
        <v>20</v>
      </c>
      <c r="I313" s="18" t="s">
        <v>24</v>
      </c>
      <c r="J313" s="18" t="s">
        <v>35</v>
      </c>
      <c r="K313" s="18" t="s">
        <v>38</v>
      </c>
      <c r="L313" s="18" t="s">
        <v>42</v>
      </c>
      <c r="M313" s="18" t="s">
        <v>50</v>
      </c>
      <c r="N313" s="18" t="s">
        <v>66</v>
      </c>
      <c r="O313" s="20">
        <f>2013-Table1[[#This Row],[Startup Year]]</f>
        <v>13</v>
      </c>
      <c r="P313" s="19"/>
      <c r="Q313" s="20">
        <f>VLOOKUP(E313,'Int. Pa.'!$B$3:$C$58,2,FALSE)</f>
        <v>1</v>
      </c>
      <c r="R313" s="20">
        <f>VLOOKUP(F313,'Int. Pa.'!$B$3:$C$58,2,FALSE)</f>
        <v>10</v>
      </c>
      <c r="S313" s="20">
        <f>VLOOKUP(G313,'Int. Pa.'!$B$3:$C$58,2,FALSE)</f>
        <v>0</v>
      </c>
      <c r="T313" s="20">
        <f>VLOOKUP(H313,'Int. Pa.'!$B$3:$C$58,2,FALSE)</f>
        <v>1</v>
      </c>
      <c r="U313" s="20">
        <f>VLOOKUP(I313,'Int. Pa.'!$B$3:$C$58,2,FALSE)</f>
        <v>0</v>
      </c>
      <c r="V313" s="20">
        <f>VLOOKUP(J313,'Int. Pa.'!$B$3:$C$58,2,FALSE)</f>
        <v>10</v>
      </c>
      <c r="W313" s="20">
        <f>VLOOKUP(K313,'Int. Pa.'!$B$3:$C$58,2,FALSE)</f>
        <v>1</v>
      </c>
      <c r="X313" s="20">
        <f>VLOOKUP(L313,'Int. Pa.'!$B$3:$C$58,2,FALSE)</f>
        <v>1</v>
      </c>
      <c r="Y313" s="20">
        <f>VLOOKUP(M313,'Int. Pa.'!$B$3:$C$58,2,FALSE)</f>
        <v>5</v>
      </c>
      <c r="Z313" s="20">
        <f>VLOOKUP(N313,'Int. Pa.'!$B$3:$C$58,2,FALSE)</f>
        <v>6</v>
      </c>
      <c r="AA313" s="20">
        <f t="shared" si="14"/>
        <v>3</v>
      </c>
      <c r="AB313" s="20">
        <f t="shared" si="15"/>
        <v>34.166666666666664</v>
      </c>
    </row>
    <row r="314" spans="1:28">
      <c r="A314" s="106">
        <v>3</v>
      </c>
      <c r="B314" s="137">
        <v>3303</v>
      </c>
      <c r="C314" s="137" t="s">
        <v>923</v>
      </c>
      <c r="D314" s="86">
        <v>2000</v>
      </c>
      <c r="E314" s="18" t="s">
        <v>7</v>
      </c>
      <c r="F314" s="18" t="s">
        <v>2</v>
      </c>
      <c r="G314" s="18" t="s">
        <v>88</v>
      </c>
      <c r="H314" s="18" t="s">
        <v>20</v>
      </c>
      <c r="I314" s="18" t="s">
        <v>24</v>
      </c>
      <c r="J314" s="18" t="s">
        <v>35</v>
      </c>
      <c r="K314" s="18" t="s">
        <v>38</v>
      </c>
      <c r="L314" s="18" t="s">
        <v>42</v>
      </c>
      <c r="M314" s="18" t="s">
        <v>50</v>
      </c>
      <c r="N314" s="18" t="s">
        <v>66</v>
      </c>
      <c r="O314" s="20">
        <f>2013-Table1[[#This Row],[Startup Year]]</f>
        <v>13</v>
      </c>
      <c r="P314" s="42"/>
      <c r="Q314" s="20">
        <f>VLOOKUP(E314,'Int. Pa.'!$B$3:$C$58,2,FALSE)</f>
        <v>1</v>
      </c>
      <c r="R314" s="20">
        <f>VLOOKUP(F314,'Int. Pa.'!$B$3:$C$58,2,FALSE)</f>
        <v>10</v>
      </c>
      <c r="S314" s="20">
        <f>VLOOKUP(G314,'Int. Pa.'!$B$3:$C$58,2,FALSE)</f>
        <v>0</v>
      </c>
      <c r="T314" s="20">
        <f>VLOOKUP(H314,'Int. Pa.'!$B$3:$C$58,2,FALSE)</f>
        <v>1</v>
      </c>
      <c r="U314" s="20">
        <f>VLOOKUP(I314,'Int. Pa.'!$B$3:$C$58,2,FALSE)</f>
        <v>0</v>
      </c>
      <c r="V314" s="20">
        <f>VLOOKUP(J314,'Int. Pa.'!$B$3:$C$58,2,FALSE)</f>
        <v>10</v>
      </c>
      <c r="W314" s="20">
        <f>VLOOKUP(K314,'Int. Pa.'!$B$3:$C$58,2,FALSE)</f>
        <v>1</v>
      </c>
      <c r="X314" s="20">
        <f>VLOOKUP(L314,'Int. Pa.'!$B$3:$C$58,2,FALSE)</f>
        <v>1</v>
      </c>
      <c r="Y314" s="20">
        <f>VLOOKUP(M314,'Int. Pa.'!$B$3:$C$58,2,FALSE)</f>
        <v>5</v>
      </c>
      <c r="Z314" s="20">
        <f>VLOOKUP(N314,'Int. Pa.'!$B$3:$C$58,2,FALSE)</f>
        <v>6</v>
      </c>
      <c r="AA314" s="20">
        <f t="shared" si="14"/>
        <v>3</v>
      </c>
      <c r="AB314" s="20">
        <f t="shared" si="15"/>
        <v>34.166666666666664</v>
      </c>
    </row>
    <row r="315" spans="1:28">
      <c r="A315" s="106">
        <v>3</v>
      </c>
      <c r="B315" s="136">
        <v>330300002</v>
      </c>
      <c r="C315" s="136" t="s">
        <v>927</v>
      </c>
      <c r="D315" s="86">
        <v>2000</v>
      </c>
      <c r="E315" s="18" t="s">
        <v>7</v>
      </c>
      <c r="F315" s="18" t="s">
        <v>2</v>
      </c>
      <c r="G315" s="18" t="s">
        <v>88</v>
      </c>
      <c r="H315" s="18" t="s">
        <v>20</v>
      </c>
      <c r="I315" s="18" t="s">
        <v>24</v>
      </c>
      <c r="J315" s="18" t="s">
        <v>35</v>
      </c>
      <c r="K315" s="18" t="s">
        <v>38</v>
      </c>
      <c r="L315" s="18" t="s">
        <v>42</v>
      </c>
      <c r="M315" s="18" t="s">
        <v>50</v>
      </c>
      <c r="N315" s="18" t="s">
        <v>66</v>
      </c>
      <c r="O315" s="20">
        <f>2013-Table1[[#This Row],[Startup Year]]</f>
        <v>13</v>
      </c>
      <c r="P315" s="19"/>
      <c r="Q315" s="20">
        <f>VLOOKUP(E315,'Int. Pa.'!$B$3:$C$58,2,FALSE)</f>
        <v>1</v>
      </c>
      <c r="R315" s="20">
        <f>VLOOKUP(F315,'Int. Pa.'!$B$3:$C$58,2,FALSE)</f>
        <v>10</v>
      </c>
      <c r="S315" s="20">
        <f>VLOOKUP(G315,'Int. Pa.'!$B$3:$C$58,2,FALSE)</f>
        <v>0</v>
      </c>
      <c r="T315" s="20">
        <f>VLOOKUP(H315,'Int. Pa.'!$B$3:$C$58,2,FALSE)</f>
        <v>1</v>
      </c>
      <c r="U315" s="20">
        <f>VLOOKUP(I315,'Int. Pa.'!$B$3:$C$58,2,FALSE)</f>
        <v>0</v>
      </c>
      <c r="V315" s="20">
        <f>VLOOKUP(J315,'Int. Pa.'!$B$3:$C$58,2,FALSE)</f>
        <v>10</v>
      </c>
      <c r="W315" s="20">
        <f>VLOOKUP(K315,'Int. Pa.'!$B$3:$C$58,2,FALSE)</f>
        <v>1</v>
      </c>
      <c r="X315" s="20">
        <f>VLOOKUP(L315,'Int. Pa.'!$B$3:$C$58,2,FALSE)</f>
        <v>1</v>
      </c>
      <c r="Y315" s="20">
        <f>VLOOKUP(M315,'Int. Pa.'!$B$3:$C$58,2,FALSE)</f>
        <v>5</v>
      </c>
      <c r="Z315" s="20">
        <f>VLOOKUP(N315,'Int. Pa.'!$B$3:$C$58,2,FALSE)</f>
        <v>6</v>
      </c>
      <c r="AA315" s="20">
        <f t="shared" si="14"/>
        <v>3</v>
      </c>
      <c r="AB315" s="20">
        <f t="shared" si="15"/>
        <v>34.166666666666664</v>
      </c>
    </row>
    <row r="316" spans="1:28">
      <c r="A316" s="106">
        <v>3</v>
      </c>
      <c r="B316" s="136">
        <v>330300004</v>
      </c>
      <c r="C316" s="136" t="s">
        <v>925</v>
      </c>
      <c r="D316" s="86">
        <v>2000</v>
      </c>
      <c r="E316" s="18" t="s">
        <v>7</v>
      </c>
      <c r="F316" s="18" t="s">
        <v>2</v>
      </c>
      <c r="G316" s="18" t="s">
        <v>88</v>
      </c>
      <c r="H316" s="18" t="s">
        <v>20</v>
      </c>
      <c r="I316" s="18" t="s">
        <v>24</v>
      </c>
      <c r="J316" s="18" t="s">
        <v>35</v>
      </c>
      <c r="K316" s="18" t="s">
        <v>38</v>
      </c>
      <c r="L316" s="18" t="s">
        <v>42</v>
      </c>
      <c r="M316" s="18" t="s">
        <v>50</v>
      </c>
      <c r="N316" s="18" t="s">
        <v>66</v>
      </c>
      <c r="O316" s="20">
        <f>2013-Table1[[#This Row],[Startup Year]]</f>
        <v>13</v>
      </c>
      <c r="P316" s="19"/>
      <c r="Q316" s="20">
        <f>VLOOKUP(E316,'Int. Pa.'!$B$3:$C$58,2,FALSE)</f>
        <v>1</v>
      </c>
      <c r="R316" s="20">
        <f>VLOOKUP(F316,'Int. Pa.'!$B$3:$C$58,2,FALSE)</f>
        <v>10</v>
      </c>
      <c r="S316" s="20">
        <f>VLOOKUP(G316,'Int. Pa.'!$B$3:$C$58,2,FALSE)</f>
        <v>0</v>
      </c>
      <c r="T316" s="20">
        <f>VLOOKUP(H316,'Int. Pa.'!$B$3:$C$58,2,FALSE)</f>
        <v>1</v>
      </c>
      <c r="U316" s="20">
        <f>VLOOKUP(I316,'Int. Pa.'!$B$3:$C$58,2,FALSE)</f>
        <v>0</v>
      </c>
      <c r="V316" s="20">
        <f>VLOOKUP(J316,'Int. Pa.'!$B$3:$C$58,2,FALSE)</f>
        <v>10</v>
      </c>
      <c r="W316" s="20">
        <f>VLOOKUP(K316,'Int. Pa.'!$B$3:$C$58,2,FALSE)</f>
        <v>1</v>
      </c>
      <c r="X316" s="20">
        <f>VLOOKUP(L316,'Int. Pa.'!$B$3:$C$58,2,FALSE)</f>
        <v>1</v>
      </c>
      <c r="Y316" s="20">
        <f>VLOOKUP(M316,'Int. Pa.'!$B$3:$C$58,2,FALSE)</f>
        <v>5</v>
      </c>
      <c r="Z316" s="20">
        <f>VLOOKUP(N316,'Int. Pa.'!$B$3:$C$58,2,FALSE)</f>
        <v>6</v>
      </c>
      <c r="AA316" s="20">
        <f t="shared" si="14"/>
        <v>3</v>
      </c>
      <c r="AB316" s="20">
        <f t="shared" si="15"/>
        <v>34.166666666666664</v>
      </c>
    </row>
    <row r="317" spans="1:28">
      <c r="A317" s="106">
        <v>3</v>
      </c>
      <c r="B317" s="137">
        <v>330400005</v>
      </c>
      <c r="C317" s="137" t="s">
        <v>931</v>
      </c>
      <c r="D317" s="86">
        <v>2000</v>
      </c>
      <c r="E317" s="18" t="s">
        <v>7</v>
      </c>
      <c r="F317" s="18" t="s">
        <v>2</v>
      </c>
      <c r="G317" s="18" t="s">
        <v>88</v>
      </c>
      <c r="H317" s="18" t="s">
        <v>20</v>
      </c>
      <c r="I317" s="18" t="s">
        <v>24</v>
      </c>
      <c r="J317" s="18" t="s">
        <v>35</v>
      </c>
      <c r="K317" s="18" t="s">
        <v>38</v>
      </c>
      <c r="L317" s="18" t="s">
        <v>42</v>
      </c>
      <c r="M317" s="18" t="s">
        <v>50</v>
      </c>
      <c r="N317" s="18" t="s">
        <v>66</v>
      </c>
      <c r="O317" s="20">
        <f>2013-Table1[[#This Row],[Startup Year]]</f>
        <v>13</v>
      </c>
      <c r="P317" s="42"/>
      <c r="Q317" s="20">
        <f>VLOOKUP(E317,'Int. Pa.'!$B$3:$C$58,2,FALSE)</f>
        <v>1</v>
      </c>
      <c r="R317" s="20">
        <f>VLOOKUP(F317,'Int. Pa.'!$B$3:$C$58,2,FALSE)</f>
        <v>10</v>
      </c>
      <c r="S317" s="20">
        <f>VLOOKUP(G317,'Int. Pa.'!$B$3:$C$58,2,FALSE)</f>
        <v>0</v>
      </c>
      <c r="T317" s="20">
        <f>VLOOKUP(H317,'Int. Pa.'!$B$3:$C$58,2,FALSE)</f>
        <v>1</v>
      </c>
      <c r="U317" s="20">
        <f>VLOOKUP(I317,'Int. Pa.'!$B$3:$C$58,2,FALSE)</f>
        <v>0</v>
      </c>
      <c r="V317" s="20">
        <f>VLOOKUP(J317,'Int. Pa.'!$B$3:$C$58,2,FALSE)</f>
        <v>10</v>
      </c>
      <c r="W317" s="20">
        <f>VLOOKUP(K317,'Int. Pa.'!$B$3:$C$58,2,FALSE)</f>
        <v>1</v>
      </c>
      <c r="X317" s="20">
        <f>VLOOKUP(L317,'Int. Pa.'!$B$3:$C$58,2,FALSE)</f>
        <v>1</v>
      </c>
      <c r="Y317" s="20">
        <f>VLOOKUP(M317,'Int. Pa.'!$B$3:$C$58,2,FALSE)</f>
        <v>5</v>
      </c>
      <c r="Z317" s="20">
        <f>VLOOKUP(N317,'Int. Pa.'!$B$3:$C$58,2,FALSE)</f>
        <v>6</v>
      </c>
      <c r="AA317" s="20">
        <f t="shared" si="14"/>
        <v>3</v>
      </c>
      <c r="AB317" s="20">
        <f t="shared" si="15"/>
        <v>34.166666666666664</v>
      </c>
    </row>
    <row r="318" spans="1:28">
      <c r="A318" s="106">
        <v>3</v>
      </c>
      <c r="B318" s="136">
        <v>3304</v>
      </c>
      <c r="C318" s="138" t="s">
        <v>915</v>
      </c>
      <c r="D318" s="86">
        <v>2000</v>
      </c>
      <c r="E318" s="18" t="s">
        <v>7</v>
      </c>
      <c r="F318" s="18" t="s">
        <v>2</v>
      </c>
      <c r="G318" s="18" t="s">
        <v>88</v>
      </c>
      <c r="H318" s="18" t="s">
        <v>20</v>
      </c>
      <c r="I318" s="18" t="s">
        <v>24</v>
      </c>
      <c r="J318" s="18" t="s">
        <v>35</v>
      </c>
      <c r="K318" s="18" t="s">
        <v>38</v>
      </c>
      <c r="L318" s="18" t="s">
        <v>42</v>
      </c>
      <c r="M318" s="18" t="s">
        <v>50</v>
      </c>
      <c r="N318" s="18" t="s">
        <v>66</v>
      </c>
      <c r="O318" s="20">
        <f>2013-Table1[[#This Row],[Startup Year]]</f>
        <v>13</v>
      </c>
      <c r="P318" s="19"/>
      <c r="Q318" s="20">
        <f>VLOOKUP(E318,'Int. Pa.'!$B$3:$C$58,2,FALSE)</f>
        <v>1</v>
      </c>
      <c r="R318" s="20">
        <f>VLOOKUP(F318,'Int. Pa.'!$B$3:$C$58,2,FALSE)</f>
        <v>10</v>
      </c>
      <c r="S318" s="20">
        <f>VLOOKUP(G318,'Int. Pa.'!$B$3:$C$58,2,FALSE)</f>
        <v>0</v>
      </c>
      <c r="T318" s="20">
        <f>VLOOKUP(H318,'Int. Pa.'!$B$3:$C$58,2,FALSE)</f>
        <v>1</v>
      </c>
      <c r="U318" s="20">
        <f>VLOOKUP(I318,'Int. Pa.'!$B$3:$C$58,2,FALSE)</f>
        <v>0</v>
      </c>
      <c r="V318" s="20">
        <f>VLOOKUP(J318,'Int. Pa.'!$B$3:$C$58,2,FALSE)</f>
        <v>10</v>
      </c>
      <c r="W318" s="20">
        <f>VLOOKUP(K318,'Int. Pa.'!$B$3:$C$58,2,FALSE)</f>
        <v>1</v>
      </c>
      <c r="X318" s="20">
        <f>VLOOKUP(L318,'Int. Pa.'!$B$3:$C$58,2,FALSE)</f>
        <v>1</v>
      </c>
      <c r="Y318" s="20">
        <f>VLOOKUP(M318,'Int. Pa.'!$B$3:$C$58,2,FALSE)</f>
        <v>5</v>
      </c>
      <c r="Z318" s="20">
        <f>VLOOKUP(N318,'Int. Pa.'!$B$3:$C$58,2,FALSE)</f>
        <v>6</v>
      </c>
      <c r="AA318" s="20">
        <f t="shared" si="14"/>
        <v>3</v>
      </c>
      <c r="AB318" s="20">
        <f t="shared" si="15"/>
        <v>34.166666666666664</v>
      </c>
    </row>
    <row r="319" spans="1:28">
      <c r="A319" s="106">
        <v>3</v>
      </c>
      <c r="B319" s="136">
        <v>330401</v>
      </c>
      <c r="C319" s="136" t="s">
        <v>919</v>
      </c>
      <c r="D319" s="86">
        <v>2000</v>
      </c>
      <c r="E319" s="18" t="s">
        <v>7</v>
      </c>
      <c r="F319" s="18" t="s">
        <v>2</v>
      </c>
      <c r="G319" s="18" t="s">
        <v>88</v>
      </c>
      <c r="H319" s="18" t="s">
        <v>20</v>
      </c>
      <c r="I319" s="18" t="s">
        <v>24</v>
      </c>
      <c r="J319" s="18" t="s">
        <v>35</v>
      </c>
      <c r="K319" s="18" t="s">
        <v>38</v>
      </c>
      <c r="L319" s="18" t="s">
        <v>42</v>
      </c>
      <c r="M319" s="18" t="s">
        <v>50</v>
      </c>
      <c r="N319" s="18" t="s">
        <v>66</v>
      </c>
      <c r="O319" s="20">
        <f>2013-Table1[[#This Row],[Startup Year]]</f>
        <v>13</v>
      </c>
      <c r="P319" s="19"/>
      <c r="Q319" s="20">
        <f>VLOOKUP(E319,'Int. Pa.'!$B$3:$C$58,2,FALSE)</f>
        <v>1</v>
      </c>
      <c r="R319" s="20">
        <f>VLOOKUP(F319,'Int. Pa.'!$B$3:$C$58,2,FALSE)</f>
        <v>10</v>
      </c>
      <c r="S319" s="20">
        <f>VLOOKUP(G319,'Int. Pa.'!$B$3:$C$58,2,FALSE)</f>
        <v>0</v>
      </c>
      <c r="T319" s="20">
        <f>VLOOKUP(H319,'Int. Pa.'!$B$3:$C$58,2,FALSE)</f>
        <v>1</v>
      </c>
      <c r="U319" s="20">
        <f>VLOOKUP(I319,'Int. Pa.'!$B$3:$C$58,2,FALSE)</f>
        <v>0</v>
      </c>
      <c r="V319" s="20">
        <f>VLOOKUP(J319,'Int. Pa.'!$B$3:$C$58,2,FALSE)</f>
        <v>10</v>
      </c>
      <c r="W319" s="20">
        <f>VLOOKUP(K319,'Int. Pa.'!$B$3:$C$58,2,FALSE)</f>
        <v>1</v>
      </c>
      <c r="X319" s="20">
        <f>VLOOKUP(L319,'Int. Pa.'!$B$3:$C$58,2,FALSE)</f>
        <v>1</v>
      </c>
      <c r="Y319" s="20">
        <f>VLOOKUP(M319,'Int. Pa.'!$B$3:$C$58,2,FALSE)</f>
        <v>5</v>
      </c>
      <c r="Z319" s="20">
        <f>VLOOKUP(N319,'Int. Pa.'!$B$3:$C$58,2,FALSE)</f>
        <v>6</v>
      </c>
      <c r="AA319" s="20">
        <f t="shared" si="14"/>
        <v>3</v>
      </c>
      <c r="AB319" s="20">
        <f t="shared" si="15"/>
        <v>34.166666666666664</v>
      </c>
    </row>
    <row r="320" spans="1:28">
      <c r="A320" s="106">
        <v>3</v>
      </c>
      <c r="B320" s="136">
        <v>3305</v>
      </c>
      <c r="C320" s="138" t="s">
        <v>910</v>
      </c>
      <c r="D320" s="86">
        <v>2000</v>
      </c>
      <c r="E320" s="18" t="s">
        <v>7</v>
      </c>
      <c r="F320" s="18" t="s">
        <v>2</v>
      </c>
      <c r="G320" s="18" t="s">
        <v>88</v>
      </c>
      <c r="H320" s="18" t="s">
        <v>20</v>
      </c>
      <c r="I320" s="18" t="s">
        <v>24</v>
      </c>
      <c r="J320" s="18" t="s">
        <v>35</v>
      </c>
      <c r="K320" s="18" t="s">
        <v>38</v>
      </c>
      <c r="L320" s="18" t="s">
        <v>42</v>
      </c>
      <c r="M320" s="18" t="s">
        <v>50</v>
      </c>
      <c r="N320" s="18" t="s">
        <v>66</v>
      </c>
      <c r="O320" s="20">
        <f>2013-Table1[[#This Row],[Startup Year]]</f>
        <v>13</v>
      </c>
      <c r="P320" s="19"/>
      <c r="Q320" s="20">
        <f>VLOOKUP(E320,'Int. Pa.'!$B$3:$C$58,2,FALSE)</f>
        <v>1</v>
      </c>
      <c r="R320" s="20">
        <f>VLOOKUP(F320,'Int. Pa.'!$B$3:$C$58,2,FALSE)</f>
        <v>10</v>
      </c>
      <c r="S320" s="20">
        <f>VLOOKUP(G320,'Int. Pa.'!$B$3:$C$58,2,FALSE)</f>
        <v>0</v>
      </c>
      <c r="T320" s="20">
        <f>VLOOKUP(H320,'Int. Pa.'!$B$3:$C$58,2,FALSE)</f>
        <v>1</v>
      </c>
      <c r="U320" s="20">
        <f>VLOOKUP(I320,'Int. Pa.'!$B$3:$C$58,2,FALSE)</f>
        <v>0</v>
      </c>
      <c r="V320" s="20">
        <f>VLOOKUP(J320,'Int. Pa.'!$B$3:$C$58,2,FALSE)</f>
        <v>10</v>
      </c>
      <c r="W320" s="20">
        <f>VLOOKUP(K320,'Int. Pa.'!$B$3:$C$58,2,FALSE)</f>
        <v>1</v>
      </c>
      <c r="X320" s="20">
        <f>VLOOKUP(L320,'Int. Pa.'!$B$3:$C$58,2,FALSE)</f>
        <v>1</v>
      </c>
      <c r="Y320" s="20">
        <f>VLOOKUP(M320,'Int. Pa.'!$B$3:$C$58,2,FALSE)</f>
        <v>5</v>
      </c>
      <c r="Z320" s="20">
        <f>VLOOKUP(N320,'Int. Pa.'!$B$3:$C$58,2,FALSE)</f>
        <v>6</v>
      </c>
      <c r="AA320" s="20">
        <f t="shared" si="14"/>
        <v>3</v>
      </c>
      <c r="AB320" s="20">
        <f t="shared" si="15"/>
        <v>34.166666666666664</v>
      </c>
    </row>
    <row r="321" spans="1:28">
      <c r="A321" s="106">
        <v>3</v>
      </c>
      <c r="B321" s="137">
        <v>330500006</v>
      </c>
      <c r="C321" s="137" t="s">
        <v>934</v>
      </c>
      <c r="D321" s="86">
        <v>2000</v>
      </c>
      <c r="E321" s="18" t="s">
        <v>7</v>
      </c>
      <c r="F321" s="18" t="s">
        <v>2</v>
      </c>
      <c r="G321" s="18" t="s">
        <v>88</v>
      </c>
      <c r="H321" s="18" t="s">
        <v>20</v>
      </c>
      <c r="I321" s="18" t="s">
        <v>24</v>
      </c>
      <c r="J321" s="18" t="s">
        <v>35</v>
      </c>
      <c r="K321" s="18" t="s">
        <v>38</v>
      </c>
      <c r="L321" s="18" t="s">
        <v>42</v>
      </c>
      <c r="M321" s="18" t="s">
        <v>50</v>
      </c>
      <c r="N321" s="18" t="s">
        <v>66</v>
      </c>
      <c r="O321" s="20">
        <f>2013-Table1[[#This Row],[Startup Year]]</f>
        <v>13</v>
      </c>
      <c r="P321" s="42"/>
      <c r="Q321" s="20">
        <f>VLOOKUP(E321,'Int. Pa.'!$B$3:$C$58,2,FALSE)</f>
        <v>1</v>
      </c>
      <c r="R321" s="20">
        <f>VLOOKUP(F321,'Int. Pa.'!$B$3:$C$58,2,FALSE)</f>
        <v>10</v>
      </c>
      <c r="S321" s="20">
        <f>VLOOKUP(G321,'Int. Pa.'!$B$3:$C$58,2,FALSE)</f>
        <v>0</v>
      </c>
      <c r="T321" s="20">
        <f>VLOOKUP(H321,'Int. Pa.'!$B$3:$C$58,2,FALSE)</f>
        <v>1</v>
      </c>
      <c r="U321" s="20">
        <f>VLOOKUP(I321,'Int. Pa.'!$B$3:$C$58,2,FALSE)</f>
        <v>0</v>
      </c>
      <c r="V321" s="20">
        <f>VLOOKUP(J321,'Int. Pa.'!$B$3:$C$58,2,FALSE)</f>
        <v>10</v>
      </c>
      <c r="W321" s="20">
        <f>VLOOKUP(K321,'Int. Pa.'!$B$3:$C$58,2,FALSE)</f>
        <v>1</v>
      </c>
      <c r="X321" s="20">
        <f>VLOOKUP(L321,'Int. Pa.'!$B$3:$C$58,2,FALSE)</f>
        <v>1</v>
      </c>
      <c r="Y321" s="20">
        <f>VLOOKUP(M321,'Int. Pa.'!$B$3:$C$58,2,FALSE)</f>
        <v>5</v>
      </c>
      <c r="Z321" s="20">
        <f>VLOOKUP(N321,'Int. Pa.'!$B$3:$C$58,2,FALSE)</f>
        <v>6</v>
      </c>
      <c r="AA321" s="20">
        <f t="shared" si="14"/>
        <v>3</v>
      </c>
      <c r="AB321" s="20">
        <f t="shared" si="15"/>
        <v>34.166666666666664</v>
      </c>
    </row>
    <row r="322" spans="1:28">
      <c r="A322" s="106">
        <v>3</v>
      </c>
      <c r="B322" s="136">
        <v>330500010</v>
      </c>
      <c r="C322" s="136" t="s">
        <v>936</v>
      </c>
      <c r="D322" s="86">
        <v>2000</v>
      </c>
      <c r="E322" s="18" t="s">
        <v>7</v>
      </c>
      <c r="F322" s="18" t="s">
        <v>2</v>
      </c>
      <c r="G322" s="18" t="s">
        <v>88</v>
      </c>
      <c r="H322" s="18" t="s">
        <v>20</v>
      </c>
      <c r="I322" s="18" t="s">
        <v>24</v>
      </c>
      <c r="J322" s="18" t="s">
        <v>35</v>
      </c>
      <c r="K322" s="18" t="s">
        <v>38</v>
      </c>
      <c r="L322" s="18" t="s">
        <v>42</v>
      </c>
      <c r="M322" s="18" t="s">
        <v>50</v>
      </c>
      <c r="N322" s="18" t="s">
        <v>66</v>
      </c>
      <c r="O322" s="20">
        <f>2013-Table1[[#This Row],[Startup Year]]</f>
        <v>13</v>
      </c>
      <c r="P322" s="19"/>
      <c r="Q322" s="20">
        <f>VLOOKUP(E322,'Int. Pa.'!$B$3:$C$58,2,FALSE)</f>
        <v>1</v>
      </c>
      <c r="R322" s="20">
        <f>VLOOKUP(F322,'Int. Pa.'!$B$3:$C$58,2,FALSE)</f>
        <v>10</v>
      </c>
      <c r="S322" s="20">
        <f>VLOOKUP(G322,'Int. Pa.'!$B$3:$C$58,2,FALSE)</f>
        <v>0</v>
      </c>
      <c r="T322" s="20">
        <f>VLOOKUP(H322,'Int. Pa.'!$B$3:$C$58,2,FALSE)</f>
        <v>1</v>
      </c>
      <c r="U322" s="20">
        <f>VLOOKUP(I322,'Int. Pa.'!$B$3:$C$58,2,FALSE)</f>
        <v>0</v>
      </c>
      <c r="V322" s="20">
        <f>VLOOKUP(J322,'Int. Pa.'!$B$3:$C$58,2,FALSE)</f>
        <v>10</v>
      </c>
      <c r="W322" s="20">
        <f>VLOOKUP(K322,'Int. Pa.'!$B$3:$C$58,2,FALSE)</f>
        <v>1</v>
      </c>
      <c r="X322" s="20">
        <f>VLOOKUP(L322,'Int. Pa.'!$B$3:$C$58,2,FALSE)</f>
        <v>1</v>
      </c>
      <c r="Y322" s="20">
        <f>VLOOKUP(M322,'Int. Pa.'!$B$3:$C$58,2,FALSE)</f>
        <v>5</v>
      </c>
      <c r="Z322" s="20">
        <f>VLOOKUP(N322,'Int. Pa.'!$B$3:$C$58,2,FALSE)</f>
        <v>6</v>
      </c>
      <c r="AA322" s="20">
        <f t="shared" si="14"/>
        <v>3</v>
      </c>
      <c r="AB322" s="20">
        <f t="shared" si="15"/>
        <v>34.166666666666664</v>
      </c>
    </row>
    <row r="323" spans="1:28">
      <c r="A323" s="106">
        <v>3</v>
      </c>
      <c r="B323" s="137">
        <v>330500011</v>
      </c>
      <c r="C323" s="137" t="s">
        <v>940</v>
      </c>
      <c r="D323" s="86">
        <v>2000</v>
      </c>
      <c r="E323" s="18" t="s">
        <v>7</v>
      </c>
      <c r="F323" s="18" t="s">
        <v>2</v>
      </c>
      <c r="G323" s="18" t="s">
        <v>88</v>
      </c>
      <c r="H323" s="18" t="s">
        <v>20</v>
      </c>
      <c r="I323" s="18" t="s">
        <v>24</v>
      </c>
      <c r="J323" s="18" t="s">
        <v>35</v>
      </c>
      <c r="K323" s="18" t="s">
        <v>38</v>
      </c>
      <c r="L323" s="18" t="s">
        <v>42</v>
      </c>
      <c r="M323" s="18" t="s">
        <v>50</v>
      </c>
      <c r="N323" s="18" t="s">
        <v>66</v>
      </c>
      <c r="O323" s="20">
        <f>2013-Table1[[#This Row],[Startup Year]]</f>
        <v>13</v>
      </c>
      <c r="P323" s="42"/>
      <c r="Q323" s="20">
        <f>VLOOKUP(E323,'Int. Pa.'!$B$3:$C$58,2,FALSE)</f>
        <v>1</v>
      </c>
      <c r="R323" s="20">
        <f>VLOOKUP(F323,'Int. Pa.'!$B$3:$C$58,2,FALSE)</f>
        <v>10</v>
      </c>
      <c r="S323" s="20">
        <f>VLOOKUP(G323,'Int. Pa.'!$B$3:$C$58,2,FALSE)</f>
        <v>0</v>
      </c>
      <c r="T323" s="20">
        <f>VLOOKUP(H323,'Int. Pa.'!$B$3:$C$58,2,FALSE)</f>
        <v>1</v>
      </c>
      <c r="U323" s="20">
        <f>VLOOKUP(I323,'Int. Pa.'!$B$3:$C$58,2,FALSE)</f>
        <v>0</v>
      </c>
      <c r="V323" s="20">
        <f>VLOOKUP(J323,'Int. Pa.'!$B$3:$C$58,2,FALSE)</f>
        <v>10</v>
      </c>
      <c r="W323" s="20">
        <f>VLOOKUP(K323,'Int. Pa.'!$B$3:$C$58,2,FALSE)</f>
        <v>1</v>
      </c>
      <c r="X323" s="20">
        <f>VLOOKUP(L323,'Int. Pa.'!$B$3:$C$58,2,FALSE)</f>
        <v>1</v>
      </c>
      <c r="Y323" s="20">
        <f>VLOOKUP(M323,'Int. Pa.'!$B$3:$C$58,2,FALSE)</f>
        <v>5</v>
      </c>
      <c r="Z323" s="20">
        <f>VLOOKUP(N323,'Int. Pa.'!$B$3:$C$58,2,FALSE)</f>
        <v>6</v>
      </c>
      <c r="AA323" s="20">
        <f t="shared" si="14"/>
        <v>3</v>
      </c>
      <c r="AB323" s="20">
        <f t="shared" si="15"/>
        <v>34.166666666666664</v>
      </c>
    </row>
    <row r="324" spans="1:28">
      <c r="A324" s="106">
        <v>3</v>
      </c>
      <c r="B324" s="137">
        <v>330500013</v>
      </c>
      <c r="C324" s="137" t="s">
        <v>921</v>
      </c>
      <c r="D324" s="86">
        <v>2000</v>
      </c>
      <c r="E324" s="18" t="s">
        <v>7</v>
      </c>
      <c r="F324" s="18" t="s">
        <v>2</v>
      </c>
      <c r="G324" s="18" t="s">
        <v>88</v>
      </c>
      <c r="H324" s="18" t="s">
        <v>20</v>
      </c>
      <c r="I324" s="18" t="s">
        <v>24</v>
      </c>
      <c r="J324" s="18" t="s">
        <v>35</v>
      </c>
      <c r="K324" s="18" t="s">
        <v>38</v>
      </c>
      <c r="L324" s="18" t="s">
        <v>42</v>
      </c>
      <c r="M324" s="18" t="s">
        <v>50</v>
      </c>
      <c r="N324" s="18" t="s">
        <v>66</v>
      </c>
      <c r="O324" s="20">
        <f>2013-Table1[[#This Row],[Startup Year]]</f>
        <v>13</v>
      </c>
      <c r="P324" s="42"/>
      <c r="Q324" s="20">
        <f>VLOOKUP(E324,'Int. Pa.'!$B$3:$C$58,2,FALSE)</f>
        <v>1</v>
      </c>
      <c r="R324" s="20">
        <f>VLOOKUP(F324,'Int. Pa.'!$B$3:$C$58,2,FALSE)</f>
        <v>10</v>
      </c>
      <c r="S324" s="20">
        <f>VLOOKUP(G324,'Int. Pa.'!$B$3:$C$58,2,FALSE)</f>
        <v>0</v>
      </c>
      <c r="T324" s="20">
        <f>VLOOKUP(H324,'Int. Pa.'!$B$3:$C$58,2,FALSE)</f>
        <v>1</v>
      </c>
      <c r="U324" s="20">
        <f>VLOOKUP(I324,'Int. Pa.'!$B$3:$C$58,2,FALSE)</f>
        <v>0</v>
      </c>
      <c r="V324" s="20">
        <f>VLOOKUP(J324,'Int. Pa.'!$B$3:$C$58,2,FALSE)</f>
        <v>10</v>
      </c>
      <c r="W324" s="20">
        <f>VLOOKUP(K324,'Int. Pa.'!$B$3:$C$58,2,FALSE)</f>
        <v>1</v>
      </c>
      <c r="X324" s="20">
        <f>VLOOKUP(L324,'Int. Pa.'!$B$3:$C$58,2,FALSE)</f>
        <v>1</v>
      </c>
      <c r="Y324" s="20">
        <f>VLOOKUP(M324,'Int. Pa.'!$B$3:$C$58,2,FALSE)</f>
        <v>5</v>
      </c>
      <c r="Z324" s="20">
        <f>VLOOKUP(N324,'Int. Pa.'!$B$3:$C$58,2,FALSE)</f>
        <v>6</v>
      </c>
      <c r="AA324" s="20">
        <f t="shared" si="14"/>
        <v>3</v>
      </c>
      <c r="AB324" s="20">
        <f t="shared" si="15"/>
        <v>34.166666666666664</v>
      </c>
    </row>
    <row r="325" spans="1:28">
      <c r="A325" s="106">
        <v>3</v>
      </c>
      <c r="B325" s="137">
        <v>3307</v>
      </c>
      <c r="C325" s="139" t="s">
        <v>913</v>
      </c>
      <c r="D325" s="86">
        <v>2000</v>
      </c>
      <c r="E325" s="18" t="s">
        <v>7</v>
      </c>
      <c r="F325" s="18" t="s">
        <v>2</v>
      </c>
      <c r="G325" s="18" t="s">
        <v>88</v>
      </c>
      <c r="H325" s="18" t="s">
        <v>20</v>
      </c>
      <c r="I325" s="18" t="s">
        <v>24</v>
      </c>
      <c r="J325" s="18" t="s">
        <v>35</v>
      </c>
      <c r="K325" s="18" t="s">
        <v>38</v>
      </c>
      <c r="L325" s="18" t="s">
        <v>42</v>
      </c>
      <c r="M325" s="18" t="s">
        <v>50</v>
      </c>
      <c r="N325" s="18" t="s">
        <v>66</v>
      </c>
      <c r="O325" s="20">
        <f>2013-Table1[[#This Row],[Startup Year]]</f>
        <v>13</v>
      </c>
      <c r="P325" s="42"/>
      <c r="Q325" s="20">
        <f>VLOOKUP(E325,'Int. Pa.'!$B$3:$C$58,2,FALSE)</f>
        <v>1</v>
      </c>
      <c r="R325" s="20">
        <f>VLOOKUP(F325,'Int. Pa.'!$B$3:$C$58,2,FALSE)</f>
        <v>10</v>
      </c>
      <c r="S325" s="20">
        <f>VLOOKUP(G325,'Int. Pa.'!$B$3:$C$58,2,FALSE)</f>
        <v>0</v>
      </c>
      <c r="T325" s="20">
        <f>VLOOKUP(H325,'Int. Pa.'!$B$3:$C$58,2,FALSE)</f>
        <v>1</v>
      </c>
      <c r="U325" s="20">
        <f>VLOOKUP(I325,'Int. Pa.'!$B$3:$C$58,2,FALSE)</f>
        <v>0</v>
      </c>
      <c r="V325" s="20">
        <f>VLOOKUP(J325,'Int. Pa.'!$B$3:$C$58,2,FALSE)</f>
        <v>10</v>
      </c>
      <c r="W325" s="20">
        <f>VLOOKUP(K325,'Int. Pa.'!$B$3:$C$58,2,FALSE)</f>
        <v>1</v>
      </c>
      <c r="X325" s="20">
        <f>VLOOKUP(L325,'Int. Pa.'!$B$3:$C$58,2,FALSE)</f>
        <v>1</v>
      </c>
      <c r="Y325" s="20">
        <f>VLOOKUP(M325,'Int. Pa.'!$B$3:$C$58,2,FALSE)</f>
        <v>5</v>
      </c>
      <c r="Z325" s="20">
        <f>VLOOKUP(N325,'Int. Pa.'!$B$3:$C$58,2,FALSE)</f>
        <v>6</v>
      </c>
      <c r="AA325" s="20">
        <f t="shared" si="14"/>
        <v>3</v>
      </c>
      <c r="AB325" s="20">
        <f t="shared" si="15"/>
        <v>34.166666666666664</v>
      </c>
    </row>
    <row r="326" spans="1:28">
      <c r="A326" s="106">
        <v>3</v>
      </c>
      <c r="B326" s="137">
        <v>330500005</v>
      </c>
      <c r="C326" s="137" t="s">
        <v>938</v>
      </c>
      <c r="D326" s="86">
        <v>2000</v>
      </c>
      <c r="E326" s="18" t="s">
        <v>7</v>
      </c>
      <c r="F326" s="18" t="s">
        <v>2</v>
      </c>
      <c r="G326" s="18" t="s">
        <v>88</v>
      </c>
      <c r="H326" s="18" t="s">
        <v>20</v>
      </c>
      <c r="I326" s="18" t="s">
        <v>24</v>
      </c>
      <c r="J326" s="18" t="s">
        <v>35</v>
      </c>
      <c r="K326" s="18" t="s">
        <v>38</v>
      </c>
      <c r="L326" s="18" t="s">
        <v>42</v>
      </c>
      <c r="M326" s="18" t="s">
        <v>50</v>
      </c>
      <c r="N326" s="18" t="s">
        <v>66</v>
      </c>
      <c r="O326" s="20">
        <f>2013-Table1[[#This Row],[Startup Year]]</f>
        <v>13</v>
      </c>
      <c r="P326" s="42"/>
      <c r="Q326" s="20">
        <f>VLOOKUP(E326,'Int. Pa.'!$B$3:$C$58,2,FALSE)</f>
        <v>1</v>
      </c>
      <c r="R326" s="20">
        <f>VLOOKUP(F326,'Int. Pa.'!$B$3:$C$58,2,FALSE)</f>
        <v>10</v>
      </c>
      <c r="S326" s="20">
        <f>VLOOKUP(G326,'Int. Pa.'!$B$3:$C$58,2,FALSE)</f>
        <v>0</v>
      </c>
      <c r="T326" s="20">
        <f>VLOOKUP(H326,'Int. Pa.'!$B$3:$C$58,2,FALSE)</f>
        <v>1</v>
      </c>
      <c r="U326" s="20">
        <f>VLOOKUP(I326,'Int. Pa.'!$B$3:$C$58,2,FALSE)</f>
        <v>0</v>
      </c>
      <c r="V326" s="20">
        <f>VLOOKUP(J326,'Int. Pa.'!$B$3:$C$58,2,FALSE)</f>
        <v>10</v>
      </c>
      <c r="W326" s="20">
        <f>VLOOKUP(K326,'Int. Pa.'!$B$3:$C$58,2,FALSE)</f>
        <v>1</v>
      </c>
      <c r="X326" s="20">
        <f>VLOOKUP(L326,'Int. Pa.'!$B$3:$C$58,2,FALSE)</f>
        <v>1</v>
      </c>
      <c r="Y326" s="20">
        <f>VLOOKUP(M326,'Int. Pa.'!$B$3:$C$58,2,FALSE)</f>
        <v>5</v>
      </c>
      <c r="Z326" s="20">
        <f>VLOOKUP(N326,'Int. Pa.'!$B$3:$C$58,2,FALSE)</f>
        <v>6</v>
      </c>
      <c r="AA326" s="20">
        <f t="shared" si="14"/>
        <v>3</v>
      </c>
      <c r="AB326" s="20">
        <f t="shared" si="15"/>
        <v>34.166666666666664</v>
      </c>
    </row>
    <row r="327" spans="1:28">
      <c r="A327" s="106">
        <v>3</v>
      </c>
      <c r="B327" s="137">
        <v>33050001</v>
      </c>
      <c r="C327" s="137" t="s">
        <v>760</v>
      </c>
      <c r="D327" s="86">
        <v>2000</v>
      </c>
      <c r="E327" s="18" t="s">
        <v>7</v>
      </c>
      <c r="F327" s="18" t="s">
        <v>2</v>
      </c>
      <c r="G327" s="18" t="s">
        <v>88</v>
      </c>
      <c r="H327" s="18" t="s">
        <v>20</v>
      </c>
      <c r="I327" s="18" t="s">
        <v>24</v>
      </c>
      <c r="J327" s="18" t="s">
        <v>35</v>
      </c>
      <c r="K327" s="18" t="s">
        <v>38</v>
      </c>
      <c r="L327" s="18" t="s">
        <v>42</v>
      </c>
      <c r="M327" s="18" t="s">
        <v>50</v>
      </c>
      <c r="N327" s="18" t="s">
        <v>66</v>
      </c>
      <c r="O327" s="20">
        <f>2013-Table1[[#This Row],[Startup Year]]</f>
        <v>13</v>
      </c>
      <c r="P327" s="42"/>
      <c r="Q327" s="20">
        <f>VLOOKUP(E327,'Int. Pa.'!$B$3:$C$58,2,FALSE)</f>
        <v>1</v>
      </c>
      <c r="R327" s="20">
        <f>VLOOKUP(F327,'Int. Pa.'!$B$3:$C$58,2,FALSE)</f>
        <v>10</v>
      </c>
      <c r="S327" s="20">
        <f>VLOOKUP(G327,'Int. Pa.'!$B$3:$C$58,2,FALSE)</f>
        <v>0</v>
      </c>
      <c r="T327" s="20">
        <f>VLOOKUP(H327,'Int. Pa.'!$B$3:$C$58,2,FALSE)</f>
        <v>1</v>
      </c>
      <c r="U327" s="20">
        <f>VLOOKUP(I327,'Int. Pa.'!$B$3:$C$58,2,FALSE)</f>
        <v>0</v>
      </c>
      <c r="V327" s="20">
        <f>VLOOKUP(J327,'Int. Pa.'!$B$3:$C$58,2,FALSE)</f>
        <v>10</v>
      </c>
      <c r="W327" s="20">
        <f>VLOOKUP(K327,'Int. Pa.'!$B$3:$C$58,2,FALSE)</f>
        <v>1</v>
      </c>
      <c r="X327" s="20">
        <f>VLOOKUP(L327,'Int. Pa.'!$B$3:$C$58,2,FALSE)</f>
        <v>1</v>
      </c>
      <c r="Y327" s="20">
        <f>VLOOKUP(M327,'Int. Pa.'!$B$3:$C$58,2,FALSE)</f>
        <v>5</v>
      </c>
      <c r="Z327" s="20">
        <f>VLOOKUP(N327,'Int. Pa.'!$B$3:$C$58,2,FALSE)</f>
        <v>6</v>
      </c>
      <c r="AA327" s="20">
        <f t="shared" si="14"/>
        <v>3</v>
      </c>
      <c r="AB327" s="20">
        <f t="shared" si="15"/>
        <v>34.166666666666664</v>
      </c>
    </row>
  </sheetData>
  <dataValidations count="1">
    <dataValidation type="list" allowBlank="1" showInputMessage="1" showErrorMessage="1" sqref="B117:B151">
      <formula1>$C$3:$C$6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'Int. Pa.'!$B$9:$B$10</xm:f>
          </x14:formula1>
          <xm:sqref>F3:F327</xm:sqref>
        </x14:dataValidation>
        <x14:dataValidation type="list" allowBlank="1" showInputMessage="1" showErrorMessage="1">
          <x14:formula1>
            <xm:f>'Int. Pa.'!$B$12:$B$18</xm:f>
          </x14:formula1>
          <xm:sqref>G3:G327</xm:sqref>
        </x14:dataValidation>
        <x14:dataValidation type="list" allowBlank="1" showInputMessage="1" showErrorMessage="1">
          <x14:formula1>
            <xm:f>'Int. Pa.'!$B$20:$B$22</xm:f>
          </x14:formula1>
          <xm:sqref>H3:H327</xm:sqref>
        </x14:dataValidation>
        <x14:dataValidation type="list" allowBlank="1" showInputMessage="1" showErrorMessage="1">
          <x14:formula1>
            <xm:f>'Int. Pa.'!$B$24:$B$31</xm:f>
          </x14:formula1>
          <xm:sqref>I3:I327</xm:sqref>
        </x14:dataValidation>
        <x14:dataValidation type="list" allowBlank="1" showInputMessage="1" showErrorMessage="1">
          <x14:formula1>
            <xm:f>'Int. Pa.'!$B$33:$B$34</xm:f>
          </x14:formula1>
          <xm:sqref>J3:J327</xm:sqref>
        </x14:dataValidation>
        <x14:dataValidation type="list" allowBlank="1" showInputMessage="1" showErrorMessage="1">
          <x14:formula1>
            <xm:f>'Int. Pa.'!$B$36:$B$37</xm:f>
          </x14:formula1>
          <xm:sqref>K3:K327</xm:sqref>
        </x14:dataValidation>
        <x14:dataValidation type="list" allowBlank="1" showInputMessage="1" showErrorMessage="1">
          <x14:formula1>
            <xm:f>'Int. Pa.'!$B$39:$B$42</xm:f>
          </x14:formula1>
          <xm:sqref>L3:L327</xm:sqref>
        </x14:dataValidation>
        <x14:dataValidation type="list" allowBlank="1" showInputMessage="1" showErrorMessage="1">
          <x14:formula1>
            <xm:f>'Int. Pa.'!$B$44:$B$51</xm:f>
          </x14:formula1>
          <xm:sqref>M3:M327</xm:sqref>
        </x14:dataValidation>
        <x14:dataValidation type="list" allowBlank="1" showInputMessage="1" showErrorMessage="1">
          <x14:formula1>
            <xm:f>'Int. Pa.'!$B$53:$B$58</xm:f>
          </x14:formula1>
          <xm:sqref>N3:N327</xm:sqref>
        </x14:dataValidation>
        <x14:dataValidation type="list" allowBlank="1" showInputMessage="1" showErrorMessage="1">
          <x14:formula1>
            <xm:f>'Int. Pa.'!$B$4:$B$7</xm:f>
          </x14:formula1>
          <xm:sqref>E3:E327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B1" workbookViewId="0">
      <selection activeCell="B55" sqref="B55"/>
    </sheetView>
  </sheetViews>
  <sheetFormatPr defaultRowHeight="14.25"/>
  <cols>
    <col min="2" max="2" width="75.625" bestFit="1" customWidth="1"/>
    <col min="4" max="4" width="11.5" style="14" bestFit="1" customWidth="1"/>
    <col min="5" max="5" width="9" style="14"/>
    <col min="6" max="6" width="12.625" bestFit="1" customWidth="1"/>
    <col min="7" max="7" width="11.625" bestFit="1" customWidth="1"/>
    <col min="8" max="8" width="8.625" bestFit="1" customWidth="1"/>
    <col min="9" max="9" width="8.875" bestFit="1" customWidth="1"/>
  </cols>
  <sheetData>
    <row r="1" spans="1:10">
      <c r="B1" s="1" t="s">
        <v>0</v>
      </c>
      <c r="D1" s="14" t="s">
        <v>545</v>
      </c>
    </row>
    <row r="2" spans="1:10">
      <c r="B2" s="1"/>
    </row>
    <row r="3" spans="1:10">
      <c r="A3">
        <v>1</v>
      </c>
      <c r="B3" t="s">
        <v>82</v>
      </c>
      <c r="C3" s="2" t="s">
        <v>160</v>
      </c>
      <c r="D3" s="2">
        <v>2</v>
      </c>
      <c r="E3" s="2">
        <f>(D3/$D$63)*10</f>
        <v>1.1111111111111112</v>
      </c>
      <c r="F3" t="s">
        <v>3</v>
      </c>
      <c r="G3" t="s">
        <v>4</v>
      </c>
      <c r="H3" t="s">
        <v>5</v>
      </c>
      <c r="I3" t="s">
        <v>6</v>
      </c>
    </row>
    <row r="4" spans="1:10">
      <c r="B4" t="s">
        <v>7</v>
      </c>
      <c r="C4" s="3">
        <v>1</v>
      </c>
      <c r="D4" s="15"/>
      <c r="E4" s="15"/>
      <c r="J4" t="s">
        <v>8</v>
      </c>
    </row>
    <row r="5" spans="1:10">
      <c r="B5" t="s">
        <v>83</v>
      </c>
      <c r="C5" s="3">
        <v>3</v>
      </c>
      <c r="D5" s="15"/>
      <c r="E5" s="15"/>
      <c r="J5" t="s">
        <v>10</v>
      </c>
    </row>
    <row r="6" spans="1:10">
      <c r="B6" t="s">
        <v>84</v>
      </c>
      <c r="C6" s="8">
        <v>7</v>
      </c>
      <c r="D6" s="8"/>
      <c r="E6" s="8"/>
      <c r="J6" t="s">
        <v>9</v>
      </c>
    </row>
    <row r="7" spans="1:10">
      <c r="B7" t="s">
        <v>85</v>
      </c>
      <c r="C7" s="3">
        <v>10</v>
      </c>
      <c r="D7" s="15"/>
      <c r="E7" s="15"/>
    </row>
    <row r="8" spans="1:10">
      <c r="A8">
        <v>2</v>
      </c>
      <c r="B8" s="5" t="s">
        <v>11</v>
      </c>
      <c r="C8" s="2" t="s">
        <v>161</v>
      </c>
      <c r="D8" s="2">
        <v>1</v>
      </c>
      <c r="E8" s="2">
        <f>(D8/$D$63)*10</f>
        <v>0.55555555555555558</v>
      </c>
      <c r="F8" t="s">
        <v>3</v>
      </c>
      <c r="G8" t="s">
        <v>4</v>
      </c>
      <c r="H8" t="s">
        <v>5</v>
      </c>
      <c r="I8" t="s">
        <v>6</v>
      </c>
    </row>
    <row r="9" spans="1:10" ht="15">
      <c r="B9" s="4" t="s">
        <v>1</v>
      </c>
      <c r="C9" s="3">
        <v>3</v>
      </c>
      <c r="D9" s="15"/>
      <c r="E9" s="15"/>
      <c r="J9" t="s">
        <v>15</v>
      </c>
    </row>
    <row r="10" spans="1:10" ht="15">
      <c r="B10" s="4" t="s">
        <v>2</v>
      </c>
      <c r="C10" s="3">
        <v>10</v>
      </c>
      <c r="D10" s="15"/>
      <c r="E10" s="15"/>
      <c r="J10" t="s">
        <v>163</v>
      </c>
    </row>
    <row r="11" spans="1:10">
      <c r="A11">
        <v>3</v>
      </c>
      <c r="B11" t="s">
        <v>12</v>
      </c>
      <c r="C11" s="2" t="s">
        <v>161</v>
      </c>
      <c r="D11" s="2">
        <v>1</v>
      </c>
      <c r="E11" s="2">
        <f>(D11/$D$63)*10</f>
        <v>0.55555555555555558</v>
      </c>
      <c r="F11" t="s">
        <v>3</v>
      </c>
      <c r="G11" t="s">
        <v>4</v>
      </c>
      <c r="H11" t="s">
        <v>5</v>
      </c>
      <c r="I11" t="s">
        <v>6</v>
      </c>
    </row>
    <row r="12" spans="1:10" ht="15">
      <c r="B12" s="4" t="s">
        <v>88</v>
      </c>
      <c r="C12" s="3">
        <v>0</v>
      </c>
      <c r="D12" s="15"/>
      <c r="E12" s="15"/>
      <c r="J12" t="s">
        <v>91</v>
      </c>
    </row>
    <row r="13" spans="1:10" ht="15">
      <c r="B13" s="4" t="s">
        <v>13</v>
      </c>
      <c r="C13" s="3">
        <v>2</v>
      </c>
      <c r="D13" s="15"/>
      <c r="E13" s="15"/>
      <c r="J13" t="s">
        <v>17</v>
      </c>
    </row>
    <row r="14" spans="1:10" ht="15">
      <c r="B14" s="4" t="s">
        <v>16</v>
      </c>
      <c r="C14" s="3">
        <v>4</v>
      </c>
      <c r="D14" s="15"/>
      <c r="E14" s="15"/>
      <c r="J14" t="s">
        <v>18</v>
      </c>
    </row>
    <row r="15" spans="1:10" ht="15">
      <c r="B15" s="4" t="s">
        <v>57</v>
      </c>
      <c r="C15" s="3">
        <v>5</v>
      </c>
      <c r="D15" s="15"/>
      <c r="E15" s="15"/>
    </row>
    <row r="16" spans="1:10" ht="15">
      <c r="B16" s="4" t="s">
        <v>56</v>
      </c>
      <c r="C16" s="3">
        <v>7</v>
      </c>
      <c r="D16" s="15"/>
      <c r="E16" s="15"/>
    </row>
    <row r="17" spans="1:10">
      <c r="B17" t="s">
        <v>89</v>
      </c>
      <c r="C17" s="3">
        <v>8</v>
      </c>
      <c r="D17" s="15"/>
      <c r="E17" s="15"/>
      <c r="J17" t="s">
        <v>92</v>
      </c>
    </row>
    <row r="18" spans="1:10">
      <c r="B18" t="s">
        <v>90</v>
      </c>
      <c r="C18" s="3">
        <v>10</v>
      </c>
      <c r="D18" s="15"/>
      <c r="E18" s="15"/>
      <c r="J18" t="s">
        <v>92</v>
      </c>
    </row>
    <row r="19" spans="1:10">
      <c r="A19">
        <v>4</v>
      </c>
      <c r="B19" t="s">
        <v>14</v>
      </c>
      <c r="C19" s="2" t="s">
        <v>160</v>
      </c>
      <c r="D19" s="2">
        <v>1</v>
      </c>
      <c r="E19" s="2">
        <f>(D19/$D$63)*10</f>
        <v>0.55555555555555558</v>
      </c>
      <c r="F19" t="s">
        <v>3</v>
      </c>
      <c r="H19" t="s">
        <v>5</v>
      </c>
      <c r="I19" t="s">
        <v>6</v>
      </c>
    </row>
    <row r="20" spans="1:10">
      <c r="B20" t="s">
        <v>19</v>
      </c>
      <c r="C20" s="3">
        <v>1</v>
      </c>
      <c r="D20" s="15"/>
      <c r="E20" s="15"/>
      <c r="J20" t="s">
        <v>96</v>
      </c>
    </row>
    <row r="21" spans="1:10">
      <c r="B21" t="s">
        <v>20</v>
      </c>
      <c r="C21" s="3">
        <v>1</v>
      </c>
      <c r="D21" s="15"/>
      <c r="E21" s="15"/>
      <c r="J21" t="s">
        <v>95</v>
      </c>
    </row>
    <row r="22" spans="1:10">
      <c r="B22" t="s">
        <v>21</v>
      </c>
      <c r="C22" s="3">
        <v>10</v>
      </c>
      <c r="D22" s="15"/>
      <c r="E22" s="15"/>
      <c r="J22" t="s">
        <v>22</v>
      </c>
    </row>
    <row r="23" spans="1:10">
      <c r="A23">
        <v>5</v>
      </c>
      <c r="B23" t="s">
        <v>23</v>
      </c>
      <c r="C23" s="2" t="s">
        <v>160</v>
      </c>
      <c r="D23" s="2">
        <v>1.5</v>
      </c>
      <c r="E23" s="2">
        <f>(D23/$D$63)*10</f>
        <v>0.83333333333333326</v>
      </c>
      <c r="F23" t="s">
        <v>3</v>
      </c>
      <c r="H23" t="s">
        <v>5</v>
      </c>
      <c r="I23" t="s">
        <v>6</v>
      </c>
    </row>
    <row r="24" spans="1:10">
      <c r="B24" t="s">
        <v>24</v>
      </c>
      <c r="C24" s="3">
        <v>0</v>
      </c>
      <c r="D24" s="15"/>
      <c r="E24" s="15"/>
      <c r="J24" t="s">
        <v>32</v>
      </c>
    </row>
    <row r="25" spans="1:10">
      <c r="B25" t="s">
        <v>25</v>
      </c>
      <c r="C25" s="3">
        <v>0.5</v>
      </c>
      <c r="D25" s="15"/>
      <c r="E25" s="15"/>
      <c r="J25" t="s">
        <v>33</v>
      </c>
    </row>
    <row r="26" spans="1:10">
      <c r="B26" t="s">
        <v>26</v>
      </c>
      <c r="C26" s="3">
        <v>1</v>
      </c>
      <c r="D26" s="15"/>
      <c r="E26" s="15"/>
    </row>
    <row r="27" spans="1:10">
      <c r="B27" t="s">
        <v>27</v>
      </c>
      <c r="C27" s="3">
        <v>3</v>
      </c>
      <c r="D27" s="15"/>
      <c r="E27" s="15"/>
    </row>
    <row r="28" spans="1:10">
      <c r="B28" t="s">
        <v>28</v>
      </c>
      <c r="C28" s="3">
        <v>5</v>
      </c>
      <c r="D28" s="15"/>
      <c r="E28" s="15"/>
    </row>
    <row r="29" spans="1:10">
      <c r="B29" t="s">
        <v>29</v>
      </c>
      <c r="C29" s="3">
        <v>5</v>
      </c>
      <c r="D29" s="15"/>
      <c r="E29" s="15"/>
    </row>
    <row r="30" spans="1:10">
      <c r="B30" t="s">
        <v>30</v>
      </c>
      <c r="C30" s="3">
        <v>7</v>
      </c>
      <c r="D30" s="15"/>
      <c r="E30" s="15"/>
    </row>
    <row r="31" spans="1:10">
      <c r="B31" t="s">
        <v>31</v>
      </c>
      <c r="C31" s="3">
        <v>10</v>
      </c>
      <c r="D31" s="15"/>
      <c r="E31" s="15"/>
    </row>
    <row r="32" spans="1:10">
      <c r="A32">
        <v>6</v>
      </c>
      <c r="B32" t="s">
        <v>34</v>
      </c>
      <c r="C32" s="2" t="s">
        <v>161</v>
      </c>
      <c r="D32" s="2">
        <v>2</v>
      </c>
      <c r="E32" s="2">
        <f>(D32/$D$63)*10</f>
        <v>1.1111111111111112</v>
      </c>
      <c r="F32" t="s">
        <v>3</v>
      </c>
      <c r="G32" t="s">
        <v>4</v>
      </c>
      <c r="H32" t="s">
        <v>5</v>
      </c>
      <c r="I32" t="s">
        <v>6</v>
      </c>
    </row>
    <row r="33" spans="1:10">
      <c r="B33" t="s">
        <v>59</v>
      </c>
      <c r="C33" s="3">
        <v>1</v>
      </c>
      <c r="D33" s="15"/>
      <c r="E33" s="15"/>
      <c r="J33" t="s">
        <v>37</v>
      </c>
    </row>
    <row r="34" spans="1:10">
      <c r="B34" t="s">
        <v>35</v>
      </c>
      <c r="C34" s="3">
        <v>10</v>
      </c>
      <c r="D34" s="15"/>
      <c r="E34" s="15"/>
    </row>
    <row r="35" spans="1:10">
      <c r="A35">
        <v>7</v>
      </c>
      <c r="B35" t="s">
        <v>36</v>
      </c>
      <c r="C35" s="2" t="s">
        <v>161</v>
      </c>
      <c r="D35" s="2">
        <v>2</v>
      </c>
      <c r="E35" s="2">
        <f>(D35/$D$63)*10</f>
        <v>1.1111111111111112</v>
      </c>
      <c r="F35" t="s">
        <v>3</v>
      </c>
      <c r="H35" t="s">
        <v>5</v>
      </c>
      <c r="I35" t="s">
        <v>6</v>
      </c>
    </row>
    <row r="36" spans="1:10">
      <c r="B36" t="s">
        <v>38</v>
      </c>
      <c r="C36" s="3">
        <v>1</v>
      </c>
      <c r="D36" s="15"/>
      <c r="E36" s="15"/>
      <c r="J36" t="s">
        <v>40</v>
      </c>
    </row>
    <row r="37" spans="1:10">
      <c r="B37" t="s">
        <v>39</v>
      </c>
      <c r="C37" s="3">
        <v>10</v>
      </c>
      <c r="D37" s="15"/>
      <c r="E37" s="15"/>
    </row>
    <row r="38" spans="1:10">
      <c r="A38">
        <v>8</v>
      </c>
      <c r="B38" t="s">
        <v>41</v>
      </c>
      <c r="C38" s="2" t="s">
        <v>161</v>
      </c>
      <c r="D38" s="14">
        <v>3</v>
      </c>
      <c r="E38" s="2">
        <f>(D38/$D$63)*10</f>
        <v>1.6666666666666665</v>
      </c>
      <c r="F38" t="s">
        <v>3</v>
      </c>
      <c r="G38" t="s">
        <v>4</v>
      </c>
      <c r="H38" t="s">
        <v>5</v>
      </c>
      <c r="I38" t="s">
        <v>6</v>
      </c>
    </row>
    <row r="39" spans="1:10">
      <c r="B39" t="s">
        <v>42</v>
      </c>
      <c r="C39" s="3">
        <v>1</v>
      </c>
      <c r="D39" s="15"/>
      <c r="E39" s="15"/>
      <c r="J39" t="s">
        <v>44</v>
      </c>
    </row>
    <row r="40" spans="1:10">
      <c r="B40" t="s">
        <v>48</v>
      </c>
      <c r="C40" s="3">
        <v>3</v>
      </c>
      <c r="D40" s="15"/>
      <c r="E40" s="15"/>
      <c r="J40" t="s">
        <v>45</v>
      </c>
    </row>
    <row r="41" spans="1:10">
      <c r="B41" t="s">
        <v>43</v>
      </c>
      <c r="C41" s="3">
        <v>7</v>
      </c>
      <c r="D41" s="2"/>
      <c r="E41" s="2"/>
      <c r="J41" t="s">
        <v>46</v>
      </c>
    </row>
    <row r="42" spans="1:10">
      <c r="B42" t="s">
        <v>49</v>
      </c>
      <c r="C42" s="3">
        <v>10</v>
      </c>
      <c r="D42" s="15"/>
      <c r="E42" s="15"/>
      <c r="J42" t="s">
        <v>47</v>
      </c>
    </row>
    <row r="43" spans="1:10">
      <c r="A43">
        <v>9</v>
      </c>
      <c r="B43" s="9" t="s">
        <v>60</v>
      </c>
      <c r="C43" s="2" t="s">
        <v>160</v>
      </c>
      <c r="D43" s="2">
        <v>2</v>
      </c>
      <c r="E43" s="2">
        <f>(D43/$D$63)*10</f>
        <v>1.1111111111111112</v>
      </c>
      <c r="F43" t="s">
        <v>3</v>
      </c>
      <c r="G43" t="s">
        <v>4</v>
      </c>
      <c r="H43" t="s">
        <v>5</v>
      </c>
      <c r="I43" t="s">
        <v>6</v>
      </c>
    </row>
    <row r="44" spans="1:10">
      <c r="B44" t="s">
        <v>51</v>
      </c>
      <c r="C44" s="3">
        <v>1</v>
      </c>
      <c r="D44" s="15"/>
      <c r="E44" s="15"/>
      <c r="J44" t="s">
        <v>73</v>
      </c>
    </row>
    <row r="45" spans="1:10">
      <c r="B45" t="s">
        <v>50</v>
      </c>
      <c r="C45" s="3">
        <v>5</v>
      </c>
      <c r="D45" s="15"/>
      <c r="E45" s="15"/>
      <c r="J45" t="s">
        <v>54</v>
      </c>
    </row>
    <row r="46" spans="1:10">
      <c r="B46" t="s">
        <v>52</v>
      </c>
      <c r="C46" s="3">
        <v>5</v>
      </c>
      <c r="D46" s="15"/>
      <c r="E46" s="15"/>
      <c r="J46" t="s">
        <v>93</v>
      </c>
    </row>
    <row r="47" spans="1:10">
      <c r="B47" t="s">
        <v>53</v>
      </c>
      <c r="C47" s="3">
        <v>8</v>
      </c>
      <c r="D47" s="15"/>
      <c r="E47" s="15"/>
      <c r="J47" t="s">
        <v>94</v>
      </c>
    </row>
    <row r="48" spans="1:10">
      <c r="B48" t="s">
        <v>58</v>
      </c>
      <c r="C48" s="3">
        <v>10</v>
      </c>
      <c r="D48" s="15"/>
      <c r="E48" s="15"/>
      <c r="J48" t="s">
        <v>55</v>
      </c>
    </row>
    <row r="49" spans="1:10">
      <c r="B49" t="s">
        <v>74</v>
      </c>
      <c r="C49" s="3">
        <v>3</v>
      </c>
      <c r="D49" s="15"/>
      <c r="E49" s="15"/>
      <c r="J49" t="s">
        <v>162</v>
      </c>
    </row>
    <row r="50" spans="1:10">
      <c r="B50" t="s">
        <v>75</v>
      </c>
      <c r="C50" s="3">
        <v>6</v>
      </c>
      <c r="D50" s="15"/>
      <c r="E50" s="15"/>
      <c r="J50" s="14" t="s">
        <v>162</v>
      </c>
    </row>
    <row r="51" spans="1:10">
      <c r="B51" t="s">
        <v>76</v>
      </c>
      <c r="C51" s="3">
        <v>8</v>
      </c>
      <c r="D51" s="15"/>
      <c r="E51" s="15"/>
      <c r="J51" s="14" t="s">
        <v>162</v>
      </c>
    </row>
    <row r="52" spans="1:10">
      <c r="A52">
        <v>10</v>
      </c>
      <c r="B52" t="s">
        <v>61</v>
      </c>
      <c r="C52" s="2" t="s">
        <v>161</v>
      </c>
      <c r="D52" s="2">
        <v>2</v>
      </c>
      <c r="E52" s="2">
        <f>(D52/$D$63)*10</f>
        <v>1.1111111111111112</v>
      </c>
      <c r="F52" t="s">
        <v>3</v>
      </c>
      <c r="G52" t="s">
        <v>4</v>
      </c>
      <c r="H52" t="s">
        <v>5</v>
      </c>
      <c r="I52" t="s">
        <v>6</v>
      </c>
    </row>
    <row r="53" spans="1:10">
      <c r="B53" t="s">
        <v>62</v>
      </c>
      <c r="C53" s="3">
        <v>1</v>
      </c>
      <c r="D53" s="15"/>
      <c r="E53" s="15"/>
      <c r="J53" t="s">
        <v>68</v>
      </c>
    </row>
    <row r="54" spans="1:10">
      <c r="B54" t="s">
        <v>63</v>
      </c>
      <c r="C54" s="3">
        <v>4</v>
      </c>
      <c r="D54" s="15"/>
      <c r="E54" s="15"/>
    </row>
    <row r="55" spans="1:10">
      <c r="B55" t="s">
        <v>64</v>
      </c>
      <c r="C55" s="3">
        <v>8</v>
      </c>
      <c r="D55" s="15"/>
      <c r="E55" s="15"/>
    </row>
    <row r="56" spans="1:10">
      <c r="B56" t="s">
        <v>65</v>
      </c>
      <c r="C56" s="3">
        <v>10</v>
      </c>
      <c r="D56" s="15"/>
      <c r="E56" s="15"/>
    </row>
    <row r="57" spans="1:10">
      <c r="B57" t="s">
        <v>66</v>
      </c>
      <c r="C57" s="3">
        <v>6</v>
      </c>
      <c r="D57" s="15"/>
      <c r="E57" s="15"/>
      <c r="J57" s="10" t="s">
        <v>97</v>
      </c>
    </row>
    <row r="58" spans="1:10">
      <c r="B58" t="s">
        <v>67</v>
      </c>
      <c r="C58" s="3">
        <v>3</v>
      </c>
      <c r="D58" s="15"/>
      <c r="E58" s="15"/>
    </row>
    <row r="59" spans="1:10">
      <c r="A59">
        <v>11</v>
      </c>
      <c r="B59" s="9" t="s">
        <v>69</v>
      </c>
      <c r="C59" s="2" t="s">
        <v>161</v>
      </c>
      <c r="D59" s="2">
        <v>0.5</v>
      </c>
      <c r="E59" s="2">
        <f>(D59/$D$63)*10</f>
        <v>0.27777777777777779</v>
      </c>
      <c r="F59" t="s">
        <v>3</v>
      </c>
      <c r="G59" t="s">
        <v>4</v>
      </c>
      <c r="H59" t="s">
        <v>5</v>
      </c>
      <c r="I59" t="s">
        <v>6</v>
      </c>
    </row>
    <row r="60" spans="1:10">
      <c r="B60" t="s">
        <v>72</v>
      </c>
      <c r="C60" s="3" t="s">
        <v>71</v>
      </c>
      <c r="D60" s="15"/>
      <c r="E60" s="15"/>
    </row>
    <row r="61" spans="1:10">
      <c r="B61" t="s">
        <v>70</v>
      </c>
      <c r="C61" s="3">
        <v>10</v>
      </c>
      <c r="D61" s="15"/>
      <c r="E61" s="15"/>
    </row>
    <row r="62" spans="1:10">
      <c r="B62" s="3"/>
    </row>
    <row r="63" spans="1:10">
      <c r="B63" s="3"/>
      <c r="D63" s="14">
        <f>SUM(D3,D8,D11,D19,D23,D32,D35,D38,D43,D52,D59)</f>
        <v>18</v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topLeftCell="B4" workbookViewId="0">
      <selection activeCell="C13" sqref="C13"/>
    </sheetView>
  </sheetViews>
  <sheetFormatPr defaultRowHeight="14.25"/>
  <cols>
    <col min="1" max="1" width="2.875" bestFit="1" customWidth="1"/>
    <col min="2" max="2" width="75.625" bestFit="1" customWidth="1"/>
    <col min="4" max="4" width="12.625" bestFit="1" customWidth="1"/>
    <col min="5" max="5" width="11.625" bestFit="1" customWidth="1"/>
    <col min="6" max="6" width="8.625" bestFit="1" customWidth="1"/>
    <col min="7" max="7" width="8.875" bestFit="1" customWidth="1"/>
  </cols>
  <sheetData>
    <row r="1" spans="1:8">
      <c r="B1" s="1" t="s">
        <v>98</v>
      </c>
    </row>
    <row r="2" spans="1:8">
      <c r="B2" s="1"/>
    </row>
    <row r="3" spans="1:8">
      <c r="A3">
        <v>1</v>
      </c>
      <c r="B3" t="s">
        <v>99</v>
      </c>
      <c r="C3" s="2" t="s">
        <v>161</v>
      </c>
      <c r="D3" t="s">
        <v>3</v>
      </c>
      <c r="E3" t="s">
        <v>4</v>
      </c>
      <c r="F3" t="s">
        <v>5</v>
      </c>
      <c r="G3" t="s">
        <v>6</v>
      </c>
    </row>
    <row r="4" spans="1:8">
      <c r="B4" s="13" t="s">
        <v>101</v>
      </c>
      <c r="C4" s="3">
        <v>1</v>
      </c>
    </row>
    <row r="5" spans="1:8">
      <c r="B5" s="13" t="s">
        <v>100</v>
      </c>
      <c r="C5" s="12">
        <v>2</v>
      </c>
    </row>
    <row r="6" spans="1:8">
      <c r="B6" s="13" t="s">
        <v>102</v>
      </c>
      <c r="C6" s="12">
        <v>3</v>
      </c>
    </row>
    <row r="7" spans="1:8">
      <c r="B7" s="13" t="s">
        <v>103</v>
      </c>
      <c r="C7" s="12">
        <v>5</v>
      </c>
    </row>
    <row r="8" spans="1:8">
      <c r="B8" s="13" t="s">
        <v>104</v>
      </c>
      <c r="C8" s="12">
        <v>10</v>
      </c>
    </row>
    <row r="9" spans="1:8">
      <c r="A9">
        <v>2</v>
      </c>
      <c r="B9" s="5" t="s">
        <v>106</v>
      </c>
      <c r="C9" s="2" t="s">
        <v>160</v>
      </c>
      <c r="D9" t="s">
        <v>3</v>
      </c>
      <c r="E9" t="s">
        <v>4</v>
      </c>
      <c r="F9" t="s">
        <v>5</v>
      </c>
      <c r="G9" t="s">
        <v>6</v>
      </c>
    </row>
    <row r="10" spans="1:8">
      <c r="B10" s="16" t="s">
        <v>108</v>
      </c>
      <c r="C10" s="3">
        <v>1</v>
      </c>
    </row>
    <row r="11" spans="1:8" s="14" customFormat="1">
      <c r="B11" s="16" t="s">
        <v>109</v>
      </c>
      <c r="C11" s="15">
        <v>3</v>
      </c>
    </row>
    <row r="12" spans="1:8" s="14" customFormat="1">
      <c r="B12" s="16" t="s">
        <v>110</v>
      </c>
      <c r="C12" s="15">
        <v>6</v>
      </c>
    </row>
    <row r="13" spans="1:8" s="11" customFormat="1">
      <c r="B13" s="16" t="s">
        <v>111</v>
      </c>
      <c r="C13" s="15">
        <v>8</v>
      </c>
    </row>
    <row r="14" spans="1:8" s="14" customFormat="1">
      <c r="B14" s="16" t="s">
        <v>107</v>
      </c>
      <c r="C14" s="15">
        <v>10</v>
      </c>
    </row>
    <row r="15" spans="1:8">
      <c r="A15">
        <v>3</v>
      </c>
      <c r="B15" t="s">
        <v>112</v>
      </c>
      <c r="C15" s="2" t="s">
        <v>161</v>
      </c>
      <c r="D15" t="s">
        <v>3</v>
      </c>
      <c r="E15" t="s">
        <v>4</v>
      </c>
      <c r="F15" t="s">
        <v>5</v>
      </c>
      <c r="G15" t="s">
        <v>6</v>
      </c>
    </row>
    <row r="16" spans="1:8" ht="15">
      <c r="B16" s="4" t="s">
        <v>118</v>
      </c>
      <c r="C16" s="3">
        <v>0</v>
      </c>
      <c r="H16" t="s">
        <v>119</v>
      </c>
    </row>
    <row r="17" spans="1:8" ht="15">
      <c r="B17" s="4" t="s">
        <v>113</v>
      </c>
      <c r="C17" s="3">
        <v>4</v>
      </c>
      <c r="H17" t="s">
        <v>120</v>
      </c>
    </row>
    <row r="18" spans="1:8" ht="15">
      <c r="B18" s="4" t="s">
        <v>114</v>
      </c>
      <c r="C18" s="3">
        <v>5</v>
      </c>
    </row>
    <row r="19" spans="1:8" ht="15">
      <c r="B19" s="4" t="s">
        <v>115</v>
      </c>
      <c r="C19" s="3">
        <v>7</v>
      </c>
    </row>
    <row r="20" spans="1:8">
      <c r="B20" t="s">
        <v>116</v>
      </c>
      <c r="C20" s="3">
        <v>8</v>
      </c>
      <c r="H20" t="s">
        <v>92</v>
      </c>
    </row>
    <row r="21" spans="1:8">
      <c r="B21" t="s">
        <v>117</v>
      </c>
      <c r="C21" s="3">
        <v>10</v>
      </c>
      <c r="H21" t="s">
        <v>92</v>
      </c>
    </row>
    <row r="22" spans="1:8">
      <c r="A22">
        <v>4</v>
      </c>
      <c r="B22" t="s">
        <v>159</v>
      </c>
      <c r="C22" s="2" t="s">
        <v>161</v>
      </c>
      <c r="D22" t="s">
        <v>3</v>
      </c>
      <c r="E22" s="14" t="s">
        <v>4</v>
      </c>
      <c r="F22" t="s">
        <v>5</v>
      </c>
    </row>
    <row r="23" spans="1:8" s="14" customFormat="1">
      <c r="B23" s="5">
        <v>0</v>
      </c>
      <c r="C23" s="8">
        <v>0</v>
      </c>
      <c r="H23" s="14" t="s">
        <v>122</v>
      </c>
    </row>
    <row r="24" spans="1:8" s="14" customFormat="1">
      <c r="B24" s="17" t="s">
        <v>123</v>
      </c>
      <c r="C24" s="8">
        <v>6</v>
      </c>
    </row>
    <row r="25" spans="1:8" s="14" customFormat="1">
      <c r="B25" s="14" t="s">
        <v>124</v>
      </c>
      <c r="C25" s="8">
        <v>10</v>
      </c>
    </row>
    <row r="26" spans="1:8" s="14" customFormat="1">
      <c r="B26" s="14" t="s">
        <v>105</v>
      </c>
      <c r="C26" s="8">
        <v>5</v>
      </c>
    </row>
    <row r="27" spans="1:8">
      <c r="A27">
        <v>5</v>
      </c>
      <c r="B27" t="s">
        <v>121</v>
      </c>
      <c r="C27" s="2" t="s">
        <v>160</v>
      </c>
      <c r="D27" t="s">
        <v>3</v>
      </c>
      <c r="E27" s="14" t="s">
        <v>4</v>
      </c>
      <c r="F27" t="s">
        <v>5</v>
      </c>
    </row>
    <row r="28" spans="1:8">
      <c r="B28" t="s">
        <v>125</v>
      </c>
      <c r="C28" s="3">
        <v>0</v>
      </c>
    </row>
    <row r="29" spans="1:8">
      <c r="B29" t="s">
        <v>126</v>
      </c>
      <c r="C29" s="3">
        <v>0.5</v>
      </c>
    </row>
    <row r="30" spans="1:8">
      <c r="B30" t="s">
        <v>127</v>
      </c>
      <c r="C30" s="3">
        <v>10</v>
      </c>
    </row>
    <row r="31" spans="1:8" s="14" customFormat="1">
      <c r="B31" s="14" t="s">
        <v>105</v>
      </c>
      <c r="C31" s="8">
        <v>5</v>
      </c>
    </row>
    <row r="32" spans="1:8">
      <c r="A32">
        <v>6</v>
      </c>
      <c r="B32" t="s">
        <v>128</v>
      </c>
      <c r="C32" s="2" t="s">
        <v>161</v>
      </c>
      <c r="D32" t="s">
        <v>3</v>
      </c>
      <c r="E32" t="s">
        <v>4</v>
      </c>
      <c r="F32" t="s">
        <v>5</v>
      </c>
      <c r="G32" t="s">
        <v>6</v>
      </c>
    </row>
    <row r="33" spans="1:8" s="14" customFormat="1">
      <c r="B33" s="14" t="s">
        <v>129</v>
      </c>
      <c r="C33" s="8">
        <v>1</v>
      </c>
      <c r="H33" s="14" t="s">
        <v>134</v>
      </c>
    </row>
    <row r="34" spans="1:8" s="14" customFormat="1">
      <c r="B34" s="14" t="s">
        <v>131</v>
      </c>
      <c r="C34" s="8">
        <v>5</v>
      </c>
    </row>
    <row r="35" spans="1:8" s="14" customFormat="1">
      <c r="B35" s="14" t="s">
        <v>132</v>
      </c>
      <c r="C35" s="8">
        <v>10</v>
      </c>
    </row>
    <row r="36" spans="1:8">
      <c r="B36" t="s">
        <v>133</v>
      </c>
      <c r="C36" s="15">
        <v>5</v>
      </c>
    </row>
    <row r="37" spans="1:8" s="14" customFormat="1">
      <c r="B37" s="14" t="s">
        <v>105</v>
      </c>
      <c r="C37" s="15">
        <v>5</v>
      </c>
    </row>
    <row r="38" spans="1:8">
      <c r="A38">
        <v>7</v>
      </c>
      <c r="B38" t="s">
        <v>135</v>
      </c>
      <c r="C38" s="2" t="s">
        <v>161</v>
      </c>
      <c r="D38" t="s">
        <v>3</v>
      </c>
      <c r="E38" s="14" t="s">
        <v>4</v>
      </c>
      <c r="F38" t="s">
        <v>5</v>
      </c>
      <c r="G38" t="s">
        <v>6</v>
      </c>
    </row>
    <row r="39" spans="1:8" s="14" customFormat="1">
      <c r="B39" s="14" t="s">
        <v>129</v>
      </c>
      <c r="C39" s="8">
        <v>1</v>
      </c>
      <c r="H39" s="14" t="s">
        <v>136</v>
      </c>
    </row>
    <row r="40" spans="1:8" s="14" customFormat="1">
      <c r="B40" s="14" t="s">
        <v>130</v>
      </c>
      <c r="C40" s="8">
        <v>3</v>
      </c>
      <c r="H40" s="14" t="s">
        <v>139</v>
      </c>
    </row>
    <row r="41" spans="1:8" s="14" customFormat="1">
      <c r="B41" s="14" t="s">
        <v>137</v>
      </c>
      <c r="C41" s="8">
        <v>6</v>
      </c>
      <c r="H41" s="14" t="s">
        <v>140</v>
      </c>
    </row>
    <row r="42" spans="1:8" s="14" customFormat="1">
      <c r="B42" s="14" t="s">
        <v>138</v>
      </c>
      <c r="C42" s="8">
        <v>10</v>
      </c>
      <c r="H42" s="14" t="s">
        <v>141</v>
      </c>
    </row>
    <row r="43" spans="1:8" s="14" customFormat="1">
      <c r="B43" s="14" t="s">
        <v>105</v>
      </c>
      <c r="C43" s="8">
        <v>5</v>
      </c>
    </row>
    <row r="44" spans="1:8">
      <c r="A44">
        <v>8</v>
      </c>
      <c r="B44" t="s">
        <v>142</v>
      </c>
      <c r="C44" s="2" t="s">
        <v>160</v>
      </c>
      <c r="D44" t="s">
        <v>3</v>
      </c>
      <c r="E44" t="s">
        <v>4</v>
      </c>
      <c r="F44" t="s">
        <v>5</v>
      </c>
    </row>
    <row r="45" spans="1:8">
      <c r="B45" t="s">
        <v>143</v>
      </c>
      <c r="C45" s="3">
        <v>1</v>
      </c>
    </row>
    <row r="46" spans="1:8">
      <c r="B46" t="s">
        <v>144</v>
      </c>
      <c r="C46" s="3">
        <v>3</v>
      </c>
    </row>
    <row r="47" spans="1:8">
      <c r="B47" t="s">
        <v>145</v>
      </c>
      <c r="C47" s="3">
        <v>5</v>
      </c>
    </row>
    <row r="48" spans="1:8" s="14" customFormat="1">
      <c r="B48" s="14" t="s">
        <v>147</v>
      </c>
      <c r="C48" s="15">
        <v>7</v>
      </c>
    </row>
    <row r="49" spans="1:8" s="14" customFormat="1">
      <c r="B49" s="14" t="s">
        <v>146</v>
      </c>
      <c r="C49" s="15">
        <v>10</v>
      </c>
    </row>
    <row r="50" spans="1:8" s="14" customFormat="1">
      <c r="B50" s="14" t="s">
        <v>105</v>
      </c>
      <c r="C50" s="15">
        <v>5</v>
      </c>
    </row>
    <row r="51" spans="1:8">
      <c r="A51">
        <v>9</v>
      </c>
      <c r="B51" s="16" t="s">
        <v>148</v>
      </c>
      <c r="C51" s="2" t="s">
        <v>161</v>
      </c>
      <c r="D51" t="s">
        <v>3</v>
      </c>
      <c r="E51" t="s">
        <v>4</v>
      </c>
      <c r="F51" t="s">
        <v>5</v>
      </c>
    </row>
    <row r="52" spans="1:8">
      <c r="B52" s="16" t="s">
        <v>153</v>
      </c>
      <c r="C52" s="15">
        <v>1</v>
      </c>
      <c r="H52" t="s">
        <v>157</v>
      </c>
    </row>
    <row r="53" spans="1:8">
      <c r="B53" s="16" t="s">
        <v>152</v>
      </c>
      <c r="C53" s="15">
        <v>3</v>
      </c>
    </row>
    <row r="54" spans="1:8">
      <c r="B54" s="16" t="s">
        <v>151</v>
      </c>
      <c r="C54" s="15">
        <v>6</v>
      </c>
    </row>
    <row r="55" spans="1:8">
      <c r="B55" s="16" t="s">
        <v>150</v>
      </c>
      <c r="C55" s="15">
        <v>8</v>
      </c>
    </row>
    <row r="56" spans="1:8">
      <c r="B56" s="16" t="s">
        <v>149</v>
      </c>
      <c r="C56" s="15">
        <v>10</v>
      </c>
      <c r="H56" t="s">
        <v>156</v>
      </c>
    </row>
    <row r="57" spans="1:8">
      <c r="B57" s="16" t="s">
        <v>105</v>
      </c>
      <c r="C57" s="3">
        <v>5</v>
      </c>
    </row>
    <row r="58" spans="1:8">
      <c r="B58" s="16" t="s">
        <v>155</v>
      </c>
      <c r="C58" s="3">
        <v>10</v>
      </c>
      <c r="H58" t="s">
        <v>154</v>
      </c>
    </row>
    <row r="59" spans="1:8">
      <c r="A59">
        <v>10</v>
      </c>
      <c r="B59" t="s">
        <v>158</v>
      </c>
      <c r="C59" s="2" t="s">
        <v>161</v>
      </c>
      <c r="D59" t="s">
        <v>3</v>
      </c>
      <c r="E59" t="s">
        <v>4</v>
      </c>
      <c r="F59" t="s">
        <v>5</v>
      </c>
      <c r="G59" t="s">
        <v>6</v>
      </c>
    </row>
    <row r="60" spans="1:8">
      <c r="B60" t="s">
        <v>62</v>
      </c>
      <c r="C60" s="3">
        <v>1</v>
      </c>
      <c r="H60" t="s">
        <v>68</v>
      </c>
    </row>
    <row r="61" spans="1:8">
      <c r="B61" t="s">
        <v>63</v>
      </c>
      <c r="C61" s="3">
        <v>4</v>
      </c>
    </row>
    <row r="62" spans="1:8">
      <c r="B62" t="s">
        <v>64</v>
      </c>
      <c r="C62" s="3">
        <v>8</v>
      </c>
    </row>
    <row r="63" spans="1:8">
      <c r="B63" t="s">
        <v>65</v>
      </c>
      <c r="C63" s="3">
        <v>10</v>
      </c>
    </row>
    <row r="64" spans="1:8">
      <c r="B64" t="s">
        <v>66</v>
      </c>
      <c r="C64" s="3">
        <v>6</v>
      </c>
      <c r="H64" s="10" t="s">
        <v>97</v>
      </c>
    </row>
    <row r="65" spans="1:8">
      <c r="B65" t="s">
        <v>67</v>
      </c>
      <c r="C65" s="3">
        <v>3</v>
      </c>
    </row>
    <row r="66" spans="1:8" s="14" customFormat="1">
      <c r="A66" s="14">
        <v>11</v>
      </c>
      <c r="B66" s="9" t="s">
        <v>541</v>
      </c>
      <c r="C66" s="2" t="s">
        <v>160</v>
      </c>
      <c r="D66" s="14" t="s">
        <v>3</v>
      </c>
      <c r="E66" s="14" t="s">
        <v>4</v>
      </c>
      <c r="F66" s="14" t="s">
        <v>5</v>
      </c>
      <c r="G66" s="14" t="s">
        <v>6</v>
      </c>
    </row>
    <row r="67" spans="1:8" s="14" customFormat="1">
      <c r="B67" s="14" t="s">
        <v>51</v>
      </c>
      <c r="C67" s="15">
        <v>1</v>
      </c>
      <c r="H67" s="14" t="s">
        <v>73</v>
      </c>
    </row>
    <row r="68" spans="1:8" s="14" customFormat="1">
      <c r="B68" s="14" t="s">
        <v>50</v>
      </c>
      <c r="C68" s="15">
        <v>5</v>
      </c>
      <c r="H68" s="14" t="s">
        <v>165</v>
      </c>
    </row>
    <row r="69" spans="1:8" s="14" customFormat="1">
      <c r="B69" s="14" t="s">
        <v>52</v>
      </c>
      <c r="C69" s="15">
        <v>5</v>
      </c>
      <c r="H69" s="14" t="s">
        <v>93</v>
      </c>
    </row>
    <row r="70" spans="1:8" s="14" customFormat="1">
      <c r="B70" s="14" t="s">
        <v>53</v>
      </c>
      <c r="C70" s="15">
        <v>8</v>
      </c>
      <c r="H70" s="14" t="s">
        <v>94</v>
      </c>
    </row>
    <row r="71" spans="1:8" s="14" customFormat="1">
      <c r="B71" s="14" t="s">
        <v>58</v>
      </c>
      <c r="C71" s="15">
        <v>10</v>
      </c>
      <c r="H71" s="14" t="s">
        <v>166</v>
      </c>
    </row>
    <row r="72" spans="1:8" s="14" customFormat="1">
      <c r="B72" s="14" t="s">
        <v>74</v>
      </c>
      <c r="C72" s="15">
        <v>3</v>
      </c>
      <c r="H72" s="14" t="s">
        <v>164</v>
      </c>
    </row>
    <row r="73" spans="1:8" s="14" customFormat="1">
      <c r="B73" s="14" t="s">
        <v>75</v>
      </c>
      <c r="C73" s="15">
        <v>6</v>
      </c>
      <c r="H73" s="14" t="s">
        <v>164</v>
      </c>
    </row>
    <row r="74" spans="1:8" s="14" customFormat="1">
      <c r="B74" s="14" t="s">
        <v>76</v>
      </c>
      <c r="C74" s="15">
        <v>8</v>
      </c>
      <c r="H74" s="14" t="s">
        <v>164</v>
      </c>
    </row>
    <row r="75" spans="1:8">
      <c r="A75">
        <v>12</v>
      </c>
      <c r="B75" s="16" t="s">
        <v>69</v>
      </c>
      <c r="C75" s="2" t="s">
        <v>161</v>
      </c>
      <c r="D75" t="s">
        <v>3</v>
      </c>
      <c r="E75" t="s">
        <v>4</v>
      </c>
      <c r="F75" t="s">
        <v>5</v>
      </c>
      <c r="G75" t="s">
        <v>6</v>
      </c>
    </row>
    <row r="76" spans="1:8">
      <c r="B76" t="s">
        <v>72</v>
      </c>
      <c r="C76" s="3" t="s">
        <v>71</v>
      </c>
    </row>
    <row r="77" spans="1:8">
      <c r="B77" t="s">
        <v>70</v>
      </c>
      <c r="C77" s="3">
        <v>10</v>
      </c>
    </row>
    <row r="78" spans="1:8">
      <c r="B78" s="3"/>
    </row>
    <row r="79" spans="1:8">
      <c r="B79" s="3"/>
    </row>
  </sheetData>
  <pageMargins left="0.7" right="0.7" top="0.75" bottom="0.75" header="0.3" footer="0.3"/>
  <pageSetup paperSize="9" orientation="landscape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9"/>
  <sheetViews>
    <sheetView topLeftCell="A268" zoomScale="90" zoomScaleNormal="90" workbookViewId="0">
      <selection activeCell="I272" sqref="I272"/>
    </sheetView>
  </sheetViews>
  <sheetFormatPr defaultRowHeight="14.25"/>
  <cols>
    <col min="1" max="1" width="9.125" style="14" customWidth="1"/>
    <col min="2" max="2" width="13.875" style="5" customWidth="1"/>
    <col min="3" max="3" width="19.875" style="14" customWidth="1"/>
    <col min="4" max="4" width="27.625" style="14" customWidth="1"/>
    <col min="5" max="5" width="15.125" style="14" customWidth="1"/>
    <col min="6" max="6" width="14.125" style="14" customWidth="1"/>
    <col min="7" max="7" width="10.375" style="14" customWidth="1"/>
    <col min="8" max="8" width="19.125" style="14" customWidth="1"/>
    <col min="9" max="9" width="44.625" style="14" customWidth="1"/>
    <col min="10" max="10" width="48.375" style="14" customWidth="1"/>
    <col min="11" max="11" width="61" style="14" customWidth="1"/>
    <col min="12" max="12" width="50.375" style="14" customWidth="1"/>
    <col min="13" max="13" width="19.125" style="14" customWidth="1"/>
    <col min="14" max="14" width="20.625" style="14" customWidth="1"/>
    <col min="15" max="15" width="36.625" style="14" customWidth="1"/>
    <col min="16" max="16" width="37.625" style="14" customWidth="1"/>
    <col min="17" max="17" width="23.625" style="14" customWidth="1"/>
    <col min="18" max="18" width="32" style="14" customWidth="1"/>
    <col min="19" max="20" width="30" style="14" customWidth="1"/>
    <col min="21" max="21" width="10.625" customWidth="1"/>
    <col min="22" max="22" width="19.375" bestFit="1" customWidth="1"/>
    <col min="23" max="23" width="30.125" customWidth="1"/>
    <col min="24" max="24" width="19.125" customWidth="1"/>
    <col min="25" max="25" width="62.125" customWidth="1"/>
    <col min="26" max="26" width="19" customWidth="1"/>
    <col min="27" max="27" width="20.375" customWidth="1"/>
    <col min="28" max="28" width="21.625" customWidth="1"/>
    <col min="29" max="29" width="25" customWidth="1"/>
    <col min="30" max="30" width="18.375" customWidth="1"/>
    <col min="31" max="31" width="26" customWidth="1"/>
    <col min="32" max="32" width="16.125" customWidth="1"/>
    <col min="33" max="33" width="13.875" customWidth="1"/>
  </cols>
  <sheetData>
    <row r="1" spans="1:37">
      <c r="H1" s="14">
        <f>(0.8/15.8)*10</f>
        <v>0.50632911392405067</v>
      </c>
      <c r="I1" s="14">
        <f>(2/15.8)*10</f>
        <v>1.2658227848101264</v>
      </c>
      <c r="J1" s="14">
        <f>(1/15.8)*10</f>
        <v>0.63291139240506322</v>
      </c>
      <c r="K1" s="14">
        <f>(5/15.8)*10</f>
        <v>3.164556962025316</v>
      </c>
      <c r="L1" s="14">
        <f>(3/15.8)*10</f>
        <v>1.8987341772151898</v>
      </c>
      <c r="M1" s="14">
        <f>(0/15.8)*10</f>
        <v>0</v>
      </c>
      <c r="N1" s="14">
        <f>(0/15.8)*10</f>
        <v>0</v>
      </c>
      <c r="O1" s="14">
        <f>(2/15.8)*10</f>
        <v>1.2658227848101264</v>
      </c>
      <c r="P1" s="14">
        <f>(1/15.8)*10</f>
        <v>0.63291139240506322</v>
      </c>
      <c r="Q1" s="14">
        <f>(0/15.8)*10</f>
        <v>0</v>
      </c>
      <c r="R1" s="14">
        <f>(1/15.8)*10</f>
        <v>0.63291139240506322</v>
      </c>
      <c r="V1" s="14"/>
      <c r="W1" s="14"/>
      <c r="X1" s="14" t="s">
        <v>86</v>
      </c>
      <c r="Y1" s="14"/>
      <c r="Z1" s="14">
        <v>300</v>
      </c>
      <c r="AA1" s="14"/>
      <c r="AB1" s="14"/>
      <c r="AC1" s="14"/>
      <c r="AD1" s="14"/>
      <c r="AE1" s="14"/>
      <c r="AF1" s="14"/>
      <c r="AH1">
        <f>1.26582276*2</f>
        <v>2.5316455200000001</v>
      </c>
    </row>
    <row r="2" spans="1:37" s="16" customFormat="1" ht="187.5">
      <c r="A2" s="30" t="s">
        <v>195</v>
      </c>
      <c r="B2" s="91" t="s">
        <v>479</v>
      </c>
      <c r="C2" s="31" t="s">
        <v>196</v>
      </c>
      <c r="D2" s="31" t="s">
        <v>87</v>
      </c>
      <c r="E2" s="32" t="s">
        <v>197</v>
      </c>
      <c r="F2" s="32" t="s">
        <v>77</v>
      </c>
      <c r="G2" s="32" t="s">
        <v>354</v>
      </c>
      <c r="H2" s="32" t="s">
        <v>99</v>
      </c>
      <c r="I2" s="32" t="s">
        <v>106</v>
      </c>
      <c r="J2" s="32" t="s">
        <v>112</v>
      </c>
      <c r="K2" s="33" t="s">
        <v>159</v>
      </c>
      <c r="L2" s="32" t="s">
        <v>121</v>
      </c>
      <c r="M2" s="32" t="s">
        <v>128</v>
      </c>
      <c r="N2" s="32" t="s">
        <v>135</v>
      </c>
      <c r="O2" s="32" t="s">
        <v>142</v>
      </c>
      <c r="P2" s="32" t="s">
        <v>148</v>
      </c>
      <c r="Q2" s="32" t="s">
        <v>158</v>
      </c>
      <c r="R2" s="32" t="s">
        <v>69</v>
      </c>
      <c r="S2" s="34" t="s">
        <v>945</v>
      </c>
      <c r="T2" s="34" t="s">
        <v>979</v>
      </c>
      <c r="U2" s="32" t="s">
        <v>491</v>
      </c>
      <c r="V2" s="32" t="s">
        <v>492</v>
      </c>
      <c r="W2" s="32" t="s">
        <v>493</v>
      </c>
      <c r="X2" s="32" t="s">
        <v>494</v>
      </c>
      <c r="Y2" s="33" t="s">
        <v>495</v>
      </c>
      <c r="Z2" s="32" t="s">
        <v>496</v>
      </c>
      <c r="AA2" s="32" t="s">
        <v>497</v>
      </c>
      <c r="AB2" s="32" t="s">
        <v>498</v>
      </c>
      <c r="AC2" s="32" t="s">
        <v>499</v>
      </c>
      <c r="AD2" s="32" t="s">
        <v>500</v>
      </c>
      <c r="AE2" s="32" t="s">
        <v>501</v>
      </c>
      <c r="AF2" s="35" t="s">
        <v>502</v>
      </c>
      <c r="AG2" s="126" t="s">
        <v>906</v>
      </c>
      <c r="AH2" s="126" t="s">
        <v>907</v>
      </c>
      <c r="AI2" s="126" t="s">
        <v>905</v>
      </c>
      <c r="AJ2" s="126" t="s">
        <v>908</v>
      </c>
      <c r="AK2" s="16" t="s">
        <v>944</v>
      </c>
    </row>
    <row r="3" spans="1:37" s="207" customFormat="1">
      <c r="A3" s="113">
        <v>1</v>
      </c>
      <c r="B3" s="202" t="s">
        <v>355</v>
      </c>
      <c r="C3" s="111">
        <v>4021</v>
      </c>
      <c r="D3" s="112" t="s">
        <v>230</v>
      </c>
      <c r="E3" s="203"/>
      <c r="F3" s="86">
        <v>2000</v>
      </c>
      <c r="G3" s="86">
        <f>2013-Table2[[#This Row],[Startup Year]]</f>
        <v>13</v>
      </c>
      <c r="H3" s="86" t="s">
        <v>101</v>
      </c>
      <c r="I3" s="86" t="s">
        <v>111</v>
      </c>
      <c r="J3" s="86" t="s">
        <v>118</v>
      </c>
      <c r="K3" s="86">
        <v>0</v>
      </c>
      <c r="L3" s="86" t="s">
        <v>105</v>
      </c>
      <c r="M3" s="86" t="s">
        <v>105</v>
      </c>
      <c r="N3" s="86" t="s">
        <v>105</v>
      </c>
      <c r="O3" s="86" t="s">
        <v>105</v>
      </c>
      <c r="P3" s="86" t="s">
        <v>151</v>
      </c>
      <c r="Q3" s="86" t="s">
        <v>66</v>
      </c>
      <c r="R3" s="86" t="s">
        <v>72</v>
      </c>
      <c r="S3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15.854430379746834</v>
      </c>
      <c r="T3" s="86"/>
      <c r="U3" s="86"/>
      <c r="V3" s="86">
        <f>VLOOKUP(H3,'Ext. Pa'!$B$3:$C$77,2,FALSE)</f>
        <v>1</v>
      </c>
      <c r="W3" s="86">
        <f>VLOOKUP(I3,'Ext. Pa'!$B$3:$C$77,2,FALSE)</f>
        <v>8</v>
      </c>
      <c r="X3" s="86">
        <f>VLOOKUP(J3,'Ext. Pa'!$B$3:$C$77,2,FALSE)</f>
        <v>0</v>
      </c>
      <c r="Y3" s="86">
        <f>VLOOKUP(K3,'Ext. Pa'!$B$3:$C$77,2,FALSE)</f>
        <v>0</v>
      </c>
      <c r="Z3" s="86">
        <f>VLOOKUP(L3,'Ext. Pa'!$B$3:$C$77,2,FALSE)</f>
        <v>5</v>
      </c>
      <c r="AA3" s="86">
        <f>VLOOKUP(M3,'Ext. Pa'!$B$3:$C$77,2,FALSE)</f>
        <v>5</v>
      </c>
      <c r="AB3" s="86">
        <f>VLOOKUP(N3,'Ext. Pa'!$B$3:$C$77,2,FALSE)</f>
        <v>5</v>
      </c>
      <c r="AC3" s="86">
        <f>VLOOKUP(O3,'Ext. Pa'!$B$3:$C$77,2,FALSE)</f>
        <v>5</v>
      </c>
      <c r="AD3" s="86">
        <f>VLOOKUP(P3,'Ext. Pa'!$B$3:$C$77,2,FALSE)</f>
        <v>6</v>
      </c>
      <c r="AE3" s="86">
        <f>VLOOKUP(Q3,'Ext. Pa'!$B$3:$C$77,2,FALSE)</f>
        <v>6</v>
      </c>
      <c r="AF3" s="204">
        <f>IF(G3&lt;40,(G3)/4,40)</f>
        <v>3.25</v>
      </c>
      <c r="AG3" s="205">
        <f>Table2[[#This Row],[Coating defect survey10]]</f>
        <v>5</v>
      </c>
      <c r="AH3" s="205">
        <f>Table2[[#This Row],[CP Level within NACE Criteria4]]</f>
        <v>8</v>
      </c>
      <c r="AI3" s="206">
        <f>IF(Table2[[#This Row],[CP level]]&gt;9.9,1,0)</f>
        <v>0</v>
      </c>
      <c r="AJ3" s="206">
        <f>Table2[[#This Row],[Column3]]*Table2[[#This Row],[Coating defect survey2]]</f>
        <v>0</v>
      </c>
    </row>
    <row r="4" spans="1:37" s="100" customFormat="1">
      <c r="A4" s="94">
        <v>1</v>
      </c>
      <c r="B4" s="95" t="s">
        <v>356</v>
      </c>
      <c r="C4" s="96">
        <v>4023</v>
      </c>
      <c r="D4" s="97" t="s">
        <v>231</v>
      </c>
      <c r="E4" s="169"/>
      <c r="F4" s="98">
        <v>2000</v>
      </c>
      <c r="G4" s="98">
        <f>2013-Table2[[#This Row],[Startup Year]]</f>
        <v>13</v>
      </c>
      <c r="H4" s="98" t="s">
        <v>101</v>
      </c>
      <c r="I4" s="98" t="s">
        <v>108</v>
      </c>
      <c r="J4" s="98" t="s">
        <v>118</v>
      </c>
      <c r="K4" s="98">
        <v>0</v>
      </c>
      <c r="L4" s="98" t="s">
        <v>105</v>
      </c>
      <c r="M4" s="98" t="s">
        <v>105</v>
      </c>
      <c r="N4" s="98" t="s">
        <v>105</v>
      </c>
      <c r="O4" s="98" t="s">
        <v>105</v>
      </c>
      <c r="P4" s="98" t="s">
        <v>150</v>
      </c>
      <c r="Q4" s="98" t="s">
        <v>66</v>
      </c>
      <c r="R4" s="98" t="s">
        <v>72</v>
      </c>
      <c r="S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17.12025316455696</v>
      </c>
      <c r="T4" s="98">
        <v>19.493670886075947</v>
      </c>
      <c r="U4" s="98"/>
      <c r="V4" s="98">
        <f>VLOOKUP(H4,'Ext. Pa'!$B$3:$C$77,2,FALSE)</f>
        <v>1</v>
      </c>
      <c r="W4" s="98">
        <f>VLOOKUP(I4,'Ext. Pa'!$B$3:$C$77,2,FALSE)</f>
        <v>1</v>
      </c>
      <c r="X4" s="98">
        <f>VLOOKUP(J4,'Ext. Pa'!$B$3:$C$77,2,FALSE)</f>
        <v>0</v>
      </c>
      <c r="Y4" s="98">
        <f>VLOOKUP(K4,'Ext. Pa'!$B$3:$C$77,2,FALSE)</f>
        <v>0</v>
      </c>
      <c r="Z4" s="98">
        <f>VLOOKUP(L4,'Ext. Pa'!$B$3:$C$77,2,FALSE)</f>
        <v>5</v>
      </c>
      <c r="AA4" s="98">
        <f>VLOOKUP(M4,'Ext. Pa'!$B$3:$C$77,2,FALSE)</f>
        <v>5</v>
      </c>
      <c r="AB4" s="98">
        <f>VLOOKUP(N4,'Ext. Pa'!$B$3:$C$77,2,FALSE)</f>
        <v>5</v>
      </c>
      <c r="AC4" s="98">
        <f>VLOOKUP(O4,'Ext. Pa'!$B$3:$C$77,2,FALSE)</f>
        <v>5</v>
      </c>
      <c r="AD4" s="98">
        <f>VLOOKUP(P4,'Ext. Pa'!$B$3:$C$77,2,FALSE)</f>
        <v>8</v>
      </c>
      <c r="AE4" s="98">
        <f>VLOOKUP(Q4,'Ext. Pa'!$B$3:$C$77,2,FALSE)</f>
        <v>6</v>
      </c>
      <c r="AF4" s="99">
        <f>IF(G4&lt;40,(G4)/4,40)</f>
        <v>3.25</v>
      </c>
      <c r="AG4" s="134">
        <f>Table2[[#This Row],[Coating defect survey10]]</f>
        <v>5</v>
      </c>
      <c r="AH4" s="134">
        <f>Table2[[#This Row],[CP Level within NACE Criteria4]]</f>
        <v>1</v>
      </c>
      <c r="AI4" s="135">
        <f>IF(Table2[[#This Row],[CP level]]&gt;9.9,1,0)</f>
        <v>0</v>
      </c>
      <c r="AJ4" s="135">
        <f>Table2[[#This Row],[Column3]]*Table2[[#This Row],[Coating defect survey2]]</f>
        <v>0</v>
      </c>
      <c r="AK4" s="170">
        <v>19.493670886075947</v>
      </c>
    </row>
    <row r="5" spans="1:37" s="100" customFormat="1" ht="26.25" customHeight="1">
      <c r="A5" s="94">
        <v>1</v>
      </c>
      <c r="B5" s="95" t="s">
        <v>357</v>
      </c>
      <c r="C5" s="96">
        <v>4032</v>
      </c>
      <c r="D5" s="97" t="s">
        <v>232</v>
      </c>
      <c r="E5" s="169"/>
      <c r="F5" s="98">
        <v>2000</v>
      </c>
      <c r="G5" s="98">
        <f>2013-Table2[[#This Row],[Startup Year]]</f>
        <v>13</v>
      </c>
      <c r="H5" s="98" t="s">
        <v>101</v>
      </c>
      <c r="I5" s="98" t="s">
        <v>108</v>
      </c>
      <c r="J5" s="98" t="s">
        <v>118</v>
      </c>
      <c r="K5" s="98">
        <v>0</v>
      </c>
      <c r="L5" s="98" t="s">
        <v>105</v>
      </c>
      <c r="M5" s="98" t="s">
        <v>105</v>
      </c>
      <c r="N5" s="98" t="s">
        <v>105</v>
      </c>
      <c r="O5" s="98" t="s">
        <v>147</v>
      </c>
      <c r="P5" s="98" t="s">
        <v>105</v>
      </c>
      <c r="Q5" s="98" t="s">
        <v>66</v>
      </c>
      <c r="R5" s="98" t="s">
        <v>72</v>
      </c>
      <c r="S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5" s="98">
        <v>15.221518987341771</v>
      </c>
      <c r="U5" s="98"/>
      <c r="V5" s="98">
        <f>VLOOKUP(H5,'Ext. Pa'!$B$3:$C$77,2,FALSE)</f>
        <v>1</v>
      </c>
      <c r="W5" s="98">
        <f>VLOOKUP(I5,'Ext. Pa'!$B$3:$C$77,2,FALSE)</f>
        <v>1</v>
      </c>
      <c r="X5" s="98">
        <f>VLOOKUP(J5,'Ext. Pa'!$B$3:$C$77,2,FALSE)</f>
        <v>0</v>
      </c>
      <c r="Y5" s="98">
        <f>VLOOKUP(K5,'Ext. Pa'!$B$3:$C$77,2,FALSE)</f>
        <v>0</v>
      </c>
      <c r="Z5" s="98">
        <f>VLOOKUP(L5,'Ext. Pa'!$B$3:$C$77,2,FALSE)</f>
        <v>5</v>
      </c>
      <c r="AA5" s="98">
        <f>VLOOKUP(M5,'Ext. Pa'!$B$3:$C$77,2,FALSE)</f>
        <v>5</v>
      </c>
      <c r="AB5" s="98">
        <f>VLOOKUP(N5,'Ext. Pa'!$B$3:$C$77,2,FALSE)</f>
        <v>5</v>
      </c>
      <c r="AC5" s="98">
        <f>VLOOKUP(O5,'Ext. Pa'!$B$3:$C$77,2,FALSE)</f>
        <v>7</v>
      </c>
      <c r="AD5" s="98">
        <f>VLOOKUP(P5,'Ext. Pa'!$B$3:$C$77,2,FALSE)</f>
        <v>5</v>
      </c>
      <c r="AE5" s="98">
        <f>VLOOKUP(Q5,'Ext. Pa'!$B$3:$C$77,2,FALSE)</f>
        <v>6</v>
      </c>
      <c r="AF5" s="99">
        <f>IF(G5&lt;40,(G5)/4,40)</f>
        <v>3.25</v>
      </c>
      <c r="AG5" s="134">
        <f>Table2[[#This Row],[Coating defect survey10]]</f>
        <v>7</v>
      </c>
      <c r="AH5" s="134">
        <f>Table2[[#This Row],[CP Level within NACE Criteria4]]</f>
        <v>1</v>
      </c>
      <c r="AI5" s="135">
        <f>IF(Table2[[#This Row],[CP level]]&gt;9.9,1,0)</f>
        <v>0</v>
      </c>
      <c r="AJ5" s="135">
        <f>Table2[[#This Row],[Column3]]*Table2[[#This Row],[Coating defect survey2]]</f>
        <v>0</v>
      </c>
      <c r="AK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6" spans="1:37" s="100" customFormat="1">
      <c r="A6" s="94">
        <v>1</v>
      </c>
      <c r="B6" s="95" t="s">
        <v>358</v>
      </c>
      <c r="C6" s="96">
        <v>4311</v>
      </c>
      <c r="D6" s="97" t="s">
        <v>233</v>
      </c>
      <c r="E6" s="169"/>
      <c r="F6" s="98">
        <v>2000</v>
      </c>
      <c r="G6" s="98">
        <f>2013-Table2[[#This Row],[Startup Year]]</f>
        <v>13</v>
      </c>
      <c r="H6" s="98" t="s">
        <v>101</v>
      </c>
      <c r="I6" s="98" t="s">
        <v>108</v>
      </c>
      <c r="J6" s="98" t="s">
        <v>118</v>
      </c>
      <c r="K6" s="98">
        <v>0</v>
      </c>
      <c r="L6" s="98" t="s">
        <v>105</v>
      </c>
      <c r="M6" s="98" t="s">
        <v>105</v>
      </c>
      <c r="N6" s="98" t="s">
        <v>105</v>
      </c>
      <c r="O6" s="98" t="s">
        <v>105</v>
      </c>
      <c r="P6" s="98" t="s">
        <v>105</v>
      </c>
      <c r="Q6" s="98" t="s">
        <v>66</v>
      </c>
      <c r="R6" s="98" t="s">
        <v>72</v>
      </c>
      <c r="S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6" s="98">
        <v>15.221518987341771</v>
      </c>
      <c r="U6" s="98"/>
      <c r="V6" s="98">
        <f>VLOOKUP(H6,'Ext. Pa'!$B$3:$C$77,2,FALSE)</f>
        <v>1</v>
      </c>
      <c r="W6" s="98">
        <f>VLOOKUP(I6,'Ext. Pa'!$B$3:$C$77,2,FALSE)</f>
        <v>1</v>
      </c>
      <c r="X6" s="98">
        <f>VLOOKUP(J6,'Ext. Pa'!$B$3:$C$77,2,FALSE)</f>
        <v>0</v>
      </c>
      <c r="Y6" s="98">
        <f>VLOOKUP(K6,'Ext. Pa'!$B$3:$C$77,2,FALSE)</f>
        <v>0</v>
      </c>
      <c r="Z6" s="98">
        <f>VLOOKUP(L6,'Ext. Pa'!$B$3:$C$77,2,FALSE)</f>
        <v>5</v>
      </c>
      <c r="AA6" s="98">
        <f>VLOOKUP(M6,'Ext. Pa'!$B$3:$C$77,2,FALSE)</f>
        <v>5</v>
      </c>
      <c r="AB6" s="98">
        <f>VLOOKUP(N6,'Ext. Pa'!$B$3:$C$77,2,FALSE)</f>
        <v>5</v>
      </c>
      <c r="AC6" s="98">
        <f>VLOOKUP(O6,'Ext. Pa'!$B$3:$C$77,2,FALSE)</f>
        <v>5</v>
      </c>
      <c r="AD6" s="98">
        <f>VLOOKUP(P6,'Ext. Pa'!$B$3:$C$77,2,FALSE)</f>
        <v>5</v>
      </c>
      <c r="AE6" s="98">
        <f>VLOOKUP(Q6,'Ext. Pa'!$B$3:$C$77,2,FALSE)</f>
        <v>6</v>
      </c>
      <c r="AF6" s="99">
        <f>IF(G6&lt;40,(G6)/4,40)</f>
        <v>3.25</v>
      </c>
      <c r="AG6" s="134">
        <f>Table2[[#This Row],[Coating defect survey10]]</f>
        <v>5</v>
      </c>
      <c r="AH6" s="134">
        <f>Table2[[#This Row],[CP Level within NACE Criteria4]]</f>
        <v>1</v>
      </c>
      <c r="AI6" s="135">
        <f>IF(Table2[[#This Row],[CP level]]&gt;9.9,1,0)</f>
        <v>0</v>
      </c>
      <c r="AJ6" s="135">
        <f>Table2[[#This Row],[Column3]]*Table2[[#This Row],[Coating defect survey2]]</f>
        <v>0</v>
      </c>
      <c r="AK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7" spans="1:37" s="100" customFormat="1">
      <c r="A7" s="128">
        <v>1</v>
      </c>
      <c r="B7" s="129" t="s">
        <v>608</v>
      </c>
      <c r="C7" s="96">
        <v>431110003</v>
      </c>
      <c r="D7" s="97" t="s">
        <v>609</v>
      </c>
      <c r="E7" s="171"/>
      <c r="F7" s="130">
        <v>2000</v>
      </c>
      <c r="G7" s="130">
        <f>2013-Table2[[#This Row],[Startup Year]]</f>
        <v>13</v>
      </c>
      <c r="H7" s="130" t="s">
        <v>101</v>
      </c>
      <c r="I7" s="130" t="s">
        <v>108</v>
      </c>
      <c r="J7" s="130" t="s">
        <v>118</v>
      </c>
      <c r="K7" s="98">
        <v>0</v>
      </c>
      <c r="L7" s="130" t="s">
        <v>105</v>
      </c>
      <c r="M7" s="130" t="s">
        <v>105</v>
      </c>
      <c r="N7" s="130" t="s">
        <v>105</v>
      </c>
      <c r="O7" s="130" t="s">
        <v>143</v>
      </c>
      <c r="P7" s="130" t="s">
        <v>105</v>
      </c>
      <c r="Q7" s="130" t="s">
        <v>66</v>
      </c>
      <c r="R7" s="130" t="s">
        <v>72</v>
      </c>
      <c r="S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7" s="131">
        <v>15.221518987341771</v>
      </c>
      <c r="U7" s="130"/>
      <c r="V7" s="131">
        <f>VLOOKUP(H7,'Ext. Pa'!$B$3:$C$77,2,FALSE)</f>
        <v>1</v>
      </c>
      <c r="W7" s="130">
        <f>VLOOKUP(I7,'Ext. Pa'!$B$3:$C$77,2,FALSE)</f>
        <v>1</v>
      </c>
      <c r="X7" s="130">
        <f>VLOOKUP(J7,'Ext. Pa'!$B$3:$C$77,2,FALSE)</f>
        <v>0</v>
      </c>
      <c r="Y7" s="130">
        <f>VLOOKUP(K7,'Ext. Pa'!$B$3:$C$77,2,FALSE)</f>
        <v>0</v>
      </c>
      <c r="Z7" s="130">
        <f>VLOOKUP(L7,'Ext. Pa'!$B$3:$C$77,2,FALSE)</f>
        <v>5</v>
      </c>
      <c r="AA7" s="130">
        <f>VLOOKUP(M7,'Ext. Pa'!$B$3:$C$77,2,FALSE)</f>
        <v>5</v>
      </c>
      <c r="AB7" s="130">
        <f>VLOOKUP(N7,'Ext. Pa'!$B$3:$C$77,2,FALSE)</f>
        <v>5</v>
      </c>
      <c r="AC7" s="130">
        <f>VLOOKUP(O7,'Ext. Pa'!$B$3:$C$77,2,FALSE)</f>
        <v>1</v>
      </c>
      <c r="AD7" s="130">
        <f>VLOOKUP(P7,'Ext. Pa'!$B$3:$C$77,2,FALSE)</f>
        <v>5</v>
      </c>
      <c r="AE7" s="130">
        <f>VLOOKUP(Q7,'Ext. Pa'!$B$3:$C$77,2,FALSE)</f>
        <v>6</v>
      </c>
      <c r="AF7" s="132">
        <f t="shared" ref="AF7:AF14" si="0">IF(G7&lt;40,(G7)/4,40)</f>
        <v>3.25</v>
      </c>
      <c r="AG7" s="134">
        <f>Table2[[#This Row],[Coating defect survey10]]</f>
        <v>1</v>
      </c>
      <c r="AH7" s="134">
        <f>Table2[[#This Row],[CP Level within NACE Criteria4]]</f>
        <v>1</v>
      </c>
      <c r="AI7" s="135">
        <f>IF(Table2[[#This Row],[CP level]]&gt;9.9,1,0)</f>
        <v>0</v>
      </c>
      <c r="AJ7" s="135">
        <f>Table2[[#This Row],[Column3]]*Table2[[#This Row],[Coating defect survey2]]</f>
        <v>0</v>
      </c>
      <c r="AK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8" spans="1:37" s="100" customFormat="1">
      <c r="A8" s="128">
        <v>1</v>
      </c>
      <c r="B8" s="129" t="s">
        <v>597</v>
      </c>
      <c r="C8" s="96">
        <v>4311103</v>
      </c>
      <c r="D8" s="97" t="s">
        <v>598</v>
      </c>
      <c r="E8" s="171"/>
      <c r="F8" s="130">
        <v>2000</v>
      </c>
      <c r="G8" s="130">
        <f>2013-Table2[[#This Row],[Startup Year]]</f>
        <v>13</v>
      </c>
      <c r="H8" s="130" t="s">
        <v>101</v>
      </c>
      <c r="I8" s="130" t="s">
        <v>108</v>
      </c>
      <c r="J8" s="130" t="s">
        <v>118</v>
      </c>
      <c r="K8" s="98">
        <v>0</v>
      </c>
      <c r="L8" s="130" t="s">
        <v>105</v>
      </c>
      <c r="M8" s="130" t="s">
        <v>105</v>
      </c>
      <c r="N8" s="130" t="s">
        <v>105</v>
      </c>
      <c r="O8" s="130" t="s">
        <v>143</v>
      </c>
      <c r="P8" s="130" t="s">
        <v>105</v>
      </c>
      <c r="Q8" s="130" t="s">
        <v>66</v>
      </c>
      <c r="R8" s="130" t="s">
        <v>72</v>
      </c>
      <c r="S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8" s="131">
        <v>15.221518987341771</v>
      </c>
      <c r="U8" s="130"/>
      <c r="V8" s="131">
        <f>VLOOKUP(H8,'Ext. Pa'!$B$3:$C$77,2,FALSE)</f>
        <v>1</v>
      </c>
      <c r="W8" s="130">
        <f>VLOOKUP(I8,'Ext. Pa'!$B$3:$C$77,2,FALSE)</f>
        <v>1</v>
      </c>
      <c r="X8" s="130">
        <f>VLOOKUP(J8,'Ext. Pa'!$B$3:$C$77,2,FALSE)</f>
        <v>0</v>
      </c>
      <c r="Y8" s="130">
        <f>VLOOKUP(K8,'Ext. Pa'!$B$3:$C$77,2,FALSE)</f>
        <v>0</v>
      </c>
      <c r="Z8" s="130">
        <f>VLOOKUP(L8,'Ext. Pa'!$B$3:$C$77,2,FALSE)</f>
        <v>5</v>
      </c>
      <c r="AA8" s="130">
        <f>VLOOKUP(M8,'Ext. Pa'!$B$3:$C$77,2,FALSE)</f>
        <v>5</v>
      </c>
      <c r="AB8" s="130">
        <f>VLOOKUP(N8,'Ext. Pa'!$B$3:$C$77,2,FALSE)</f>
        <v>5</v>
      </c>
      <c r="AC8" s="130">
        <f>VLOOKUP(O8,'Ext. Pa'!$B$3:$C$77,2,FALSE)</f>
        <v>1</v>
      </c>
      <c r="AD8" s="130">
        <f>VLOOKUP(P8,'Ext. Pa'!$B$3:$C$77,2,FALSE)</f>
        <v>5</v>
      </c>
      <c r="AE8" s="130">
        <f>VLOOKUP(Q8,'Ext. Pa'!$B$3:$C$77,2,FALSE)</f>
        <v>6</v>
      </c>
      <c r="AF8" s="132">
        <f t="shared" si="0"/>
        <v>3.25</v>
      </c>
      <c r="AG8" s="134">
        <f>Table2[[#This Row],[Coating defect survey10]]</f>
        <v>1</v>
      </c>
      <c r="AH8" s="134">
        <f>Table2[[#This Row],[CP Level within NACE Criteria4]]</f>
        <v>1</v>
      </c>
      <c r="AI8" s="135">
        <f>IF(Table2[[#This Row],[CP level]]&gt;9.9,1,0)</f>
        <v>0</v>
      </c>
      <c r="AJ8" s="135">
        <f>Table2[[#This Row],[Column3]]*Table2[[#This Row],[Coating defect survey2]]</f>
        <v>0</v>
      </c>
      <c r="AK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9" spans="1:37" s="100" customFormat="1">
      <c r="A9" s="128">
        <v>1</v>
      </c>
      <c r="B9" s="129" t="s">
        <v>593</v>
      </c>
      <c r="C9" s="96">
        <v>431120101</v>
      </c>
      <c r="D9" s="97" t="s">
        <v>594</v>
      </c>
      <c r="E9" s="171"/>
      <c r="F9" s="130">
        <v>2000</v>
      </c>
      <c r="G9" s="130">
        <f>2013-Table2[[#This Row],[Startup Year]]</f>
        <v>13</v>
      </c>
      <c r="H9" s="130" t="s">
        <v>101</v>
      </c>
      <c r="I9" s="130" t="s">
        <v>108</v>
      </c>
      <c r="J9" s="130" t="s">
        <v>118</v>
      </c>
      <c r="K9" s="98">
        <v>0</v>
      </c>
      <c r="L9" s="130" t="s">
        <v>105</v>
      </c>
      <c r="M9" s="130" t="s">
        <v>105</v>
      </c>
      <c r="N9" s="130" t="s">
        <v>105</v>
      </c>
      <c r="O9" s="130" t="s">
        <v>144</v>
      </c>
      <c r="P9" s="130" t="s">
        <v>105</v>
      </c>
      <c r="Q9" s="130" t="s">
        <v>66</v>
      </c>
      <c r="R9" s="130" t="s">
        <v>72</v>
      </c>
      <c r="S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9" s="98">
        <v>15.221518987341771</v>
      </c>
      <c r="U9" s="130"/>
      <c r="V9" s="131">
        <f>VLOOKUP(H9,'Ext. Pa'!$B$3:$C$77,2,FALSE)</f>
        <v>1</v>
      </c>
      <c r="W9" s="130">
        <f>VLOOKUP(I9,'Ext. Pa'!$B$3:$C$77,2,FALSE)</f>
        <v>1</v>
      </c>
      <c r="X9" s="130">
        <f>VLOOKUP(J9,'Ext. Pa'!$B$3:$C$77,2,FALSE)</f>
        <v>0</v>
      </c>
      <c r="Y9" s="130">
        <f>VLOOKUP(K9,'Ext. Pa'!$B$3:$C$77,2,FALSE)</f>
        <v>0</v>
      </c>
      <c r="Z9" s="130">
        <f>VLOOKUP(L9,'Ext. Pa'!$B$3:$C$77,2,FALSE)</f>
        <v>5</v>
      </c>
      <c r="AA9" s="130">
        <f>VLOOKUP(M9,'Ext. Pa'!$B$3:$C$77,2,FALSE)</f>
        <v>5</v>
      </c>
      <c r="AB9" s="130">
        <f>VLOOKUP(N9,'Ext. Pa'!$B$3:$C$77,2,FALSE)</f>
        <v>5</v>
      </c>
      <c r="AC9" s="130">
        <f>VLOOKUP(O9,'Ext. Pa'!$B$3:$C$77,2,FALSE)</f>
        <v>3</v>
      </c>
      <c r="AD9" s="130">
        <f>VLOOKUP(P9,'Ext. Pa'!$B$3:$C$77,2,FALSE)</f>
        <v>5</v>
      </c>
      <c r="AE9" s="130">
        <f>VLOOKUP(Q9,'Ext. Pa'!$B$3:$C$77,2,FALSE)</f>
        <v>6</v>
      </c>
      <c r="AF9" s="132">
        <f t="shared" si="0"/>
        <v>3.25</v>
      </c>
      <c r="AG9" s="133">
        <f>Table2[[#This Row],[Coating defect survey10]]</f>
        <v>3</v>
      </c>
      <c r="AH9" s="134">
        <f>Table2[[#This Row],[CP Level within NACE Criteria4]]</f>
        <v>1</v>
      </c>
      <c r="AI9" s="135">
        <f>IF(Table2[[#This Row],[CP level]]&gt;9.9,1,0)</f>
        <v>0</v>
      </c>
      <c r="AJ9" s="135">
        <f>Table2[[#This Row],[Column3]]*Table2[[#This Row],[Coating defect survey2]]</f>
        <v>0</v>
      </c>
      <c r="AK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0" spans="1:37" s="100" customFormat="1">
      <c r="A10" s="128">
        <v>1</v>
      </c>
      <c r="B10" s="129" t="s">
        <v>595</v>
      </c>
      <c r="C10" s="96">
        <v>431120102</v>
      </c>
      <c r="D10" s="97" t="s">
        <v>596</v>
      </c>
      <c r="E10" s="171"/>
      <c r="F10" s="130">
        <v>2000</v>
      </c>
      <c r="G10" s="130">
        <f>2013-Table2[[#This Row],[Startup Year]]</f>
        <v>13</v>
      </c>
      <c r="H10" s="130" t="s">
        <v>101</v>
      </c>
      <c r="I10" s="130" t="s">
        <v>108</v>
      </c>
      <c r="J10" s="130" t="s">
        <v>118</v>
      </c>
      <c r="K10" s="98">
        <v>0</v>
      </c>
      <c r="L10" s="130" t="s">
        <v>105</v>
      </c>
      <c r="M10" s="130" t="s">
        <v>105</v>
      </c>
      <c r="N10" s="130" t="s">
        <v>105</v>
      </c>
      <c r="O10" s="130" t="s">
        <v>143</v>
      </c>
      <c r="P10" s="130" t="s">
        <v>105</v>
      </c>
      <c r="Q10" s="130" t="s">
        <v>66</v>
      </c>
      <c r="R10" s="130" t="s">
        <v>72</v>
      </c>
      <c r="S1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0" s="131">
        <v>15.221518987341771</v>
      </c>
      <c r="U10" s="130"/>
      <c r="V10" s="131">
        <f>VLOOKUP(H10,'Ext. Pa'!$B$3:$C$77,2,FALSE)</f>
        <v>1</v>
      </c>
      <c r="W10" s="130">
        <f>VLOOKUP(I10,'Ext. Pa'!$B$3:$C$77,2,FALSE)</f>
        <v>1</v>
      </c>
      <c r="X10" s="130">
        <f>VLOOKUP(J10,'Ext. Pa'!$B$3:$C$77,2,FALSE)</f>
        <v>0</v>
      </c>
      <c r="Y10" s="130">
        <f>VLOOKUP(K10,'Ext. Pa'!$B$3:$C$77,2,FALSE)</f>
        <v>0</v>
      </c>
      <c r="Z10" s="130">
        <f>VLOOKUP(L10,'Ext. Pa'!$B$3:$C$77,2,FALSE)</f>
        <v>5</v>
      </c>
      <c r="AA10" s="130">
        <f>VLOOKUP(M10,'Ext. Pa'!$B$3:$C$77,2,FALSE)</f>
        <v>5</v>
      </c>
      <c r="AB10" s="130">
        <f>VLOOKUP(N10,'Ext. Pa'!$B$3:$C$77,2,FALSE)</f>
        <v>5</v>
      </c>
      <c r="AC10" s="130">
        <f>VLOOKUP(O10,'Ext. Pa'!$B$3:$C$77,2,FALSE)</f>
        <v>1</v>
      </c>
      <c r="AD10" s="130">
        <f>VLOOKUP(P10,'Ext. Pa'!$B$3:$C$77,2,FALSE)</f>
        <v>5</v>
      </c>
      <c r="AE10" s="130">
        <f>VLOOKUP(Q10,'Ext. Pa'!$B$3:$C$77,2,FALSE)</f>
        <v>6</v>
      </c>
      <c r="AF10" s="132">
        <f t="shared" si="0"/>
        <v>3.25</v>
      </c>
      <c r="AG10" s="134">
        <f>Table2[[#This Row],[Coating defect survey10]]</f>
        <v>1</v>
      </c>
      <c r="AH10" s="134">
        <f>Table2[[#This Row],[CP Level within NACE Criteria4]]</f>
        <v>1</v>
      </c>
      <c r="AI10" s="135">
        <f>IF(Table2[[#This Row],[CP level]]&gt;9.9,1,0)</f>
        <v>0</v>
      </c>
      <c r="AJ10" s="135">
        <f>Table2[[#This Row],[Column3]]*Table2[[#This Row],[Coating defect survey2]]</f>
        <v>0</v>
      </c>
      <c r="AK1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1" spans="1:37" s="100" customFormat="1">
      <c r="A11" s="128">
        <v>1</v>
      </c>
      <c r="B11" s="129" t="s">
        <v>600</v>
      </c>
      <c r="C11" s="96">
        <v>431120103</v>
      </c>
      <c r="D11" s="97" t="s">
        <v>601</v>
      </c>
      <c r="E11" s="171"/>
      <c r="F11" s="130">
        <v>2000</v>
      </c>
      <c r="G11" s="130">
        <f>2013-Table2[[#This Row],[Startup Year]]</f>
        <v>13</v>
      </c>
      <c r="H11" s="130" t="s">
        <v>101</v>
      </c>
      <c r="I11" s="130" t="s">
        <v>108</v>
      </c>
      <c r="J11" s="130" t="s">
        <v>118</v>
      </c>
      <c r="K11" s="98">
        <v>0</v>
      </c>
      <c r="L11" s="130" t="s">
        <v>105</v>
      </c>
      <c r="M11" s="130" t="s">
        <v>105</v>
      </c>
      <c r="N11" s="130" t="s">
        <v>105</v>
      </c>
      <c r="O11" s="130" t="s">
        <v>143</v>
      </c>
      <c r="P11" s="130" t="s">
        <v>105</v>
      </c>
      <c r="Q11" s="130" t="s">
        <v>66</v>
      </c>
      <c r="R11" s="130" t="s">
        <v>72</v>
      </c>
      <c r="S1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1" s="131">
        <v>15.221518987341771</v>
      </c>
      <c r="U11" s="130"/>
      <c r="V11" s="131">
        <f>VLOOKUP(H11,'Ext. Pa'!$B$3:$C$77,2,FALSE)</f>
        <v>1</v>
      </c>
      <c r="W11" s="130">
        <f>VLOOKUP(I11,'Ext. Pa'!$B$3:$C$77,2,FALSE)</f>
        <v>1</v>
      </c>
      <c r="X11" s="130">
        <f>VLOOKUP(J11,'Ext. Pa'!$B$3:$C$77,2,FALSE)</f>
        <v>0</v>
      </c>
      <c r="Y11" s="130">
        <f>VLOOKUP(K11,'Ext. Pa'!$B$3:$C$77,2,FALSE)</f>
        <v>0</v>
      </c>
      <c r="Z11" s="130">
        <f>VLOOKUP(L11,'Ext. Pa'!$B$3:$C$77,2,FALSE)</f>
        <v>5</v>
      </c>
      <c r="AA11" s="130">
        <f>VLOOKUP(M11,'Ext. Pa'!$B$3:$C$77,2,FALSE)</f>
        <v>5</v>
      </c>
      <c r="AB11" s="130">
        <f>VLOOKUP(N11,'Ext. Pa'!$B$3:$C$77,2,FALSE)</f>
        <v>5</v>
      </c>
      <c r="AC11" s="130">
        <f>VLOOKUP(O11,'Ext. Pa'!$B$3:$C$77,2,FALSE)</f>
        <v>1</v>
      </c>
      <c r="AD11" s="130">
        <f>VLOOKUP(P11,'Ext. Pa'!$B$3:$C$77,2,FALSE)</f>
        <v>5</v>
      </c>
      <c r="AE11" s="130">
        <f>VLOOKUP(Q11,'Ext. Pa'!$B$3:$C$77,2,FALSE)</f>
        <v>6</v>
      </c>
      <c r="AF11" s="132">
        <f t="shared" si="0"/>
        <v>3.25</v>
      </c>
      <c r="AG11" s="134">
        <f>Table2[[#This Row],[Coating defect survey10]]</f>
        <v>1</v>
      </c>
      <c r="AH11" s="134">
        <f>Table2[[#This Row],[CP Level within NACE Criteria4]]</f>
        <v>1</v>
      </c>
      <c r="AI11" s="135">
        <f>IF(Table2[[#This Row],[CP level]]&gt;9.9,1,0)</f>
        <v>0</v>
      </c>
      <c r="AJ11" s="135">
        <f>Table2[[#This Row],[Column3]]*Table2[[#This Row],[Coating defect survey2]]</f>
        <v>0</v>
      </c>
      <c r="AK1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2" spans="1:37" s="100" customFormat="1">
      <c r="A12" s="128">
        <v>1</v>
      </c>
      <c r="B12" s="129" t="s">
        <v>583</v>
      </c>
      <c r="C12" s="96">
        <v>431120106</v>
      </c>
      <c r="D12" s="97" t="s">
        <v>584</v>
      </c>
      <c r="E12" s="171"/>
      <c r="F12" s="130">
        <v>2000</v>
      </c>
      <c r="G12" s="130">
        <f>2013-Table2[[#This Row],[Startup Year]]</f>
        <v>13</v>
      </c>
      <c r="H12" s="130" t="s">
        <v>101</v>
      </c>
      <c r="I12" s="130" t="s">
        <v>108</v>
      </c>
      <c r="J12" s="130" t="s">
        <v>118</v>
      </c>
      <c r="K12" s="98">
        <v>0</v>
      </c>
      <c r="L12" s="130" t="s">
        <v>105</v>
      </c>
      <c r="M12" s="130" t="s">
        <v>105</v>
      </c>
      <c r="N12" s="130" t="s">
        <v>105</v>
      </c>
      <c r="O12" s="130" t="s">
        <v>143</v>
      </c>
      <c r="P12" s="130" t="s">
        <v>105</v>
      </c>
      <c r="Q12" s="130" t="s">
        <v>66</v>
      </c>
      <c r="R12" s="130" t="s">
        <v>72</v>
      </c>
      <c r="S1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2" s="131">
        <v>15.221518987341771</v>
      </c>
      <c r="U12" s="130"/>
      <c r="V12" s="131">
        <f>VLOOKUP(H12,'Ext. Pa'!$B$3:$C$77,2,FALSE)</f>
        <v>1</v>
      </c>
      <c r="W12" s="130">
        <f>VLOOKUP(I12,'Ext. Pa'!$B$3:$C$77,2,FALSE)</f>
        <v>1</v>
      </c>
      <c r="X12" s="130">
        <f>VLOOKUP(J12,'Ext. Pa'!$B$3:$C$77,2,FALSE)</f>
        <v>0</v>
      </c>
      <c r="Y12" s="130">
        <f>VLOOKUP(K12,'Ext. Pa'!$B$3:$C$77,2,FALSE)</f>
        <v>0</v>
      </c>
      <c r="Z12" s="130">
        <f>VLOOKUP(L12,'Ext. Pa'!$B$3:$C$77,2,FALSE)</f>
        <v>5</v>
      </c>
      <c r="AA12" s="130">
        <f>VLOOKUP(M12,'Ext. Pa'!$B$3:$C$77,2,FALSE)</f>
        <v>5</v>
      </c>
      <c r="AB12" s="130">
        <f>VLOOKUP(N12,'Ext. Pa'!$B$3:$C$77,2,FALSE)</f>
        <v>5</v>
      </c>
      <c r="AC12" s="130">
        <f>VLOOKUP(O12,'Ext. Pa'!$B$3:$C$77,2,FALSE)</f>
        <v>1</v>
      </c>
      <c r="AD12" s="130">
        <f>VLOOKUP(P12,'Ext. Pa'!$B$3:$C$77,2,FALSE)</f>
        <v>5</v>
      </c>
      <c r="AE12" s="130">
        <f>VLOOKUP(Q12,'Ext. Pa'!$B$3:$C$77,2,FALSE)</f>
        <v>6</v>
      </c>
      <c r="AF12" s="132">
        <f t="shared" si="0"/>
        <v>3.25</v>
      </c>
      <c r="AG12" s="134">
        <f>Table2[[#This Row],[Coating defect survey10]]</f>
        <v>1</v>
      </c>
      <c r="AH12" s="134">
        <f>Table2[[#This Row],[CP Level within NACE Criteria4]]</f>
        <v>1</v>
      </c>
      <c r="AI12" s="135">
        <f>IF(Table2[[#This Row],[CP level]]&gt;9.9,1,0)</f>
        <v>0</v>
      </c>
      <c r="AJ12" s="135">
        <f>Table2[[#This Row],[Column3]]*Table2[[#This Row],[Coating defect survey2]]</f>
        <v>0</v>
      </c>
      <c r="AK1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3" spans="1:37" s="100" customFormat="1">
      <c r="A13" s="128">
        <v>1</v>
      </c>
      <c r="B13" s="129" t="s">
        <v>588</v>
      </c>
      <c r="C13" s="96">
        <v>431120108</v>
      </c>
      <c r="D13" s="97" t="s">
        <v>589</v>
      </c>
      <c r="E13" s="171"/>
      <c r="F13" s="130">
        <v>2000</v>
      </c>
      <c r="G13" s="130">
        <f>2013-Table2[[#This Row],[Startup Year]]</f>
        <v>13</v>
      </c>
      <c r="H13" s="130" t="s">
        <v>101</v>
      </c>
      <c r="I13" s="130" t="s">
        <v>108</v>
      </c>
      <c r="J13" s="130" t="s">
        <v>118</v>
      </c>
      <c r="K13" s="98">
        <v>0</v>
      </c>
      <c r="L13" s="130" t="s">
        <v>105</v>
      </c>
      <c r="M13" s="130" t="s">
        <v>105</v>
      </c>
      <c r="N13" s="130" t="s">
        <v>105</v>
      </c>
      <c r="O13" s="130" t="s">
        <v>143</v>
      </c>
      <c r="P13" s="130" t="s">
        <v>105</v>
      </c>
      <c r="Q13" s="130" t="s">
        <v>66</v>
      </c>
      <c r="R13" s="130" t="s">
        <v>72</v>
      </c>
      <c r="S1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3" s="98">
        <v>15.221518987341771</v>
      </c>
      <c r="U13" s="130"/>
      <c r="V13" s="131">
        <f>VLOOKUP(H13,'Ext. Pa'!$B$3:$C$77,2,FALSE)</f>
        <v>1</v>
      </c>
      <c r="W13" s="130">
        <f>VLOOKUP(I13,'Ext. Pa'!$B$3:$C$77,2,FALSE)</f>
        <v>1</v>
      </c>
      <c r="X13" s="130">
        <f>VLOOKUP(J13,'Ext. Pa'!$B$3:$C$77,2,FALSE)</f>
        <v>0</v>
      </c>
      <c r="Y13" s="130">
        <f>VLOOKUP(K13,'Ext. Pa'!$B$3:$C$77,2,FALSE)</f>
        <v>0</v>
      </c>
      <c r="Z13" s="130">
        <f>VLOOKUP(L13,'Ext. Pa'!$B$3:$C$77,2,FALSE)</f>
        <v>5</v>
      </c>
      <c r="AA13" s="130">
        <f>VLOOKUP(M13,'Ext. Pa'!$B$3:$C$77,2,FALSE)</f>
        <v>5</v>
      </c>
      <c r="AB13" s="130">
        <f>VLOOKUP(N13,'Ext. Pa'!$B$3:$C$77,2,FALSE)</f>
        <v>5</v>
      </c>
      <c r="AC13" s="130">
        <f>VLOOKUP(O13,'Ext. Pa'!$B$3:$C$77,2,FALSE)</f>
        <v>1</v>
      </c>
      <c r="AD13" s="130">
        <f>VLOOKUP(P13,'Ext. Pa'!$B$3:$C$77,2,FALSE)</f>
        <v>5</v>
      </c>
      <c r="AE13" s="130">
        <f>VLOOKUP(Q13,'Ext. Pa'!$B$3:$C$77,2,FALSE)</f>
        <v>6</v>
      </c>
      <c r="AF13" s="132">
        <f t="shared" si="0"/>
        <v>3.25</v>
      </c>
      <c r="AG13" s="133">
        <f>Table2[[#This Row],[Coating defect survey10]]</f>
        <v>1</v>
      </c>
      <c r="AH13" s="134">
        <f>Table2[[#This Row],[CP Level within NACE Criteria4]]</f>
        <v>1</v>
      </c>
      <c r="AI13" s="135">
        <f>IF(Table2[[#This Row],[CP level]]&gt;9.9,1,0)</f>
        <v>0</v>
      </c>
      <c r="AJ13" s="135">
        <f>Table2[[#This Row],[Column3]]*Table2[[#This Row],[Coating defect survey2]]</f>
        <v>0</v>
      </c>
      <c r="AK1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4" spans="1:37" s="100" customFormat="1">
      <c r="A14" s="128">
        <v>1</v>
      </c>
      <c r="B14" s="129" t="s">
        <v>585</v>
      </c>
      <c r="C14" s="96">
        <v>431120001</v>
      </c>
      <c r="D14" s="97" t="s">
        <v>586</v>
      </c>
      <c r="E14" s="171"/>
      <c r="F14" s="130">
        <v>2000</v>
      </c>
      <c r="G14" s="130">
        <f>2013-Table2[[#This Row],[Startup Year]]</f>
        <v>13</v>
      </c>
      <c r="H14" s="130" t="s">
        <v>101</v>
      </c>
      <c r="I14" s="130" t="s">
        <v>108</v>
      </c>
      <c r="J14" s="130" t="s">
        <v>118</v>
      </c>
      <c r="K14" s="98">
        <v>0</v>
      </c>
      <c r="L14" s="130" t="s">
        <v>105</v>
      </c>
      <c r="M14" s="130" t="s">
        <v>105</v>
      </c>
      <c r="N14" s="130" t="s">
        <v>105</v>
      </c>
      <c r="O14" s="130" t="s">
        <v>143</v>
      </c>
      <c r="P14" s="130" t="s">
        <v>105</v>
      </c>
      <c r="Q14" s="130" t="s">
        <v>66</v>
      </c>
      <c r="R14" s="130" t="s">
        <v>72</v>
      </c>
      <c r="S1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4" s="131">
        <v>15.221518987341771</v>
      </c>
      <c r="U14" s="130"/>
      <c r="V14" s="131">
        <f>VLOOKUP(H14,'Ext. Pa'!$B$3:$C$77,2,FALSE)</f>
        <v>1</v>
      </c>
      <c r="W14" s="130">
        <f>VLOOKUP(I14,'Ext. Pa'!$B$3:$C$77,2,FALSE)</f>
        <v>1</v>
      </c>
      <c r="X14" s="130">
        <f>VLOOKUP(J14,'Ext. Pa'!$B$3:$C$77,2,FALSE)</f>
        <v>0</v>
      </c>
      <c r="Y14" s="130">
        <f>VLOOKUP(K14,'Ext. Pa'!$B$3:$C$77,2,FALSE)</f>
        <v>0</v>
      </c>
      <c r="Z14" s="130">
        <f>VLOOKUP(L14,'Ext. Pa'!$B$3:$C$77,2,FALSE)</f>
        <v>5</v>
      </c>
      <c r="AA14" s="130">
        <f>VLOOKUP(M14,'Ext. Pa'!$B$3:$C$77,2,FALSE)</f>
        <v>5</v>
      </c>
      <c r="AB14" s="130">
        <f>VLOOKUP(N14,'Ext. Pa'!$B$3:$C$77,2,FALSE)</f>
        <v>5</v>
      </c>
      <c r="AC14" s="130">
        <f>VLOOKUP(O14,'Ext. Pa'!$B$3:$C$77,2,FALSE)</f>
        <v>1</v>
      </c>
      <c r="AD14" s="130">
        <f>VLOOKUP(P14,'Ext. Pa'!$B$3:$C$77,2,FALSE)</f>
        <v>5</v>
      </c>
      <c r="AE14" s="130">
        <f>VLOOKUP(Q14,'Ext. Pa'!$B$3:$C$77,2,FALSE)</f>
        <v>6</v>
      </c>
      <c r="AF14" s="132">
        <f t="shared" si="0"/>
        <v>3.25</v>
      </c>
      <c r="AG14" s="134">
        <f>Table2[[#This Row],[Coating defect survey10]]</f>
        <v>1</v>
      </c>
      <c r="AH14" s="134">
        <f>Table2[[#This Row],[CP Level within NACE Criteria4]]</f>
        <v>1</v>
      </c>
      <c r="AI14" s="135">
        <f>IF(Table2[[#This Row],[CP level]]&gt;9.9,1,0)</f>
        <v>0</v>
      </c>
      <c r="AJ14" s="135">
        <f>Table2[[#This Row],[Column3]]*Table2[[#This Row],[Coating defect survey2]]</f>
        <v>0</v>
      </c>
      <c r="AK1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5" spans="1:37" s="100" customFormat="1">
      <c r="A15" s="94">
        <v>1</v>
      </c>
      <c r="B15" s="95" t="s">
        <v>359</v>
      </c>
      <c r="C15" s="96">
        <v>4401</v>
      </c>
      <c r="D15" s="97" t="s">
        <v>234</v>
      </c>
      <c r="E15" s="169"/>
      <c r="F15" s="98">
        <v>2000</v>
      </c>
      <c r="G15" s="98">
        <f>2013-Table2[[#This Row],[Startup Year]]</f>
        <v>13</v>
      </c>
      <c r="H15" s="98" t="s">
        <v>101</v>
      </c>
      <c r="I15" s="98" t="s">
        <v>108</v>
      </c>
      <c r="J15" s="98" t="s">
        <v>118</v>
      </c>
      <c r="K15" s="98">
        <v>0</v>
      </c>
      <c r="L15" s="98" t="s">
        <v>105</v>
      </c>
      <c r="M15" s="98" t="s">
        <v>105</v>
      </c>
      <c r="N15" s="98" t="s">
        <v>105</v>
      </c>
      <c r="O15" s="98" t="s">
        <v>105</v>
      </c>
      <c r="P15" s="98" t="s">
        <v>105</v>
      </c>
      <c r="Q15" s="98" t="s">
        <v>66</v>
      </c>
      <c r="R15" s="98" t="s">
        <v>72</v>
      </c>
      <c r="S1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5" s="98">
        <v>15.221518987341771</v>
      </c>
      <c r="U15" s="98"/>
      <c r="V15" s="98">
        <f>VLOOKUP(H15,'Ext. Pa'!$B$3:$C$77,2,FALSE)</f>
        <v>1</v>
      </c>
      <c r="W15" s="98">
        <f>VLOOKUP(I15,'Ext. Pa'!$B$3:$C$77,2,FALSE)</f>
        <v>1</v>
      </c>
      <c r="X15" s="98">
        <f>VLOOKUP(J15,'Ext. Pa'!$B$3:$C$77,2,FALSE)</f>
        <v>0</v>
      </c>
      <c r="Y15" s="98">
        <f>VLOOKUP(K15,'Ext. Pa'!$B$3:$C$77,2,FALSE)</f>
        <v>0</v>
      </c>
      <c r="Z15" s="98">
        <f>VLOOKUP(L15,'Ext. Pa'!$B$3:$C$77,2,FALSE)</f>
        <v>5</v>
      </c>
      <c r="AA15" s="98">
        <f>VLOOKUP(M15,'Ext. Pa'!$B$3:$C$77,2,FALSE)</f>
        <v>5</v>
      </c>
      <c r="AB15" s="98">
        <f>VLOOKUP(N15,'Ext. Pa'!$B$3:$C$77,2,FALSE)</f>
        <v>5</v>
      </c>
      <c r="AC15" s="98">
        <f>VLOOKUP(O15,'Ext. Pa'!$B$3:$C$77,2,FALSE)</f>
        <v>5</v>
      </c>
      <c r="AD15" s="98">
        <f>VLOOKUP(P15,'Ext. Pa'!$B$3:$C$77,2,FALSE)</f>
        <v>5</v>
      </c>
      <c r="AE15" s="98">
        <f>VLOOKUP(Q15,'Ext. Pa'!$B$3:$C$77,2,FALSE)</f>
        <v>6</v>
      </c>
      <c r="AF15" s="99">
        <f t="shared" ref="AF15:AF27" si="1">IF(G15&lt;40,(G15)/4,40)</f>
        <v>3.25</v>
      </c>
      <c r="AG15" s="134">
        <f>Table2[[#This Row],[Coating defect survey10]]</f>
        <v>5</v>
      </c>
      <c r="AH15" s="134">
        <f>Table2[[#This Row],[CP Level within NACE Criteria4]]</f>
        <v>1</v>
      </c>
      <c r="AI15" s="135">
        <f>IF(Table2[[#This Row],[CP level]]&gt;9.9,1,0)</f>
        <v>0</v>
      </c>
      <c r="AJ15" s="135">
        <f>Table2[[#This Row],[Column3]]*Table2[[#This Row],[Coating defect survey2]]</f>
        <v>0</v>
      </c>
      <c r="AK1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6" spans="1:37" s="100" customFormat="1">
      <c r="A16" s="94">
        <v>1</v>
      </c>
      <c r="B16" s="95" t="s">
        <v>360</v>
      </c>
      <c r="C16" s="96">
        <v>5033</v>
      </c>
      <c r="D16" s="97" t="s">
        <v>235</v>
      </c>
      <c r="E16" s="169"/>
      <c r="F16" s="98">
        <v>2000</v>
      </c>
      <c r="G16" s="98">
        <f>2013-Table2[[#This Row],[Startup Year]]</f>
        <v>13</v>
      </c>
      <c r="H16" s="98" t="s">
        <v>101</v>
      </c>
      <c r="I16" s="98" t="s">
        <v>108</v>
      </c>
      <c r="J16" s="98" t="s">
        <v>118</v>
      </c>
      <c r="K16" s="98">
        <v>0</v>
      </c>
      <c r="L16" s="98" t="s">
        <v>105</v>
      </c>
      <c r="M16" s="98" t="s">
        <v>105</v>
      </c>
      <c r="N16" s="98" t="s">
        <v>105</v>
      </c>
      <c r="O16" s="98" t="s">
        <v>105</v>
      </c>
      <c r="P16" s="98" t="s">
        <v>105</v>
      </c>
      <c r="Q16" s="98" t="s">
        <v>66</v>
      </c>
      <c r="R16" s="98" t="s">
        <v>72</v>
      </c>
      <c r="S1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6" s="98">
        <v>15.221518987341771</v>
      </c>
      <c r="U16" s="98"/>
      <c r="V16" s="98">
        <f>VLOOKUP(H16,'Ext. Pa'!$B$3:$C$77,2,FALSE)</f>
        <v>1</v>
      </c>
      <c r="W16" s="98">
        <f>VLOOKUP(I16,'Ext. Pa'!$B$3:$C$77,2,FALSE)</f>
        <v>1</v>
      </c>
      <c r="X16" s="98">
        <f>VLOOKUP(J16,'Ext. Pa'!$B$3:$C$77,2,FALSE)</f>
        <v>0</v>
      </c>
      <c r="Y16" s="98">
        <f>VLOOKUP(K16,'Ext. Pa'!$B$3:$C$77,2,FALSE)</f>
        <v>0</v>
      </c>
      <c r="Z16" s="98">
        <f>VLOOKUP(L16,'Ext. Pa'!$B$3:$C$77,2,FALSE)</f>
        <v>5</v>
      </c>
      <c r="AA16" s="98">
        <f>VLOOKUP(M16,'Ext. Pa'!$B$3:$C$77,2,FALSE)</f>
        <v>5</v>
      </c>
      <c r="AB16" s="98">
        <f>VLOOKUP(N16,'Ext. Pa'!$B$3:$C$77,2,FALSE)</f>
        <v>5</v>
      </c>
      <c r="AC16" s="98">
        <f>VLOOKUP(O16,'Ext. Pa'!$B$3:$C$77,2,FALSE)</f>
        <v>5</v>
      </c>
      <c r="AD16" s="98">
        <f>VLOOKUP(P16,'Ext. Pa'!$B$3:$C$77,2,FALSE)</f>
        <v>5</v>
      </c>
      <c r="AE16" s="98">
        <f>VLOOKUP(Q16,'Ext. Pa'!$B$3:$C$77,2,FALSE)</f>
        <v>6</v>
      </c>
      <c r="AF16" s="99">
        <f t="shared" si="1"/>
        <v>3.25</v>
      </c>
      <c r="AG16" s="133">
        <f>Table2[[#This Row],[Coating defect survey10]]</f>
        <v>5</v>
      </c>
      <c r="AH16" s="134">
        <f>Table2[[#This Row],[CP Level within NACE Criteria4]]</f>
        <v>1</v>
      </c>
      <c r="AI16" s="135">
        <f>IF(Table2[[#This Row],[CP level]]&gt;9.9,1,0)</f>
        <v>0</v>
      </c>
      <c r="AJ16" s="135">
        <f>Table2[[#This Row],[Column3]]*Table2[[#This Row],[Coating defect survey2]]</f>
        <v>0</v>
      </c>
      <c r="AK1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7" spans="1:37" s="178" customFormat="1">
      <c r="A17" s="172">
        <v>1</v>
      </c>
      <c r="B17" s="173" t="s">
        <v>361</v>
      </c>
      <c r="C17" s="174">
        <v>40231</v>
      </c>
      <c r="D17" s="175" t="s">
        <v>236</v>
      </c>
      <c r="E17" s="176"/>
      <c r="F17" s="176">
        <v>2000</v>
      </c>
      <c r="G17" s="176">
        <f>2013-Table2[[#This Row],[Startup Year]]</f>
        <v>13</v>
      </c>
      <c r="H17" s="176" t="s">
        <v>101</v>
      </c>
      <c r="I17" s="176" t="s">
        <v>108</v>
      </c>
      <c r="J17" s="176" t="s">
        <v>118</v>
      </c>
      <c r="K17" s="176">
        <v>0</v>
      </c>
      <c r="L17" s="176" t="s">
        <v>105</v>
      </c>
      <c r="M17" s="176" t="s">
        <v>105</v>
      </c>
      <c r="N17" s="176" t="s">
        <v>105</v>
      </c>
      <c r="O17" s="176" t="s">
        <v>105</v>
      </c>
      <c r="P17" s="176" t="s">
        <v>105</v>
      </c>
      <c r="Q17" s="176" t="s">
        <v>66</v>
      </c>
      <c r="R17" s="176" t="s">
        <v>72</v>
      </c>
      <c r="S17" s="17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7" s="176">
        <v>15.221518987341771</v>
      </c>
      <c r="U17" s="176"/>
      <c r="V17" s="176">
        <f>VLOOKUP(H17,'Ext. Pa'!$B$3:$C$77,2,FALSE)</f>
        <v>1</v>
      </c>
      <c r="W17" s="176">
        <f>VLOOKUP(I17,'Ext. Pa'!$B$3:$C$77,2,FALSE)</f>
        <v>1</v>
      </c>
      <c r="X17" s="176">
        <f>VLOOKUP(J17,'Ext. Pa'!$B$3:$C$77,2,FALSE)</f>
        <v>0</v>
      </c>
      <c r="Y17" s="176">
        <f>VLOOKUP(K17,'Ext. Pa'!$B$3:$C$77,2,FALSE)</f>
        <v>0</v>
      </c>
      <c r="Z17" s="176">
        <f>VLOOKUP(L17,'Ext. Pa'!$B$3:$C$77,2,FALSE)</f>
        <v>5</v>
      </c>
      <c r="AA17" s="176">
        <f>VLOOKUP(M17,'Ext. Pa'!$B$3:$C$77,2,FALSE)</f>
        <v>5</v>
      </c>
      <c r="AB17" s="176">
        <f>VLOOKUP(N17,'Ext. Pa'!$B$3:$C$77,2,FALSE)</f>
        <v>5</v>
      </c>
      <c r="AC17" s="176">
        <f>VLOOKUP(O17,'Ext. Pa'!$B$3:$C$77,2,FALSE)</f>
        <v>5</v>
      </c>
      <c r="AD17" s="176">
        <f>VLOOKUP(P17,'Ext. Pa'!$B$3:$C$77,2,FALSE)</f>
        <v>5</v>
      </c>
      <c r="AE17" s="176">
        <f>VLOOKUP(Q17,'Ext. Pa'!$B$3:$C$77,2,FALSE)</f>
        <v>6</v>
      </c>
      <c r="AF17" s="177">
        <f t="shared" si="1"/>
        <v>3.25</v>
      </c>
      <c r="AG17" s="134">
        <f>Table2[[#This Row],[Coating defect survey10]]</f>
        <v>5</v>
      </c>
      <c r="AH17" s="134">
        <f>Table2[[#This Row],[CP Level within NACE Criteria4]]</f>
        <v>1</v>
      </c>
      <c r="AI17" s="135">
        <f>IF(Table2[[#This Row],[CP level]]&gt;9.9,1,0)</f>
        <v>0</v>
      </c>
      <c r="AJ17" s="135">
        <f>Table2[[#This Row],[Column3]]*Table2[[#This Row],[Coating defect survey2]]</f>
        <v>0</v>
      </c>
      <c r="AK1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8" spans="1:37" s="100" customFormat="1">
      <c r="A18" s="94">
        <v>1</v>
      </c>
      <c r="B18" s="95" t="s">
        <v>362</v>
      </c>
      <c r="C18" s="96">
        <v>44041</v>
      </c>
      <c r="D18" s="97" t="s">
        <v>237</v>
      </c>
      <c r="E18" s="98"/>
      <c r="F18" s="98">
        <v>2000</v>
      </c>
      <c r="G18" s="98">
        <f>2013-Table2[[#This Row],[Startup Year]]</f>
        <v>13</v>
      </c>
      <c r="H18" s="98" t="s">
        <v>101</v>
      </c>
      <c r="I18" s="98" t="s">
        <v>108</v>
      </c>
      <c r="J18" s="98" t="s">
        <v>118</v>
      </c>
      <c r="K18" s="98">
        <v>0</v>
      </c>
      <c r="L18" s="98" t="s">
        <v>105</v>
      </c>
      <c r="M18" s="98" t="s">
        <v>105</v>
      </c>
      <c r="N18" s="98" t="s">
        <v>105</v>
      </c>
      <c r="O18" s="98" t="s">
        <v>105</v>
      </c>
      <c r="P18" s="98" t="s">
        <v>105</v>
      </c>
      <c r="Q18" s="98" t="s">
        <v>66</v>
      </c>
      <c r="R18" s="98" t="s">
        <v>72</v>
      </c>
      <c r="S1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8" s="98">
        <v>15.221518987341771</v>
      </c>
      <c r="U18" s="98"/>
      <c r="V18" s="98">
        <f>VLOOKUP(H18,'Ext. Pa'!$B$3:$C$77,2,FALSE)</f>
        <v>1</v>
      </c>
      <c r="W18" s="98">
        <f>VLOOKUP(I18,'Ext. Pa'!$B$3:$C$77,2,FALSE)</f>
        <v>1</v>
      </c>
      <c r="X18" s="98">
        <f>VLOOKUP(J18,'Ext. Pa'!$B$3:$C$77,2,FALSE)</f>
        <v>0</v>
      </c>
      <c r="Y18" s="98">
        <f>VLOOKUP(K18,'Ext. Pa'!$B$3:$C$77,2,FALSE)</f>
        <v>0</v>
      </c>
      <c r="Z18" s="98">
        <f>VLOOKUP(L18,'Ext. Pa'!$B$3:$C$77,2,FALSE)</f>
        <v>5</v>
      </c>
      <c r="AA18" s="98">
        <f>VLOOKUP(M18,'Ext. Pa'!$B$3:$C$77,2,FALSE)</f>
        <v>5</v>
      </c>
      <c r="AB18" s="98">
        <f>VLOOKUP(N18,'Ext. Pa'!$B$3:$C$77,2,FALSE)</f>
        <v>5</v>
      </c>
      <c r="AC18" s="98">
        <f>VLOOKUP(O18,'Ext. Pa'!$B$3:$C$77,2,FALSE)</f>
        <v>5</v>
      </c>
      <c r="AD18" s="98">
        <f>VLOOKUP(P18,'Ext. Pa'!$B$3:$C$77,2,FALSE)</f>
        <v>5</v>
      </c>
      <c r="AE18" s="98">
        <f>VLOOKUP(Q18,'Ext. Pa'!$B$3:$C$77,2,FALSE)</f>
        <v>6</v>
      </c>
      <c r="AF18" s="99">
        <f t="shared" si="1"/>
        <v>3.25</v>
      </c>
      <c r="AG18" s="134">
        <f>Table2[[#This Row],[Coating defect survey10]]</f>
        <v>5</v>
      </c>
      <c r="AH18" s="134">
        <f>Table2[[#This Row],[CP Level within NACE Criteria4]]</f>
        <v>1</v>
      </c>
      <c r="AI18" s="135">
        <f>IF(Table2[[#This Row],[CP level]]&gt;9.9,1,0)</f>
        <v>0</v>
      </c>
      <c r="AJ18" s="135">
        <f>Table2[[#This Row],[Column3]]*Table2[[#This Row],[Coating defect survey2]]</f>
        <v>0</v>
      </c>
      <c r="AK1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19" spans="1:37" s="100" customFormat="1">
      <c r="A19" s="128">
        <v>1</v>
      </c>
      <c r="B19" s="129" t="s">
        <v>612</v>
      </c>
      <c r="C19" s="96">
        <v>402330206</v>
      </c>
      <c r="D19" s="97" t="s">
        <v>613</v>
      </c>
      <c r="E19" s="130"/>
      <c r="F19" s="130">
        <v>2000</v>
      </c>
      <c r="G19" s="130">
        <f>2013-Table2[[#This Row],[Startup Year]]</f>
        <v>13</v>
      </c>
      <c r="H19" s="130" t="s">
        <v>101</v>
      </c>
      <c r="I19" s="130" t="s">
        <v>108</v>
      </c>
      <c r="J19" s="130" t="s">
        <v>118</v>
      </c>
      <c r="K19" s="98">
        <v>0</v>
      </c>
      <c r="L19" s="130" t="s">
        <v>105</v>
      </c>
      <c r="M19" s="130" t="s">
        <v>105</v>
      </c>
      <c r="N19" s="130" t="s">
        <v>105</v>
      </c>
      <c r="O19" s="130" t="s">
        <v>105</v>
      </c>
      <c r="P19" s="130" t="s">
        <v>105</v>
      </c>
      <c r="Q19" s="130" t="s">
        <v>66</v>
      </c>
      <c r="R19" s="130" t="s">
        <v>72</v>
      </c>
      <c r="S1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19" s="131">
        <v>15.221518987341771</v>
      </c>
      <c r="U19" s="130"/>
      <c r="V19" s="131">
        <f>VLOOKUP(H19,'Ext. Pa'!$B$3:$C$77,2,FALSE)</f>
        <v>1</v>
      </c>
      <c r="W19" s="130">
        <f>VLOOKUP(I19,'Ext. Pa'!$B$3:$C$77,2,FALSE)</f>
        <v>1</v>
      </c>
      <c r="X19" s="130">
        <f>VLOOKUP(J19,'Ext. Pa'!$B$3:$C$77,2,FALSE)</f>
        <v>0</v>
      </c>
      <c r="Y19" s="130">
        <f>VLOOKUP(K19,'Ext. Pa'!$B$3:$C$77,2,FALSE)</f>
        <v>0</v>
      </c>
      <c r="Z19" s="130">
        <f>VLOOKUP(L19,'Ext. Pa'!$B$3:$C$77,2,FALSE)</f>
        <v>5</v>
      </c>
      <c r="AA19" s="130">
        <f>VLOOKUP(M19,'Ext. Pa'!$B$3:$C$77,2,FALSE)</f>
        <v>5</v>
      </c>
      <c r="AB19" s="130">
        <f>VLOOKUP(N19,'Ext. Pa'!$B$3:$C$77,2,FALSE)</f>
        <v>5</v>
      </c>
      <c r="AC19" s="130">
        <f>VLOOKUP(O19,'Ext. Pa'!$B$3:$C$77,2,FALSE)</f>
        <v>5</v>
      </c>
      <c r="AD19" s="130">
        <f>VLOOKUP(P19,'Ext. Pa'!$B$3:$C$77,2,FALSE)</f>
        <v>5</v>
      </c>
      <c r="AE19" s="130">
        <f>VLOOKUP(Q19,'Ext. Pa'!$B$3:$C$77,2,FALSE)</f>
        <v>6</v>
      </c>
      <c r="AF19" s="132">
        <f t="shared" si="1"/>
        <v>3.25</v>
      </c>
      <c r="AG19" s="134">
        <f>Table2[[#This Row],[Coating defect survey10]]</f>
        <v>5</v>
      </c>
      <c r="AH19" s="134">
        <f>Table2[[#This Row],[CP Level within NACE Criteria4]]</f>
        <v>1</v>
      </c>
      <c r="AI19" s="135">
        <f>IF(Table2[[#This Row],[CP level]]&gt;9.9,1,0)</f>
        <v>0</v>
      </c>
      <c r="AJ19" s="135">
        <f>Table2[[#This Row],[Column3]]*Table2[[#This Row],[Coating defect survey2]]</f>
        <v>0</v>
      </c>
      <c r="AK1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0" spans="1:37" s="100" customFormat="1">
      <c r="A20" s="94">
        <v>1</v>
      </c>
      <c r="B20" s="95" t="s">
        <v>363</v>
      </c>
      <c r="C20" s="96">
        <v>632102</v>
      </c>
      <c r="D20" s="97" t="s">
        <v>238</v>
      </c>
      <c r="E20" s="98"/>
      <c r="F20" s="98">
        <v>2000</v>
      </c>
      <c r="G20" s="98">
        <f>2013-Table2[[#This Row],[Startup Year]]</f>
        <v>13</v>
      </c>
      <c r="H20" s="98" t="s">
        <v>101</v>
      </c>
      <c r="I20" s="98" t="s">
        <v>108</v>
      </c>
      <c r="J20" s="98" t="s">
        <v>118</v>
      </c>
      <c r="K20" s="98">
        <v>0</v>
      </c>
      <c r="L20" s="98" t="s">
        <v>105</v>
      </c>
      <c r="M20" s="98" t="s">
        <v>105</v>
      </c>
      <c r="N20" s="98" t="s">
        <v>105</v>
      </c>
      <c r="O20" s="98" t="s">
        <v>105</v>
      </c>
      <c r="P20" s="98" t="s">
        <v>105</v>
      </c>
      <c r="Q20" s="98" t="s">
        <v>66</v>
      </c>
      <c r="R20" s="98" t="s">
        <v>72</v>
      </c>
      <c r="S2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0" s="98">
        <v>15.221518987341771</v>
      </c>
      <c r="U20" s="98"/>
      <c r="V20" s="98">
        <f>VLOOKUP(H20,'Ext. Pa'!$B$3:$C$77,2,FALSE)</f>
        <v>1</v>
      </c>
      <c r="W20" s="98">
        <f>VLOOKUP(I20,'Ext. Pa'!$B$3:$C$77,2,FALSE)</f>
        <v>1</v>
      </c>
      <c r="X20" s="98">
        <f>VLOOKUP(J20,'Ext. Pa'!$B$3:$C$77,2,FALSE)</f>
        <v>0</v>
      </c>
      <c r="Y20" s="98">
        <f>VLOOKUP(K20,'Ext. Pa'!$B$3:$C$77,2,FALSE)</f>
        <v>0</v>
      </c>
      <c r="Z20" s="98">
        <f>VLOOKUP(L20,'Ext. Pa'!$B$3:$C$77,2,FALSE)</f>
        <v>5</v>
      </c>
      <c r="AA20" s="98">
        <f>VLOOKUP(M20,'Ext. Pa'!$B$3:$C$77,2,FALSE)</f>
        <v>5</v>
      </c>
      <c r="AB20" s="98">
        <f>VLOOKUP(N20,'Ext. Pa'!$B$3:$C$77,2,FALSE)</f>
        <v>5</v>
      </c>
      <c r="AC20" s="98">
        <f>VLOOKUP(O20,'Ext. Pa'!$B$3:$C$77,2,FALSE)</f>
        <v>5</v>
      </c>
      <c r="AD20" s="98">
        <f>VLOOKUP(P20,'Ext. Pa'!$B$3:$C$77,2,FALSE)</f>
        <v>5</v>
      </c>
      <c r="AE20" s="98">
        <f>VLOOKUP(Q20,'Ext. Pa'!$B$3:$C$77,2,FALSE)</f>
        <v>6</v>
      </c>
      <c r="AF20" s="99">
        <f t="shared" si="1"/>
        <v>3.25</v>
      </c>
      <c r="AG20" s="134">
        <f>Table2[[#This Row],[Coating defect survey10]]</f>
        <v>5</v>
      </c>
      <c r="AH20" s="134">
        <f>Table2[[#This Row],[CP Level within NACE Criteria4]]</f>
        <v>1</v>
      </c>
      <c r="AI20" s="135">
        <f>IF(Table2[[#This Row],[CP level]]&gt;9.9,1,0)</f>
        <v>0</v>
      </c>
      <c r="AJ20" s="135">
        <f>Table2[[#This Row],[Column3]]*Table2[[#This Row],[Coating defect survey2]]</f>
        <v>0</v>
      </c>
      <c r="AK2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1" spans="1:37" s="100" customFormat="1">
      <c r="A21" s="128">
        <v>1</v>
      </c>
      <c r="B21" s="129"/>
      <c r="C21" s="96" t="s">
        <v>888</v>
      </c>
      <c r="D21" s="97" t="s">
        <v>568</v>
      </c>
      <c r="E21" s="130"/>
      <c r="F21" s="130">
        <v>2000</v>
      </c>
      <c r="G21" s="130">
        <f>2013-Table2[[#This Row],[Startup Year]]</f>
        <v>13</v>
      </c>
      <c r="H21" s="130" t="s">
        <v>101</v>
      </c>
      <c r="I21" s="130" t="s">
        <v>108</v>
      </c>
      <c r="J21" s="130" t="s">
        <v>118</v>
      </c>
      <c r="K21" s="98">
        <v>0</v>
      </c>
      <c r="L21" s="130" t="s">
        <v>105</v>
      </c>
      <c r="M21" s="130" t="s">
        <v>105</v>
      </c>
      <c r="N21" s="130" t="s">
        <v>105</v>
      </c>
      <c r="O21" s="130" t="s">
        <v>143</v>
      </c>
      <c r="P21" s="130" t="s">
        <v>105</v>
      </c>
      <c r="Q21" s="130" t="s">
        <v>66</v>
      </c>
      <c r="R21" s="130" t="s">
        <v>72</v>
      </c>
      <c r="S2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1" s="131">
        <v>15.221518987341771</v>
      </c>
      <c r="U21" s="130"/>
      <c r="V21" s="131">
        <f>VLOOKUP(H21,'Ext. Pa'!$B$3:$C$77,2,FALSE)</f>
        <v>1</v>
      </c>
      <c r="W21" s="130">
        <f>VLOOKUP(I21,'Ext. Pa'!$B$3:$C$77,2,FALSE)</f>
        <v>1</v>
      </c>
      <c r="X21" s="130">
        <f>VLOOKUP(J21,'Ext. Pa'!$B$3:$C$77,2,FALSE)</f>
        <v>0</v>
      </c>
      <c r="Y21" s="130">
        <f>VLOOKUP(K21,'Ext. Pa'!$B$3:$C$77,2,FALSE)</f>
        <v>0</v>
      </c>
      <c r="Z21" s="130">
        <f>VLOOKUP(L21,'Ext. Pa'!$B$3:$C$77,2,FALSE)</f>
        <v>5</v>
      </c>
      <c r="AA21" s="130">
        <f>VLOOKUP(M21,'Ext. Pa'!$B$3:$C$77,2,FALSE)</f>
        <v>5</v>
      </c>
      <c r="AB21" s="130">
        <f>VLOOKUP(N21,'Ext. Pa'!$B$3:$C$77,2,FALSE)</f>
        <v>5</v>
      </c>
      <c r="AC21" s="130">
        <f>VLOOKUP(O21,'Ext. Pa'!$B$3:$C$77,2,FALSE)</f>
        <v>1</v>
      </c>
      <c r="AD21" s="130">
        <f>VLOOKUP(P21,'Ext. Pa'!$B$3:$C$77,2,FALSE)</f>
        <v>5</v>
      </c>
      <c r="AE21" s="130">
        <f>VLOOKUP(Q21,'Ext. Pa'!$B$3:$C$77,2,FALSE)</f>
        <v>6</v>
      </c>
      <c r="AF21" s="132">
        <f t="shared" si="1"/>
        <v>3.25</v>
      </c>
      <c r="AG21" s="134">
        <f>Table2[[#This Row],[Coating defect survey10]]</f>
        <v>1</v>
      </c>
      <c r="AH21" s="134">
        <f>Table2[[#This Row],[CP Level within NACE Criteria4]]</f>
        <v>1</v>
      </c>
      <c r="AI21" s="135">
        <f>IF(Table2[[#This Row],[CP level]]&gt;9.9,1,0)</f>
        <v>0</v>
      </c>
      <c r="AJ21" s="135">
        <f>Table2[[#This Row],[Column3]]*Table2[[#This Row],[Coating defect survey2]]</f>
        <v>0</v>
      </c>
      <c r="AK2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2" spans="1:37" s="100" customFormat="1">
      <c r="A22" s="128">
        <v>1</v>
      </c>
      <c r="B22" s="129"/>
      <c r="C22" s="96" t="s">
        <v>889</v>
      </c>
      <c r="D22" s="97" t="s">
        <v>569</v>
      </c>
      <c r="E22" s="130"/>
      <c r="F22" s="130">
        <v>2000</v>
      </c>
      <c r="G22" s="130">
        <f>2013-Table2[[#This Row],[Startup Year]]</f>
        <v>13</v>
      </c>
      <c r="H22" s="130" t="s">
        <v>101</v>
      </c>
      <c r="I22" s="130" t="s">
        <v>108</v>
      </c>
      <c r="J22" s="130" t="s">
        <v>118</v>
      </c>
      <c r="K22" s="98">
        <v>0</v>
      </c>
      <c r="L22" s="130" t="s">
        <v>105</v>
      </c>
      <c r="M22" s="130" t="s">
        <v>105</v>
      </c>
      <c r="N22" s="130" t="s">
        <v>105</v>
      </c>
      <c r="O22" s="130" t="s">
        <v>143</v>
      </c>
      <c r="P22" s="130" t="s">
        <v>105</v>
      </c>
      <c r="Q22" s="130" t="s">
        <v>66</v>
      </c>
      <c r="R22" s="130" t="s">
        <v>72</v>
      </c>
      <c r="S2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2" s="131">
        <v>15.221518987341771</v>
      </c>
      <c r="U22" s="130"/>
      <c r="V22" s="131">
        <f>VLOOKUP(H22,'Ext. Pa'!$B$3:$C$77,2,FALSE)</f>
        <v>1</v>
      </c>
      <c r="W22" s="130">
        <f>VLOOKUP(I22,'Ext. Pa'!$B$3:$C$77,2,FALSE)</f>
        <v>1</v>
      </c>
      <c r="X22" s="130">
        <f>VLOOKUP(J22,'Ext. Pa'!$B$3:$C$77,2,FALSE)</f>
        <v>0</v>
      </c>
      <c r="Y22" s="130">
        <f>VLOOKUP(K22,'Ext. Pa'!$B$3:$C$77,2,FALSE)</f>
        <v>0</v>
      </c>
      <c r="Z22" s="130">
        <f>VLOOKUP(L22,'Ext. Pa'!$B$3:$C$77,2,FALSE)</f>
        <v>5</v>
      </c>
      <c r="AA22" s="130">
        <f>VLOOKUP(M22,'Ext. Pa'!$B$3:$C$77,2,FALSE)</f>
        <v>5</v>
      </c>
      <c r="AB22" s="130">
        <f>VLOOKUP(N22,'Ext. Pa'!$B$3:$C$77,2,FALSE)</f>
        <v>5</v>
      </c>
      <c r="AC22" s="130">
        <f>VLOOKUP(O22,'Ext. Pa'!$B$3:$C$77,2,FALSE)</f>
        <v>1</v>
      </c>
      <c r="AD22" s="130">
        <f>VLOOKUP(P22,'Ext. Pa'!$B$3:$C$77,2,FALSE)</f>
        <v>5</v>
      </c>
      <c r="AE22" s="130">
        <f>VLOOKUP(Q22,'Ext. Pa'!$B$3:$C$77,2,FALSE)</f>
        <v>6</v>
      </c>
      <c r="AF22" s="132">
        <f t="shared" si="1"/>
        <v>3.25</v>
      </c>
      <c r="AG22" s="134">
        <f>Table2[[#This Row],[Coating defect survey10]]</f>
        <v>1</v>
      </c>
      <c r="AH22" s="134">
        <f>Table2[[#This Row],[CP Level within NACE Criteria4]]</f>
        <v>1</v>
      </c>
      <c r="AI22" s="135">
        <f>IF(Table2[[#This Row],[CP level]]&gt;9.9,1,0)</f>
        <v>0</v>
      </c>
      <c r="AJ22" s="135">
        <f>Table2[[#This Row],[Column3]]*Table2[[#This Row],[Coating defect survey2]]</f>
        <v>0</v>
      </c>
      <c r="AK2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3" spans="1:37" s="100" customFormat="1">
      <c r="A23" s="128">
        <v>1</v>
      </c>
      <c r="B23" s="129"/>
      <c r="C23" s="96" t="s">
        <v>890</v>
      </c>
      <c r="D23" s="97" t="s">
        <v>572</v>
      </c>
      <c r="E23" s="130"/>
      <c r="F23" s="130">
        <v>2000</v>
      </c>
      <c r="G23" s="130">
        <f>2013-Table2[[#This Row],[Startup Year]]</f>
        <v>13</v>
      </c>
      <c r="H23" s="130" t="s">
        <v>101</v>
      </c>
      <c r="I23" s="130" t="s">
        <v>108</v>
      </c>
      <c r="J23" s="130" t="s">
        <v>118</v>
      </c>
      <c r="K23" s="98">
        <v>0</v>
      </c>
      <c r="L23" s="130" t="s">
        <v>105</v>
      </c>
      <c r="M23" s="130" t="s">
        <v>105</v>
      </c>
      <c r="N23" s="130" t="s">
        <v>105</v>
      </c>
      <c r="O23" s="130" t="s">
        <v>143</v>
      </c>
      <c r="P23" s="130" t="s">
        <v>105</v>
      </c>
      <c r="Q23" s="130" t="s">
        <v>66</v>
      </c>
      <c r="R23" s="130" t="s">
        <v>72</v>
      </c>
      <c r="S2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3" s="131">
        <v>15.221518987341771</v>
      </c>
      <c r="U23" s="130"/>
      <c r="V23" s="131">
        <f>VLOOKUP(H23,'Ext. Pa'!$B$3:$C$77,2,FALSE)</f>
        <v>1</v>
      </c>
      <c r="W23" s="130">
        <f>VLOOKUP(I23,'Ext. Pa'!$B$3:$C$77,2,FALSE)</f>
        <v>1</v>
      </c>
      <c r="X23" s="130">
        <f>VLOOKUP(J23,'Ext. Pa'!$B$3:$C$77,2,FALSE)</f>
        <v>0</v>
      </c>
      <c r="Y23" s="130">
        <f>VLOOKUP(K23,'Ext. Pa'!$B$3:$C$77,2,FALSE)</f>
        <v>0</v>
      </c>
      <c r="Z23" s="130">
        <f>VLOOKUP(L23,'Ext. Pa'!$B$3:$C$77,2,FALSE)</f>
        <v>5</v>
      </c>
      <c r="AA23" s="130">
        <f>VLOOKUP(M23,'Ext. Pa'!$B$3:$C$77,2,FALSE)</f>
        <v>5</v>
      </c>
      <c r="AB23" s="130">
        <f>VLOOKUP(N23,'Ext. Pa'!$B$3:$C$77,2,FALSE)</f>
        <v>5</v>
      </c>
      <c r="AC23" s="130">
        <f>VLOOKUP(O23,'Ext. Pa'!$B$3:$C$77,2,FALSE)</f>
        <v>1</v>
      </c>
      <c r="AD23" s="130">
        <f>VLOOKUP(P23,'Ext. Pa'!$B$3:$C$77,2,FALSE)</f>
        <v>5</v>
      </c>
      <c r="AE23" s="130">
        <f>VLOOKUP(Q23,'Ext. Pa'!$B$3:$C$77,2,FALSE)</f>
        <v>6</v>
      </c>
      <c r="AF23" s="132">
        <f t="shared" si="1"/>
        <v>3.25</v>
      </c>
      <c r="AG23" s="134">
        <f>Table2[[#This Row],[Coating defect survey10]]</f>
        <v>1</v>
      </c>
      <c r="AH23" s="134">
        <f>Table2[[#This Row],[CP Level within NACE Criteria4]]</f>
        <v>1</v>
      </c>
      <c r="AI23" s="135">
        <f>IF(Table2[[#This Row],[CP level]]&gt;9.9,1,0)</f>
        <v>0</v>
      </c>
      <c r="AJ23" s="135">
        <f>Table2[[#This Row],[Column3]]*Table2[[#This Row],[Coating defect survey2]]</f>
        <v>0</v>
      </c>
      <c r="AK2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4" spans="1:37" s="100" customFormat="1">
      <c r="A24" s="128">
        <v>1</v>
      </c>
      <c r="B24" s="129"/>
      <c r="C24" s="96" t="s">
        <v>891</v>
      </c>
      <c r="D24" s="97" t="s">
        <v>579</v>
      </c>
      <c r="E24" s="130"/>
      <c r="F24" s="130">
        <v>2000</v>
      </c>
      <c r="G24" s="130">
        <f>2013-Table2[[#This Row],[Startup Year]]</f>
        <v>13</v>
      </c>
      <c r="H24" s="130" t="s">
        <v>101</v>
      </c>
      <c r="I24" s="130" t="s">
        <v>108</v>
      </c>
      <c r="J24" s="130" t="s">
        <v>118</v>
      </c>
      <c r="K24" s="98">
        <v>0</v>
      </c>
      <c r="L24" s="130" t="s">
        <v>105</v>
      </c>
      <c r="M24" s="130" t="s">
        <v>105</v>
      </c>
      <c r="N24" s="130" t="s">
        <v>105</v>
      </c>
      <c r="O24" s="130" t="s">
        <v>143</v>
      </c>
      <c r="P24" s="130" t="s">
        <v>105</v>
      </c>
      <c r="Q24" s="130" t="s">
        <v>66</v>
      </c>
      <c r="R24" s="130" t="s">
        <v>72</v>
      </c>
      <c r="S2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4" s="98">
        <v>15.221518987341771</v>
      </c>
      <c r="U24" s="130"/>
      <c r="V24" s="131">
        <f>VLOOKUP(H24,'Ext. Pa'!$B$3:$C$77,2,FALSE)</f>
        <v>1</v>
      </c>
      <c r="W24" s="130">
        <f>VLOOKUP(I24,'Ext. Pa'!$B$3:$C$77,2,FALSE)</f>
        <v>1</v>
      </c>
      <c r="X24" s="130">
        <f>VLOOKUP(J24,'Ext. Pa'!$B$3:$C$77,2,FALSE)</f>
        <v>0</v>
      </c>
      <c r="Y24" s="130">
        <f>VLOOKUP(K24,'Ext. Pa'!$B$3:$C$77,2,FALSE)</f>
        <v>0</v>
      </c>
      <c r="Z24" s="130">
        <f>VLOOKUP(L24,'Ext. Pa'!$B$3:$C$77,2,FALSE)</f>
        <v>5</v>
      </c>
      <c r="AA24" s="130">
        <f>VLOOKUP(M24,'Ext. Pa'!$B$3:$C$77,2,FALSE)</f>
        <v>5</v>
      </c>
      <c r="AB24" s="130">
        <f>VLOOKUP(N24,'Ext. Pa'!$B$3:$C$77,2,FALSE)</f>
        <v>5</v>
      </c>
      <c r="AC24" s="130">
        <f>VLOOKUP(O24,'Ext. Pa'!$B$3:$C$77,2,FALSE)</f>
        <v>1</v>
      </c>
      <c r="AD24" s="130">
        <f>VLOOKUP(P24,'Ext. Pa'!$B$3:$C$77,2,FALSE)</f>
        <v>5</v>
      </c>
      <c r="AE24" s="130">
        <f>VLOOKUP(Q24,'Ext. Pa'!$B$3:$C$77,2,FALSE)</f>
        <v>6</v>
      </c>
      <c r="AF24" s="132">
        <f t="shared" si="1"/>
        <v>3.25</v>
      </c>
      <c r="AG24" s="133">
        <f>Table2[[#This Row],[Coating defect survey10]]</f>
        <v>1</v>
      </c>
      <c r="AH24" s="134">
        <f>Table2[[#This Row],[CP Level within NACE Criteria4]]</f>
        <v>1</v>
      </c>
      <c r="AI24" s="135">
        <f>IF(Table2[[#This Row],[CP level]]&gt;9.9,1,0)</f>
        <v>0</v>
      </c>
      <c r="AJ24" s="135">
        <f>Table2[[#This Row],[Column3]]*Table2[[#This Row],[Coating defect survey2]]</f>
        <v>0</v>
      </c>
      <c r="AK2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5" spans="1:37" s="100" customFormat="1">
      <c r="A25" s="128">
        <v>1</v>
      </c>
      <c r="B25" s="129"/>
      <c r="C25" s="96" t="s">
        <v>892</v>
      </c>
      <c r="D25" s="97" t="s">
        <v>580</v>
      </c>
      <c r="E25" s="130"/>
      <c r="F25" s="130">
        <v>2000</v>
      </c>
      <c r="G25" s="130">
        <f>2013-Table2[[#This Row],[Startup Year]]</f>
        <v>13</v>
      </c>
      <c r="H25" s="130" t="s">
        <v>101</v>
      </c>
      <c r="I25" s="130" t="s">
        <v>108</v>
      </c>
      <c r="J25" s="130" t="s">
        <v>118</v>
      </c>
      <c r="K25" s="98">
        <v>0</v>
      </c>
      <c r="L25" s="130" t="s">
        <v>105</v>
      </c>
      <c r="M25" s="130" t="s">
        <v>105</v>
      </c>
      <c r="N25" s="130" t="s">
        <v>105</v>
      </c>
      <c r="O25" s="130" t="s">
        <v>144</v>
      </c>
      <c r="P25" s="130" t="s">
        <v>105</v>
      </c>
      <c r="Q25" s="130" t="s">
        <v>66</v>
      </c>
      <c r="R25" s="130" t="s">
        <v>72</v>
      </c>
      <c r="S2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5" s="98">
        <v>15.221518987341771</v>
      </c>
      <c r="U25" s="130"/>
      <c r="V25" s="131">
        <f>VLOOKUP(H25,'Ext. Pa'!$B$3:$C$77,2,FALSE)</f>
        <v>1</v>
      </c>
      <c r="W25" s="130">
        <f>VLOOKUP(I25,'Ext. Pa'!$B$3:$C$77,2,FALSE)</f>
        <v>1</v>
      </c>
      <c r="X25" s="130">
        <f>VLOOKUP(J25,'Ext. Pa'!$B$3:$C$77,2,FALSE)</f>
        <v>0</v>
      </c>
      <c r="Y25" s="130">
        <f>VLOOKUP(K25,'Ext. Pa'!$B$3:$C$77,2,FALSE)</f>
        <v>0</v>
      </c>
      <c r="Z25" s="130">
        <f>VLOOKUP(L25,'Ext. Pa'!$B$3:$C$77,2,FALSE)</f>
        <v>5</v>
      </c>
      <c r="AA25" s="130">
        <f>VLOOKUP(M25,'Ext. Pa'!$B$3:$C$77,2,FALSE)</f>
        <v>5</v>
      </c>
      <c r="AB25" s="130">
        <f>VLOOKUP(N25,'Ext. Pa'!$B$3:$C$77,2,FALSE)</f>
        <v>5</v>
      </c>
      <c r="AC25" s="130">
        <f>VLOOKUP(O25,'Ext. Pa'!$B$3:$C$77,2,FALSE)</f>
        <v>3</v>
      </c>
      <c r="AD25" s="130">
        <f>VLOOKUP(P25,'Ext. Pa'!$B$3:$C$77,2,FALSE)</f>
        <v>5</v>
      </c>
      <c r="AE25" s="130">
        <f>VLOOKUP(Q25,'Ext. Pa'!$B$3:$C$77,2,FALSE)</f>
        <v>6</v>
      </c>
      <c r="AF25" s="132">
        <f t="shared" si="1"/>
        <v>3.25</v>
      </c>
      <c r="AG25" s="133">
        <f>Table2[[#This Row],[Coating defect survey10]]</f>
        <v>3</v>
      </c>
      <c r="AH25" s="134">
        <f>Table2[[#This Row],[CP Level within NACE Criteria4]]</f>
        <v>1</v>
      </c>
      <c r="AI25" s="135">
        <f>IF(Table2[[#This Row],[CP level]]&gt;9.9,1,0)</f>
        <v>0</v>
      </c>
      <c r="AJ25" s="135">
        <f>Table2[[#This Row],[Column3]]*Table2[[#This Row],[Coating defect survey2]]</f>
        <v>0</v>
      </c>
      <c r="AK2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6" spans="1:37" s="100" customFormat="1">
      <c r="A26" s="128">
        <v>1</v>
      </c>
      <c r="B26" s="129"/>
      <c r="C26" s="96" t="s">
        <v>893</v>
      </c>
      <c r="D26" s="97" t="s">
        <v>581</v>
      </c>
      <c r="E26" s="130"/>
      <c r="F26" s="130">
        <v>2000</v>
      </c>
      <c r="G26" s="130">
        <f>2013-Table2[[#This Row],[Startup Year]]</f>
        <v>13</v>
      </c>
      <c r="H26" s="130" t="s">
        <v>101</v>
      </c>
      <c r="I26" s="130" t="s">
        <v>108</v>
      </c>
      <c r="J26" s="130" t="s">
        <v>118</v>
      </c>
      <c r="K26" s="98">
        <v>0</v>
      </c>
      <c r="L26" s="130" t="s">
        <v>105</v>
      </c>
      <c r="M26" s="130" t="s">
        <v>105</v>
      </c>
      <c r="N26" s="130" t="s">
        <v>105</v>
      </c>
      <c r="O26" s="130" t="s">
        <v>144</v>
      </c>
      <c r="P26" s="130" t="s">
        <v>105</v>
      </c>
      <c r="Q26" s="130" t="s">
        <v>66</v>
      </c>
      <c r="R26" s="130" t="s">
        <v>72</v>
      </c>
      <c r="S2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6" s="98">
        <v>15.221518987341771</v>
      </c>
      <c r="U26" s="130"/>
      <c r="V26" s="131">
        <f>VLOOKUP(H26,'Ext. Pa'!$B$3:$C$77,2,FALSE)</f>
        <v>1</v>
      </c>
      <c r="W26" s="130">
        <f>VLOOKUP(I26,'Ext. Pa'!$B$3:$C$77,2,FALSE)</f>
        <v>1</v>
      </c>
      <c r="X26" s="130">
        <f>VLOOKUP(J26,'Ext. Pa'!$B$3:$C$77,2,FALSE)</f>
        <v>0</v>
      </c>
      <c r="Y26" s="130">
        <f>VLOOKUP(K26,'Ext. Pa'!$B$3:$C$77,2,FALSE)</f>
        <v>0</v>
      </c>
      <c r="Z26" s="130">
        <f>VLOOKUP(L26,'Ext. Pa'!$B$3:$C$77,2,FALSE)</f>
        <v>5</v>
      </c>
      <c r="AA26" s="130">
        <f>VLOOKUP(M26,'Ext. Pa'!$B$3:$C$77,2,FALSE)</f>
        <v>5</v>
      </c>
      <c r="AB26" s="130">
        <f>VLOOKUP(N26,'Ext. Pa'!$B$3:$C$77,2,FALSE)</f>
        <v>5</v>
      </c>
      <c r="AC26" s="130">
        <f>VLOOKUP(O26,'Ext. Pa'!$B$3:$C$77,2,FALSE)</f>
        <v>3</v>
      </c>
      <c r="AD26" s="130">
        <f>VLOOKUP(P26,'Ext. Pa'!$B$3:$C$77,2,FALSE)</f>
        <v>5</v>
      </c>
      <c r="AE26" s="130">
        <f>VLOOKUP(Q26,'Ext. Pa'!$B$3:$C$77,2,FALSE)</f>
        <v>6</v>
      </c>
      <c r="AF26" s="132">
        <f t="shared" si="1"/>
        <v>3.25</v>
      </c>
      <c r="AG26" s="133">
        <f>Table2[[#This Row],[Coating defect survey10]]</f>
        <v>3</v>
      </c>
      <c r="AH26" s="134">
        <f>Table2[[#This Row],[CP Level within NACE Criteria4]]</f>
        <v>1</v>
      </c>
      <c r="AI26" s="135">
        <f>IF(Table2[[#This Row],[CP level]]&gt;9.9,1,0)</f>
        <v>0</v>
      </c>
      <c r="AJ26" s="135">
        <f>Table2[[#This Row],[Column3]]*Table2[[#This Row],[Coating defect survey2]]</f>
        <v>0</v>
      </c>
      <c r="AK2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7" spans="1:37" s="100" customFormat="1">
      <c r="A27" s="128">
        <v>1</v>
      </c>
      <c r="B27" s="129"/>
      <c r="C27" s="96" t="s">
        <v>894</v>
      </c>
      <c r="D27" s="97" t="s">
        <v>582</v>
      </c>
      <c r="E27" s="130"/>
      <c r="F27" s="130">
        <v>2000</v>
      </c>
      <c r="G27" s="130">
        <f>2013-Table2[[#This Row],[Startup Year]]</f>
        <v>13</v>
      </c>
      <c r="H27" s="130" t="s">
        <v>101</v>
      </c>
      <c r="I27" s="130" t="s">
        <v>108</v>
      </c>
      <c r="J27" s="130" t="s">
        <v>118</v>
      </c>
      <c r="K27" s="98">
        <v>0</v>
      </c>
      <c r="L27" s="130" t="s">
        <v>105</v>
      </c>
      <c r="M27" s="130" t="s">
        <v>105</v>
      </c>
      <c r="N27" s="130" t="s">
        <v>105</v>
      </c>
      <c r="O27" s="130" t="s">
        <v>144</v>
      </c>
      <c r="P27" s="130" t="s">
        <v>105</v>
      </c>
      <c r="Q27" s="130" t="s">
        <v>66</v>
      </c>
      <c r="R27" s="130" t="s">
        <v>72</v>
      </c>
      <c r="S2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7" s="131">
        <v>15.221518987341771</v>
      </c>
      <c r="U27" s="130"/>
      <c r="V27" s="131">
        <f>VLOOKUP(H27,'Ext. Pa'!$B$3:$C$77,2,FALSE)</f>
        <v>1</v>
      </c>
      <c r="W27" s="130">
        <f>VLOOKUP(I27,'Ext. Pa'!$B$3:$C$77,2,FALSE)</f>
        <v>1</v>
      </c>
      <c r="X27" s="130">
        <f>VLOOKUP(J27,'Ext. Pa'!$B$3:$C$77,2,FALSE)</f>
        <v>0</v>
      </c>
      <c r="Y27" s="130">
        <f>VLOOKUP(K27,'Ext. Pa'!$B$3:$C$77,2,FALSE)</f>
        <v>0</v>
      </c>
      <c r="Z27" s="130">
        <f>VLOOKUP(L27,'Ext. Pa'!$B$3:$C$77,2,FALSE)</f>
        <v>5</v>
      </c>
      <c r="AA27" s="130">
        <f>VLOOKUP(M27,'Ext. Pa'!$B$3:$C$77,2,FALSE)</f>
        <v>5</v>
      </c>
      <c r="AB27" s="130">
        <f>VLOOKUP(N27,'Ext. Pa'!$B$3:$C$77,2,FALSE)</f>
        <v>5</v>
      </c>
      <c r="AC27" s="130">
        <f>VLOOKUP(O27,'Ext. Pa'!$B$3:$C$77,2,FALSE)</f>
        <v>3</v>
      </c>
      <c r="AD27" s="130">
        <f>VLOOKUP(P27,'Ext. Pa'!$B$3:$C$77,2,FALSE)</f>
        <v>5</v>
      </c>
      <c r="AE27" s="130">
        <f>VLOOKUP(Q27,'Ext. Pa'!$B$3:$C$77,2,FALSE)</f>
        <v>6</v>
      </c>
      <c r="AF27" s="132">
        <f t="shared" si="1"/>
        <v>3.25</v>
      </c>
      <c r="AG27" s="134">
        <f>Table2[[#This Row],[Coating defect survey10]]</f>
        <v>3</v>
      </c>
      <c r="AH27" s="134">
        <f>Table2[[#This Row],[CP Level within NACE Criteria4]]</f>
        <v>1</v>
      </c>
      <c r="AI27" s="135">
        <f>IF(Table2[[#This Row],[CP level]]&gt;9.9,1,0)</f>
        <v>0</v>
      </c>
      <c r="AJ27" s="135">
        <f>Table2[[#This Row],[Column3]]*Table2[[#This Row],[Coating defect survey2]]</f>
        <v>0</v>
      </c>
      <c r="AK2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8" spans="1:37" s="100" customFormat="1">
      <c r="A28" s="179">
        <v>1</v>
      </c>
      <c r="B28" s="180"/>
      <c r="C28" s="181" t="s">
        <v>895</v>
      </c>
      <c r="D28" s="182" t="s">
        <v>587</v>
      </c>
      <c r="E28" s="183"/>
      <c r="F28" s="183">
        <v>2000</v>
      </c>
      <c r="G28" s="183">
        <f>2013-Table2[[#This Row],[Startup Year]]</f>
        <v>13</v>
      </c>
      <c r="H28" s="183" t="s">
        <v>101</v>
      </c>
      <c r="I28" s="183" t="s">
        <v>108</v>
      </c>
      <c r="J28" s="183" t="s">
        <v>118</v>
      </c>
      <c r="K28" s="98">
        <v>0</v>
      </c>
      <c r="L28" s="183" t="s">
        <v>105</v>
      </c>
      <c r="M28" s="183" t="s">
        <v>105</v>
      </c>
      <c r="N28" s="183" t="s">
        <v>105</v>
      </c>
      <c r="O28" s="183" t="s">
        <v>143</v>
      </c>
      <c r="P28" s="183" t="s">
        <v>105</v>
      </c>
      <c r="Q28" s="183" t="s">
        <v>66</v>
      </c>
      <c r="R28" s="183" t="s">
        <v>72</v>
      </c>
      <c r="S28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8" s="184">
        <v>15.221518987341771</v>
      </c>
      <c r="U28" s="183"/>
      <c r="V28" s="184">
        <f>VLOOKUP(H28,'Ext. Pa'!$B$3:$C$77,2,FALSE)</f>
        <v>1</v>
      </c>
      <c r="W28" s="183">
        <f>VLOOKUP(I28,'Ext. Pa'!$B$3:$C$77,2,FALSE)</f>
        <v>1</v>
      </c>
      <c r="X28" s="183">
        <f>VLOOKUP(J28,'Ext. Pa'!$B$3:$C$77,2,FALSE)</f>
        <v>0</v>
      </c>
      <c r="Y28" s="183">
        <f>VLOOKUP(K28,'Ext. Pa'!$B$3:$C$77,2,FALSE)</f>
        <v>0</v>
      </c>
      <c r="Z28" s="183">
        <f>VLOOKUP(L28,'Ext. Pa'!$B$3:$C$77,2,FALSE)</f>
        <v>5</v>
      </c>
      <c r="AA28" s="183">
        <f>VLOOKUP(M28,'Ext. Pa'!$B$3:$C$77,2,FALSE)</f>
        <v>5</v>
      </c>
      <c r="AB28" s="183">
        <f>VLOOKUP(N28,'Ext. Pa'!$B$3:$C$77,2,FALSE)</f>
        <v>5</v>
      </c>
      <c r="AC28" s="183">
        <f>VLOOKUP(O28,'Ext. Pa'!$B$3:$C$77,2,FALSE)</f>
        <v>1</v>
      </c>
      <c r="AD28" s="183">
        <f>VLOOKUP(P28,'Ext. Pa'!$B$3:$C$77,2,FALSE)</f>
        <v>5</v>
      </c>
      <c r="AE28" s="183">
        <f>VLOOKUP(Q28,'Ext. Pa'!$B$3:$C$77,2,FALSE)</f>
        <v>6</v>
      </c>
      <c r="AF28" s="185">
        <f t="shared" ref="AF28:AF38" si="2">IF(G28&lt;40,(G28)/4,40)</f>
        <v>3.25</v>
      </c>
      <c r="AG28" s="134">
        <f>Table2[[#This Row],[Coating defect survey10]]</f>
        <v>1</v>
      </c>
      <c r="AH28" s="134">
        <f>Table2[[#This Row],[CP Level within NACE Criteria4]]</f>
        <v>1</v>
      </c>
      <c r="AI28" s="135">
        <f>IF(Table2[[#This Row],[CP level]]&gt;9.9,1,0)</f>
        <v>0</v>
      </c>
      <c r="AJ28" s="135">
        <f>Table2[[#This Row],[Column3]]*Table2[[#This Row],[Coating defect survey2]]</f>
        <v>0</v>
      </c>
      <c r="AK2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29" spans="1:37" s="100" customFormat="1">
      <c r="A29" s="128">
        <v>1</v>
      </c>
      <c r="B29" s="129"/>
      <c r="C29" s="96">
        <v>40231</v>
      </c>
      <c r="D29" s="97" t="s">
        <v>591</v>
      </c>
      <c r="E29" s="130"/>
      <c r="F29" s="130">
        <v>2000</v>
      </c>
      <c r="G29" s="130">
        <f>2013-Table2[[#This Row],[Startup Year]]</f>
        <v>13</v>
      </c>
      <c r="H29" s="130" t="s">
        <v>101</v>
      </c>
      <c r="I29" s="130" t="s">
        <v>108</v>
      </c>
      <c r="J29" s="130" t="s">
        <v>118</v>
      </c>
      <c r="K29" s="98">
        <v>0</v>
      </c>
      <c r="L29" s="130" t="s">
        <v>105</v>
      </c>
      <c r="M29" s="130" t="s">
        <v>105</v>
      </c>
      <c r="N29" s="130" t="s">
        <v>105</v>
      </c>
      <c r="O29" s="130" t="s">
        <v>145</v>
      </c>
      <c r="P29" s="130" t="s">
        <v>105</v>
      </c>
      <c r="Q29" s="130" t="s">
        <v>66</v>
      </c>
      <c r="R29" s="130" t="s">
        <v>72</v>
      </c>
      <c r="S2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9" s="98">
        <v>15.221518987341771</v>
      </c>
      <c r="U29" s="130"/>
      <c r="V29" s="131">
        <f>VLOOKUP(H29,'Ext. Pa'!$B$3:$C$77,2,FALSE)</f>
        <v>1</v>
      </c>
      <c r="W29" s="130">
        <f>VLOOKUP(I29,'Ext. Pa'!$B$3:$C$77,2,FALSE)</f>
        <v>1</v>
      </c>
      <c r="X29" s="130">
        <f>VLOOKUP(J29,'Ext. Pa'!$B$3:$C$77,2,FALSE)</f>
        <v>0</v>
      </c>
      <c r="Y29" s="130">
        <f>VLOOKUP(K29,'Ext. Pa'!$B$3:$C$77,2,FALSE)</f>
        <v>0</v>
      </c>
      <c r="Z29" s="130">
        <f>VLOOKUP(L29,'Ext. Pa'!$B$3:$C$77,2,FALSE)</f>
        <v>5</v>
      </c>
      <c r="AA29" s="130">
        <f>VLOOKUP(M29,'Ext. Pa'!$B$3:$C$77,2,FALSE)</f>
        <v>5</v>
      </c>
      <c r="AB29" s="130">
        <f>VLOOKUP(N29,'Ext. Pa'!$B$3:$C$77,2,FALSE)</f>
        <v>5</v>
      </c>
      <c r="AC29" s="130">
        <f>VLOOKUP(O29,'Ext. Pa'!$B$3:$C$77,2,FALSE)</f>
        <v>5</v>
      </c>
      <c r="AD29" s="130">
        <f>VLOOKUP(P29,'Ext. Pa'!$B$3:$C$77,2,FALSE)</f>
        <v>5</v>
      </c>
      <c r="AE29" s="130">
        <f>VLOOKUP(Q29,'Ext. Pa'!$B$3:$C$77,2,FALSE)</f>
        <v>6</v>
      </c>
      <c r="AF29" s="132">
        <f t="shared" si="2"/>
        <v>3.25</v>
      </c>
      <c r="AG29" s="133">
        <f>Table2[[#This Row],[Coating defect survey10]]</f>
        <v>5</v>
      </c>
      <c r="AH29" s="134">
        <f>Table2[[#This Row],[CP Level within NACE Criteria4]]</f>
        <v>1</v>
      </c>
      <c r="AI29" s="135">
        <f>IF(Table2[[#This Row],[CP level]]&gt;9.9,1,0)</f>
        <v>0</v>
      </c>
      <c r="AJ29" s="135">
        <f>Table2[[#This Row],[Column3]]*Table2[[#This Row],[Coating defect survey2]]</f>
        <v>0</v>
      </c>
      <c r="AK2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0" spans="1:37" s="100" customFormat="1">
      <c r="A30" s="128">
        <v>1</v>
      </c>
      <c r="B30" s="129"/>
      <c r="C30" s="96" t="s">
        <v>896</v>
      </c>
      <c r="D30" s="97" t="s">
        <v>592</v>
      </c>
      <c r="E30" s="130"/>
      <c r="F30" s="130">
        <v>2000</v>
      </c>
      <c r="G30" s="130">
        <f>2013-Table2[[#This Row],[Startup Year]]</f>
        <v>13</v>
      </c>
      <c r="H30" s="130" t="s">
        <v>101</v>
      </c>
      <c r="I30" s="130" t="s">
        <v>108</v>
      </c>
      <c r="J30" s="130" t="s">
        <v>118</v>
      </c>
      <c r="K30" s="98">
        <v>0</v>
      </c>
      <c r="L30" s="130" t="s">
        <v>105</v>
      </c>
      <c r="M30" s="130" t="s">
        <v>105</v>
      </c>
      <c r="N30" s="130" t="s">
        <v>105</v>
      </c>
      <c r="O30" s="130" t="s">
        <v>143</v>
      </c>
      <c r="P30" s="130" t="s">
        <v>105</v>
      </c>
      <c r="Q30" s="130" t="s">
        <v>66</v>
      </c>
      <c r="R30" s="130" t="s">
        <v>72</v>
      </c>
      <c r="S3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0" s="131">
        <v>15.221518987341771</v>
      </c>
      <c r="U30" s="130"/>
      <c r="V30" s="131">
        <f>VLOOKUP(H30,'Ext. Pa'!$B$3:$C$77,2,FALSE)</f>
        <v>1</v>
      </c>
      <c r="W30" s="130">
        <f>VLOOKUP(I30,'Ext. Pa'!$B$3:$C$77,2,FALSE)</f>
        <v>1</v>
      </c>
      <c r="X30" s="130">
        <f>VLOOKUP(J30,'Ext. Pa'!$B$3:$C$77,2,FALSE)</f>
        <v>0</v>
      </c>
      <c r="Y30" s="130">
        <f>VLOOKUP(K30,'Ext. Pa'!$B$3:$C$77,2,FALSE)</f>
        <v>0</v>
      </c>
      <c r="Z30" s="130">
        <f>VLOOKUP(L30,'Ext. Pa'!$B$3:$C$77,2,FALSE)</f>
        <v>5</v>
      </c>
      <c r="AA30" s="130">
        <f>VLOOKUP(M30,'Ext. Pa'!$B$3:$C$77,2,FALSE)</f>
        <v>5</v>
      </c>
      <c r="AB30" s="130">
        <f>VLOOKUP(N30,'Ext. Pa'!$B$3:$C$77,2,FALSE)</f>
        <v>5</v>
      </c>
      <c r="AC30" s="130">
        <f>VLOOKUP(O30,'Ext. Pa'!$B$3:$C$77,2,FALSE)</f>
        <v>1</v>
      </c>
      <c r="AD30" s="130">
        <f>VLOOKUP(P30,'Ext. Pa'!$B$3:$C$77,2,FALSE)</f>
        <v>5</v>
      </c>
      <c r="AE30" s="130">
        <f>VLOOKUP(Q30,'Ext. Pa'!$B$3:$C$77,2,FALSE)</f>
        <v>6</v>
      </c>
      <c r="AF30" s="132">
        <f t="shared" si="2"/>
        <v>3.25</v>
      </c>
      <c r="AG30" s="134">
        <f>Table2[[#This Row],[Coating defect survey10]]</f>
        <v>1</v>
      </c>
      <c r="AH30" s="134">
        <f>Table2[[#This Row],[CP Level within NACE Criteria4]]</f>
        <v>1</v>
      </c>
      <c r="AI30" s="135">
        <f>IF(Table2[[#This Row],[CP level]]&gt;9.9,1,0)</f>
        <v>0</v>
      </c>
      <c r="AJ30" s="135">
        <f>Table2[[#This Row],[Column3]]*Table2[[#This Row],[Coating defect survey2]]</f>
        <v>0</v>
      </c>
      <c r="AK3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1" spans="1:37" s="100" customFormat="1">
      <c r="A31" s="128">
        <v>1</v>
      </c>
      <c r="B31" s="129"/>
      <c r="C31" s="96" t="s">
        <v>897</v>
      </c>
      <c r="D31" s="97" t="s">
        <v>590</v>
      </c>
      <c r="E31" s="130"/>
      <c r="F31" s="130">
        <v>2000</v>
      </c>
      <c r="G31" s="130">
        <f>2013-Table2[[#This Row],[Startup Year]]</f>
        <v>13</v>
      </c>
      <c r="H31" s="130" t="s">
        <v>101</v>
      </c>
      <c r="I31" s="130" t="s">
        <v>108</v>
      </c>
      <c r="J31" s="130" t="s">
        <v>118</v>
      </c>
      <c r="K31" s="98">
        <v>0</v>
      </c>
      <c r="L31" s="130" t="s">
        <v>105</v>
      </c>
      <c r="M31" s="130" t="s">
        <v>105</v>
      </c>
      <c r="N31" s="130" t="s">
        <v>105</v>
      </c>
      <c r="O31" s="130" t="s">
        <v>143</v>
      </c>
      <c r="P31" s="130" t="s">
        <v>105</v>
      </c>
      <c r="Q31" s="130" t="s">
        <v>66</v>
      </c>
      <c r="R31" s="130" t="s">
        <v>72</v>
      </c>
      <c r="S3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1" s="131">
        <v>15.221518987341771</v>
      </c>
      <c r="U31" s="130"/>
      <c r="V31" s="131">
        <f>VLOOKUP(H31,'Ext. Pa'!$B$3:$C$77,2,FALSE)</f>
        <v>1</v>
      </c>
      <c r="W31" s="130">
        <f>VLOOKUP(I31,'Ext. Pa'!$B$3:$C$77,2,FALSE)</f>
        <v>1</v>
      </c>
      <c r="X31" s="130">
        <f>VLOOKUP(J31,'Ext. Pa'!$B$3:$C$77,2,FALSE)</f>
        <v>0</v>
      </c>
      <c r="Y31" s="130">
        <f>VLOOKUP(K31,'Ext. Pa'!$B$3:$C$77,2,FALSE)</f>
        <v>0</v>
      </c>
      <c r="Z31" s="130">
        <f>VLOOKUP(L31,'Ext. Pa'!$B$3:$C$77,2,FALSE)</f>
        <v>5</v>
      </c>
      <c r="AA31" s="130">
        <f>VLOOKUP(M31,'Ext. Pa'!$B$3:$C$77,2,FALSE)</f>
        <v>5</v>
      </c>
      <c r="AB31" s="130">
        <f>VLOOKUP(N31,'Ext. Pa'!$B$3:$C$77,2,FALSE)</f>
        <v>5</v>
      </c>
      <c r="AC31" s="130">
        <f>VLOOKUP(O31,'Ext. Pa'!$B$3:$C$77,2,FALSE)</f>
        <v>1</v>
      </c>
      <c r="AD31" s="130">
        <f>VLOOKUP(P31,'Ext. Pa'!$B$3:$C$77,2,FALSE)</f>
        <v>5</v>
      </c>
      <c r="AE31" s="130">
        <f>VLOOKUP(Q31,'Ext. Pa'!$B$3:$C$77,2,FALSE)</f>
        <v>6</v>
      </c>
      <c r="AF31" s="132">
        <f t="shared" si="2"/>
        <v>3.25</v>
      </c>
      <c r="AG31" s="134">
        <f>Table2[[#This Row],[Coating defect survey10]]</f>
        <v>1</v>
      </c>
      <c r="AH31" s="134">
        <f>Table2[[#This Row],[CP Level within NACE Criteria4]]</f>
        <v>1</v>
      </c>
      <c r="AI31" s="135">
        <f>IF(Table2[[#This Row],[CP level]]&gt;9.9,1,0)</f>
        <v>0</v>
      </c>
      <c r="AJ31" s="135">
        <f>Table2[[#This Row],[Column3]]*Table2[[#This Row],[Coating defect survey2]]</f>
        <v>0</v>
      </c>
      <c r="AK3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2" spans="1:37" s="100" customFormat="1">
      <c r="A32" s="128">
        <v>1</v>
      </c>
      <c r="B32" s="129"/>
      <c r="C32" s="96" t="s">
        <v>898</v>
      </c>
      <c r="D32" s="97" t="s">
        <v>599</v>
      </c>
      <c r="E32" s="130"/>
      <c r="F32" s="130">
        <v>2000</v>
      </c>
      <c r="G32" s="130">
        <f>2013-Table2[[#This Row],[Startup Year]]</f>
        <v>13</v>
      </c>
      <c r="H32" s="130" t="s">
        <v>101</v>
      </c>
      <c r="I32" s="130" t="s">
        <v>108</v>
      </c>
      <c r="J32" s="130" t="s">
        <v>118</v>
      </c>
      <c r="K32" s="98">
        <v>0</v>
      </c>
      <c r="L32" s="130" t="s">
        <v>105</v>
      </c>
      <c r="M32" s="130" t="s">
        <v>105</v>
      </c>
      <c r="N32" s="130" t="s">
        <v>105</v>
      </c>
      <c r="O32" s="130" t="s">
        <v>143</v>
      </c>
      <c r="P32" s="130" t="s">
        <v>105</v>
      </c>
      <c r="Q32" s="130" t="s">
        <v>66</v>
      </c>
      <c r="R32" s="130" t="s">
        <v>72</v>
      </c>
      <c r="S3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2" s="131">
        <v>15.221518987341771</v>
      </c>
      <c r="U32" s="130"/>
      <c r="V32" s="131">
        <f>VLOOKUP(H32,'Ext. Pa'!$B$3:$C$77,2,FALSE)</f>
        <v>1</v>
      </c>
      <c r="W32" s="130">
        <f>VLOOKUP(I32,'Ext. Pa'!$B$3:$C$77,2,FALSE)</f>
        <v>1</v>
      </c>
      <c r="X32" s="130">
        <f>VLOOKUP(J32,'Ext. Pa'!$B$3:$C$77,2,FALSE)</f>
        <v>0</v>
      </c>
      <c r="Y32" s="130">
        <f>VLOOKUP(K32,'Ext. Pa'!$B$3:$C$77,2,FALSE)</f>
        <v>0</v>
      </c>
      <c r="Z32" s="130">
        <f>VLOOKUP(L32,'Ext. Pa'!$B$3:$C$77,2,FALSE)</f>
        <v>5</v>
      </c>
      <c r="AA32" s="130">
        <f>VLOOKUP(M32,'Ext. Pa'!$B$3:$C$77,2,FALSE)</f>
        <v>5</v>
      </c>
      <c r="AB32" s="130">
        <f>VLOOKUP(N32,'Ext. Pa'!$B$3:$C$77,2,FALSE)</f>
        <v>5</v>
      </c>
      <c r="AC32" s="130">
        <f>VLOOKUP(O32,'Ext. Pa'!$B$3:$C$77,2,FALSE)</f>
        <v>1</v>
      </c>
      <c r="AD32" s="130">
        <f>VLOOKUP(P32,'Ext. Pa'!$B$3:$C$77,2,FALSE)</f>
        <v>5</v>
      </c>
      <c r="AE32" s="130">
        <f>VLOOKUP(Q32,'Ext. Pa'!$B$3:$C$77,2,FALSE)</f>
        <v>6</v>
      </c>
      <c r="AF32" s="132">
        <f t="shared" si="2"/>
        <v>3.25</v>
      </c>
      <c r="AG32" s="134">
        <f>Table2[[#This Row],[Coating defect survey10]]</f>
        <v>1</v>
      </c>
      <c r="AH32" s="134">
        <f>Table2[[#This Row],[CP Level within NACE Criteria4]]</f>
        <v>1</v>
      </c>
      <c r="AI32" s="135">
        <f>IF(Table2[[#This Row],[CP level]]&gt;9.9,1,0)</f>
        <v>0</v>
      </c>
      <c r="AJ32" s="135">
        <f>Table2[[#This Row],[Column3]]*Table2[[#This Row],[Coating defect survey2]]</f>
        <v>0</v>
      </c>
      <c r="AK3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3" spans="1:37" s="100" customFormat="1">
      <c r="A33" s="128">
        <v>1</v>
      </c>
      <c r="B33" s="129"/>
      <c r="C33" s="96" t="s">
        <v>899</v>
      </c>
      <c r="D33" s="97" t="s">
        <v>602</v>
      </c>
      <c r="E33" s="130"/>
      <c r="F33" s="130">
        <v>2000</v>
      </c>
      <c r="G33" s="130">
        <f>2013-Table2[[#This Row],[Startup Year]]</f>
        <v>13</v>
      </c>
      <c r="H33" s="130" t="s">
        <v>101</v>
      </c>
      <c r="I33" s="130" t="s">
        <v>108</v>
      </c>
      <c r="J33" s="130" t="s">
        <v>118</v>
      </c>
      <c r="K33" s="98">
        <v>0</v>
      </c>
      <c r="L33" s="130" t="s">
        <v>105</v>
      </c>
      <c r="M33" s="130" t="s">
        <v>105</v>
      </c>
      <c r="N33" s="130" t="s">
        <v>105</v>
      </c>
      <c r="O33" s="130" t="s">
        <v>143</v>
      </c>
      <c r="P33" s="130" t="s">
        <v>105</v>
      </c>
      <c r="Q33" s="130" t="s">
        <v>66</v>
      </c>
      <c r="R33" s="130" t="s">
        <v>72</v>
      </c>
      <c r="S3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3" s="131">
        <v>15.221518987341771</v>
      </c>
      <c r="U33" s="130"/>
      <c r="V33" s="131">
        <f>VLOOKUP(H33,'Ext. Pa'!$B$3:$C$77,2,FALSE)</f>
        <v>1</v>
      </c>
      <c r="W33" s="130">
        <f>VLOOKUP(I33,'Ext. Pa'!$B$3:$C$77,2,FALSE)</f>
        <v>1</v>
      </c>
      <c r="X33" s="130">
        <f>VLOOKUP(J33,'Ext. Pa'!$B$3:$C$77,2,FALSE)</f>
        <v>0</v>
      </c>
      <c r="Y33" s="130">
        <f>VLOOKUP(K33,'Ext. Pa'!$B$3:$C$77,2,FALSE)</f>
        <v>0</v>
      </c>
      <c r="Z33" s="130">
        <f>VLOOKUP(L33,'Ext. Pa'!$B$3:$C$77,2,FALSE)</f>
        <v>5</v>
      </c>
      <c r="AA33" s="130">
        <f>VLOOKUP(M33,'Ext. Pa'!$B$3:$C$77,2,FALSE)</f>
        <v>5</v>
      </c>
      <c r="AB33" s="130">
        <f>VLOOKUP(N33,'Ext. Pa'!$B$3:$C$77,2,FALSE)</f>
        <v>5</v>
      </c>
      <c r="AC33" s="130">
        <f>VLOOKUP(O33,'Ext. Pa'!$B$3:$C$77,2,FALSE)</f>
        <v>1</v>
      </c>
      <c r="AD33" s="130">
        <f>VLOOKUP(P33,'Ext. Pa'!$B$3:$C$77,2,FALSE)</f>
        <v>5</v>
      </c>
      <c r="AE33" s="130">
        <f>VLOOKUP(Q33,'Ext. Pa'!$B$3:$C$77,2,FALSE)</f>
        <v>6</v>
      </c>
      <c r="AF33" s="132">
        <f t="shared" si="2"/>
        <v>3.25</v>
      </c>
      <c r="AG33" s="134">
        <f>Table2[[#This Row],[Coating defect survey10]]</f>
        <v>1</v>
      </c>
      <c r="AH33" s="134">
        <f>Table2[[#This Row],[CP Level within NACE Criteria4]]</f>
        <v>1</v>
      </c>
      <c r="AI33" s="135">
        <f>IF(Table2[[#This Row],[CP level]]&gt;9.9,1,0)</f>
        <v>0</v>
      </c>
      <c r="AJ33" s="135">
        <f>Table2[[#This Row],[Column3]]*Table2[[#This Row],[Coating defect survey2]]</f>
        <v>0</v>
      </c>
      <c r="AK3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4" spans="1:37" s="100" customFormat="1">
      <c r="A34" s="128">
        <v>1</v>
      </c>
      <c r="B34" s="129"/>
      <c r="C34" s="96" t="s">
        <v>900</v>
      </c>
      <c r="D34" s="97" t="s">
        <v>603</v>
      </c>
      <c r="E34" s="130"/>
      <c r="F34" s="130">
        <v>2000</v>
      </c>
      <c r="G34" s="130">
        <f>2013-Table2[[#This Row],[Startup Year]]</f>
        <v>13</v>
      </c>
      <c r="H34" s="130" t="s">
        <v>101</v>
      </c>
      <c r="I34" s="130" t="s">
        <v>108</v>
      </c>
      <c r="J34" s="130" t="s">
        <v>118</v>
      </c>
      <c r="K34" s="98">
        <v>0</v>
      </c>
      <c r="L34" s="130" t="s">
        <v>105</v>
      </c>
      <c r="M34" s="130" t="s">
        <v>105</v>
      </c>
      <c r="N34" s="130" t="s">
        <v>105</v>
      </c>
      <c r="O34" s="130" t="s">
        <v>143</v>
      </c>
      <c r="P34" s="130" t="s">
        <v>105</v>
      </c>
      <c r="Q34" s="130" t="s">
        <v>66</v>
      </c>
      <c r="R34" s="130" t="s">
        <v>72</v>
      </c>
      <c r="S3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4" s="131">
        <v>15.221518987341771</v>
      </c>
      <c r="U34" s="130"/>
      <c r="V34" s="131">
        <f>VLOOKUP(H34,'Ext. Pa'!$B$3:$C$77,2,FALSE)</f>
        <v>1</v>
      </c>
      <c r="W34" s="130">
        <f>VLOOKUP(I34,'Ext. Pa'!$B$3:$C$77,2,FALSE)</f>
        <v>1</v>
      </c>
      <c r="X34" s="130">
        <f>VLOOKUP(J34,'Ext. Pa'!$B$3:$C$77,2,FALSE)</f>
        <v>0</v>
      </c>
      <c r="Y34" s="130">
        <f>VLOOKUP(K34,'Ext. Pa'!$B$3:$C$77,2,FALSE)</f>
        <v>0</v>
      </c>
      <c r="Z34" s="130">
        <f>VLOOKUP(L34,'Ext. Pa'!$B$3:$C$77,2,FALSE)</f>
        <v>5</v>
      </c>
      <c r="AA34" s="130">
        <f>VLOOKUP(M34,'Ext. Pa'!$B$3:$C$77,2,FALSE)</f>
        <v>5</v>
      </c>
      <c r="AB34" s="130">
        <f>VLOOKUP(N34,'Ext. Pa'!$B$3:$C$77,2,FALSE)</f>
        <v>5</v>
      </c>
      <c r="AC34" s="130">
        <f>VLOOKUP(O34,'Ext. Pa'!$B$3:$C$77,2,FALSE)</f>
        <v>1</v>
      </c>
      <c r="AD34" s="130">
        <f>VLOOKUP(P34,'Ext. Pa'!$B$3:$C$77,2,FALSE)</f>
        <v>5</v>
      </c>
      <c r="AE34" s="130">
        <f>VLOOKUP(Q34,'Ext. Pa'!$B$3:$C$77,2,FALSE)</f>
        <v>6</v>
      </c>
      <c r="AF34" s="132">
        <f t="shared" si="2"/>
        <v>3.25</v>
      </c>
      <c r="AG34" s="134">
        <f>Table2[[#This Row],[Coating defect survey10]]</f>
        <v>1</v>
      </c>
      <c r="AH34" s="134">
        <f>Table2[[#This Row],[CP Level within NACE Criteria4]]</f>
        <v>1</v>
      </c>
      <c r="AI34" s="135">
        <f>IF(Table2[[#This Row],[CP level]]&gt;9.9,1,0)</f>
        <v>0</v>
      </c>
      <c r="AJ34" s="135">
        <f>Table2[[#This Row],[Column3]]*Table2[[#This Row],[Coating defect survey2]]</f>
        <v>0</v>
      </c>
      <c r="AK3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5" spans="1:37" s="100" customFormat="1">
      <c r="A35" s="128">
        <v>1</v>
      </c>
      <c r="B35" s="129"/>
      <c r="C35" s="96" t="s">
        <v>901</v>
      </c>
      <c r="D35" s="97" t="s">
        <v>604</v>
      </c>
      <c r="E35" s="130"/>
      <c r="F35" s="130">
        <v>2000</v>
      </c>
      <c r="G35" s="130">
        <f>2013-Table2[[#This Row],[Startup Year]]</f>
        <v>13</v>
      </c>
      <c r="H35" s="130" t="s">
        <v>101</v>
      </c>
      <c r="I35" s="130" t="s">
        <v>108</v>
      </c>
      <c r="J35" s="130" t="s">
        <v>118</v>
      </c>
      <c r="K35" s="98">
        <v>0</v>
      </c>
      <c r="L35" s="130" t="s">
        <v>105</v>
      </c>
      <c r="M35" s="130" t="s">
        <v>105</v>
      </c>
      <c r="N35" s="130" t="s">
        <v>105</v>
      </c>
      <c r="O35" s="130" t="s">
        <v>143</v>
      </c>
      <c r="P35" s="130" t="s">
        <v>105</v>
      </c>
      <c r="Q35" s="130" t="s">
        <v>66</v>
      </c>
      <c r="R35" s="130" t="s">
        <v>72</v>
      </c>
      <c r="S3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5" s="131">
        <v>15.221518987341771</v>
      </c>
      <c r="U35" s="130"/>
      <c r="V35" s="131">
        <f>VLOOKUP(H35,'Ext. Pa'!$B$3:$C$77,2,FALSE)</f>
        <v>1</v>
      </c>
      <c r="W35" s="130">
        <f>VLOOKUP(I35,'Ext. Pa'!$B$3:$C$77,2,FALSE)</f>
        <v>1</v>
      </c>
      <c r="X35" s="130">
        <f>VLOOKUP(J35,'Ext. Pa'!$B$3:$C$77,2,FALSE)</f>
        <v>0</v>
      </c>
      <c r="Y35" s="130">
        <f>VLOOKUP(K35,'Ext. Pa'!$B$3:$C$77,2,FALSE)</f>
        <v>0</v>
      </c>
      <c r="Z35" s="130">
        <f>VLOOKUP(L35,'Ext. Pa'!$B$3:$C$77,2,FALSE)</f>
        <v>5</v>
      </c>
      <c r="AA35" s="130">
        <f>VLOOKUP(M35,'Ext. Pa'!$B$3:$C$77,2,FALSE)</f>
        <v>5</v>
      </c>
      <c r="AB35" s="130">
        <f>VLOOKUP(N35,'Ext. Pa'!$B$3:$C$77,2,FALSE)</f>
        <v>5</v>
      </c>
      <c r="AC35" s="130">
        <f>VLOOKUP(O35,'Ext. Pa'!$B$3:$C$77,2,FALSE)</f>
        <v>1</v>
      </c>
      <c r="AD35" s="130">
        <f>VLOOKUP(P35,'Ext. Pa'!$B$3:$C$77,2,FALSE)</f>
        <v>5</v>
      </c>
      <c r="AE35" s="130">
        <f>VLOOKUP(Q35,'Ext. Pa'!$B$3:$C$77,2,FALSE)</f>
        <v>6</v>
      </c>
      <c r="AF35" s="132">
        <f t="shared" si="2"/>
        <v>3.25</v>
      </c>
      <c r="AG35" s="134">
        <f>Table2[[#This Row],[Coating defect survey10]]</f>
        <v>1</v>
      </c>
      <c r="AH35" s="134">
        <f>Table2[[#This Row],[CP Level within NACE Criteria4]]</f>
        <v>1</v>
      </c>
      <c r="AI35" s="135">
        <f>IF(Table2[[#This Row],[CP level]]&gt;9.9,1,0)</f>
        <v>0</v>
      </c>
      <c r="AJ35" s="135">
        <f>Table2[[#This Row],[Column3]]*Table2[[#This Row],[Coating defect survey2]]</f>
        <v>0</v>
      </c>
      <c r="AK3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6" spans="1:37" s="100" customFormat="1">
      <c r="A36" s="128">
        <v>1</v>
      </c>
      <c r="B36" s="129"/>
      <c r="C36" s="96" t="s">
        <v>902</v>
      </c>
      <c r="D36" s="97" t="s">
        <v>605</v>
      </c>
      <c r="E36" s="130"/>
      <c r="F36" s="130">
        <v>2000</v>
      </c>
      <c r="G36" s="130">
        <f>2013-Table2[[#This Row],[Startup Year]]</f>
        <v>13</v>
      </c>
      <c r="H36" s="130" t="s">
        <v>101</v>
      </c>
      <c r="I36" s="130" t="s">
        <v>108</v>
      </c>
      <c r="J36" s="130" t="s">
        <v>118</v>
      </c>
      <c r="K36" s="98">
        <v>0</v>
      </c>
      <c r="L36" s="130" t="s">
        <v>105</v>
      </c>
      <c r="M36" s="130" t="s">
        <v>105</v>
      </c>
      <c r="N36" s="130" t="s">
        <v>105</v>
      </c>
      <c r="O36" s="130" t="s">
        <v>143</v>
      </c>
      <c r="P36" s="130" t="s">
        <v>105</v>
      </c>
      <c r="Q36" s="130" t="s">
        <v>66</v>
      </c>
      <c r="R36" s="130" t="s">
        <v>72</v>
      </c>
      <c r="S3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6" s="131">
        <v>15.221518987341771</v>
      </c>
      <c r="U36" s="130"/>
      <c r="V36" s="131">
        <f>VLOOKUP(H36,'Ext. Pa'!$B$3:$C$77,2,FALSE)</f>
        <v>1</v>
      </c>
      <c r="W36" s="130">
        <f>VLOOKUP(I36,'Ext. Pa'!$B$3:$C$77,2,FALSE)</f>
        <v>1</v>
      </c>
      <c r="X36" s="130">
        <f>VLOOKUP(J36,'Ext. Pa'!$B$3:$C$77,2,FALSE)</f>
        <v>0</v>
      </c>
      <c r="Y36" s="130">
        <f>VLOOKUP(K36,'Ext. Pa'!$B$3:$C$77,2,FALSE)</f>
        <v>0</v>
      </c>
      <c r="Z36" s="130">
        <f>VLOOKUP(L36,'Ext. Pa'!$B$3:$C$77,2,FALSE)</f>
        <v>5</v>
      </c>
      <c r="AA36" s="130">
        <f>VLOOKUP(M36,'Ext. Pa'!$B$3:$C$77,2,FALSE)</f>
        <v>5</v>
      </c>
      <c r="AB36" s="130">
        <f>VLOOKUP(N36,'Ext. Pa'!$B$3:$C$77,2,FALSE)</f>
        <v>5</v>
      </c>
      <c r="AC36" s="130">
        <f>VLOOKUP(O36,'Ext. Pa'!$B$3:$C$77,2,FALSE)</f>
        <v>1</v>
      </c>
      <c r="AD36" s="130">
        <f>VLOOKUP(P36,'Ext. Pa'!$B$3:$C$77,2,FALSE)</f>
        <v>5</v>
      </c>
      <c r="AE36" s="130">
        <f>VLOOKUP(Q36,'Ext. Pa'!$B$3:$C$77,2,FALSE)</f>
        <v>6</v>
      </c>
      <c r="AF36" s="132">
        <f t="shared" si="2"/>
        <v>3.25</v>
      </c>
      <c r="AG36" s="134">
        <f>Table2[[#This Row],[Coating defect survey10]]</f>
        <v>1</v>
      </c>
      <c r="AH36" s="134">
        <f>Table2[[#This Row],[CP Level within NACE Criteria4]]</f>
        <v>1</v>
      </c>
      <c r="AI36" s="135">
        <f>IF(Table2[[#This Row],[CP level]]&gt;9.9,1,0)</f>
        <v>0</v>
      </c>
      <c r="AJ36" s="135">
        <f>Table2[[#This Row],[Column3]]*Table2[[#This Row],[Coating defect survey2]]</f>
        <v>0</v>
      </c>
      <c r="AK3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7" spans="1:37" s="100" customFormat="1">
      <c r="A37" s="128">
        <v>1</v>
      </c>
      <c r="B37" s="129"/>
      <c r="C37" s="96" t="s">
        <v>903</v>
      </c>
      <c r="D37" s="97" t="s">
        <v>606</v>
      </c>
      <c r="E37" s="130"/>
      <c r="F37" s="130">
        <v>2000</v>
      </c>
      <c r="G37" s="130">
        <f>2013-Table2[[#This Row],[Startup Year]]</f>
        <v>13</v>
      </c>
      <c r="H37" s="130" t="s">
        <v>101</v>
      </c>
      <c r="I37" s="130" t="s">
        <v>108</v>
      </c>
      <c r="J37" s="130" t="s">
        <v>118</v>
      </c>
      <c r="K37" s="98">
        <v>0</v>
      </c>
      <c r="L37" s="130" t="s">
        <v>105</v>
      </c>
      <c r="M37" s="130" t="s">
        <v>105</v>
      </c>
      <c r="N37" s="130" t="s">
        <v>105</v>
      </c>
      <c r="O37" s="130" t="s">
        <v>143</v>
      </c>
      <c r="P37" s="130" t="s">
        <v>105</v>
      </c>
      <c r="Q37" s="130" t="s">
        <v>66</v>
      </c>
      <c r="R37" s="130" t="s">
        <v>72</v>
      </c>
      <c r="S3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7" s="131">
        <v>15.221518987341771</v>
      </c>
      <c r="U37" s="130"/>
      <c r="V37" s="131">
        <f>VLOOKUP(H37,'Ext. Pa'!$B$3:$C$77,2,FALSE)</f>
        <v>1</v>
      </c>
      <c r="W37" s="130">
        <f>VLOOKUP(I37,'Ext. Pa'!$B$3:$C$77,2,FALSE)</f>
        <v>1</v>
      </c>
      <c r="X37" s="130">
        <f>VLOOKUP(J37,'Ext. Pa'!$B$3:$C$77,2,FALSE)</f>
        <v>0</v>
      </c>
      <c r="Y37" s="130">
        <f>VLOOKUP(K37,'Ext. Pa'!$B$3:$C$77,2,FALSE)</f>
        <v>0</v>
      </c>
      <c r="Z37" s="130">
        <f>VLOOKUP(L37,'Ext. Pa'!$B$3:$C$77,2,FALSE)</f>
        <v>5</v>
      </c>
      <c r="AA37" s="130">
        <f>VLOOKUP(M37,'Ext. Pa'!$B$3:$C$77,2,FALSE)</f>
        <v>5</v>
      </c>
      <c r="AB37" s="130">
        <f>VLOOKUP(N37,'Ext. Pa'!$B$3:$C$77,2,FALSE)</f>
        <v>5</v>
      </c>
      <c r="AC37" s="130">
        <f>VLOOKUP(O37,'Ext. Pa'!$B$3:$C$77,2,FALSE)</f>
        <v>1</v>
      </c>
      <c r="AD37" s="130">
        <f>VLOOKUP(P37,'Ext. Pa'!$B$3:$C$77,2,FALSE)</f>
        <v>5</v>
      </c>
      <c r="AE37" s="130">
        <f>VLOOKUP(Q37,'Ext. Pa'!$B$3:$C$77,2,FALSE)</f>
        <v>6</v>
      </c>
      <c r="AF37" s="132">
        <f t="shared" si="2"/>
        <v>3.25</v>
      </c>
      <c r="AG37" s="134">
        <f>Table2[[#This Row],[Coating defect survey10]]</f>
        <v>1</v>
      </c>
      <c r="AH37" s="134">
        <f>Table2[[#This Row],[CP Level within NACE Criteria4]]</f>
        <v>1</v>
      </c>
      <c r="AI37" s="135">
        <f>IF(Table2[[#This Row],[CP level]]&gt;9.9,1,0)</f>
        <v>0</v>
      </c>
      <c r="AJ37" s="135">
        <f>Table2[[#This Row],[Column3]]*Table2[[#This Row],[Coating defect survey2]]</f>
        <v>0</v>
      </c>
      <c r="AK3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8" spans="1:37" s="100" customFormat="1">
      <c r="A38" s="128">
        <v>1</v>
      </c>
      <c r="B38" s="129"/>
      <c r="C38" s="96" t="s">
        <v>904</v>
      </c>
      <c r="D38" s="97" t="s">
        <v>607</v>
      </c>
      <c r="E38" s="130"/>
      <c r="F38" s="130">
        <v>2000</v>
      </c>
      <c r="G38" s="130">
        <f>2013-Table2[[#This Row],[Startup Year]]</f>
        <v>13</v>
      </c>
      <c r="H38" s="130" t="s">
        <v>101</v>
      </c>
      <c r="I38" s="130" t="s">
        <v>108</v>
      </c>
      <c r="J38" s="130" t="s">
        <v>118</v>
      </c>
      <c r="K38" s="98">
        <v>0</v>
      </c>
      <c r="L38" s="130" t="s">
        <v>105</v>
      </c>
      <c r="M38" s="130" t="s">
        <v>105</v>
      </c>
      <c r="N38" s="130" t="s">
        <v>105</v>
      </c>
      <c r="O38" s="130" t="s">
        <v>143</v>
      </c>
      <c r="P38" s="130" t="s">
        <v>105</v>
      </c>
      <c r="Q38" s="130" t="s">
        <v>66</v>
      </c>
      <c r="R38" s="130" t="s">
        <v>72</v>
      </c>
      <c r="S3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8" s="131">
        <v>15.221518987341771</v>
      </c>
      <c r="U38" s="130"/>
      <c r="V38" s="131">
        <f>VLOOKUP(H38,'Ext. Pa'!$B$3:$C$77,2,FALSE)</f>
        <v>1</v>
      </c>
      <c r="W38" s="130">
        <f>VLOOKUP(I38,'Ext. Pa'!$B$3:$C$77,2,FALSE)</f>
        <v>1</v>
      </c>
      <c r="X38" s="130">
        <f>VLOOKUP(J38,'Ext. Pa'!$B$3:$C$77,2,FALSE)</f>
        <v>0</v>
      </c>
      <c r="Y38" s="130">
        <f>VLOOKUP(K38,'Ext. Pa'!$B$3:$C$77,2,FALSE)</f>
        <v>0</v>
      </c>
      <c r="Z38" s="130">
        <f>VLOOKUP(L38,'Ext. Pa'!$B$3:$C$77,2,FALSE)</f>
        <v>5</v>
      </c>
      <c r="AA38" s="130">
        <f>VLOOKUP(M38,'Ext. Pa'!$B$3:$C$77,2,FALSE)</f>
        <v>5</v>
      </c>
      <c r="AB38" s="130">
        <f>VLOOKUP(N38,'Ext. Pa'!$B$3:$C$77,2,FALSE)</f>
        <v>5</v>
      </c>
      <c r="AC38" s="130">
        <f>VLOOKUP(O38,'Ext. Pa'!$B$3:$C$77,2,FALSE)</f>
        <v>1</v>
      </c>
      <c r="AD38" s="130">
        <f>VLOOKUP(P38,'Ext. Pa'!$B$3:$C$77,2,FALSE)</f>
        <v>5</v>
      </c>
      <c r="AE38" s="130">
        <f>VLOOKUP(Q38,'Ext. Pa'!$B$3:$C$77,2,FALSE)</f>
        <v>6</v>
      </c>
      <c r="AF38" s="132">
        <f t="shared" si="2"/>
        <v>3.25</v>
      </c>
      <c r="AG38" s="134">
        <f>Table2[[#This Row],[Coating defect survey10]]</f>
        <v>1</v>
      </c>
      <c r="AH38" s="134">
        <f>Table2[[#This Row],[CP Level within NACE Criteria4]]</f>
        <v>1</v>
      </c>
      <c r="AI38" s="135">
        <f>IF(Table2[[#This Row],[CP level]]&gt;9.9,1,0)</f>
        <v>0</v>
      </c>
      <c r="AJ38" s="135">
        <f>Table2[[#This Row],[Column3]]*Table2[[#This Row],[Coating defect survey2]]</f>
        <v>0</v>
      </c>
      <c r="AK3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39" spans="1:37" s="100" customFormat="1">
      <c r="A39" s="128">
        <v>1</v>
      </c>
      <c r="B39" s="129" t="s">
        <v>573</v>
      </c>
      <c r="C39" s="96">
        <v>631100002</v>
      </c>
      <c r="D39" s="97" t="s">
        <v>574</v>
      </c>
      <c r="E39" s="130"/>
      <c r="F39" s="130">
        <v>2000</v>
      </c>
      <c r="G39" s="130">
        <f>2013-Table2[[#This Row],[Startup Year]]</f>
        <v>13</v>
      </c>
      <c r="H39" s="130" t="s">
        <v>101</v>
      </c>
      <c r="I39" s="130" t="s">
        <v>108</v>
      </c>
      <c r="J39" s="130" t="s">
        <v>118</v>
      </c>
      <c r="K39" s="98">
        <v>0</v>
      </c>
      <c r="L39" s="130" t="s">
        <v>105</v>
      </c>
      <c r="M39" s="130" t="s">
        <v>105</v>
      </c>
      <c r="N39" s="130" t="s">
        <v>105</v>
      </c>
      <c r="O39" s="130" t="s">
        <v>143</v>
      </c>
      <c r="P39" s="130" t="s">
        <v>105</v>
      </c>
      <c r="Q39" s="130" t="s">
        <v>66</v>
      </c>
      <c r="R39" s="130" t="s">
        <v>72</v>
      </c>
      <c r="S3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39" s="131">
        <v>15.221518987341771</v>
      </c>
      <c r="U39" s="130"/>
      <c r="V39" s="131">
        <f>VLOOKUP(H39,'Ext. Pa'!$B$3:$C$77,2,FALSE)</f>
        <v>1</v>
      </c>
      <c r="W39" s="130">
        <f>VLOOKUP(I39,'Ext. Pa'!$B$3:$C$77,2,FALSE)</f>
        <v>1</v>
      </c>
      <c r="X39" s="130">
        <f>VLOOKUP(J39,'Ext. Pa'!$B$3:$C$77,2,FALSE)</f>
        <v>0</v>
      </c>
      <c r="Y39" s="130">
        <f>VLOOKUP(K39,'Ext. Pa'!$B$3:$C$77,2,FALSE)</f>
        <v>0</v>
      </c>
      <c r="Z39" s="130">
        <f>VLOOKUP(L39,'Ext. Pa'!$B$3:$C$77,2,FALSE)</f>
        <v>5</v>
      </c>
      <c r="AA39" s="130">
        <f>VLOOKUP(M39,'Ext. Pa'!$B$3:$C$77,2,FALSE)</f>
        <v>5</v>
      </c>
      <c r="AB39" s="130">
        <f>VLOOKUP(N39,'Ext. Pa'!$B$3:$C$77,2,FALSE)</f>
        <v>5</v>
      </c>
      <c r="AC39" s="130">
        <f>VLOOKUP(O39,'Ext. Pa'!$B$3:$C$77,2,FALSE)</f>
        <v>1</v>
      </c>
      <c r="AD39" s="130">
        <f>VLOOKUP(P39,'Ext. Pa'!$B$3:$C$77,2,FALSE)</f>
        <v>5</v>
      </c>
      <c r="AE39" s="130">
        <f>VLOOKUP(Q39,'Ext. Pa'!$B$3:$C$77,2,FALSE)</f>
        <v>6</v>
      </c>
      <c r="AF39" s="132">
        <f t="shared" ref="AF39:AF55" si="3">IF(G39&lt;40,(G39)/4,40)</f>
        <v>3.25</v>
      </c>
      <c r="AG39" s="134">
        <f>Table2[[#This Row],[Coating defect survey10]]</f>
        <v>1</v>
      </c>
      <c r="AH39" s="134">
        <f>Table2[[#This Row],[CP Level within NACE Criteria4]]</f>
        <v>1</v>
      </c>
      <c r="AI39" s="135">
        <f>IF(Table2[[#This Row],[CP level]]&gt;9.9,1,0)</f>
        <v>0</v>
      </c>
      <c r="AJ39" s="135">
        <f>Table2[[#This Row],[Column3]]*Table2[[#This Row],[Coating defect survey2]]</f>
        <v>0</v>
      </c>
      <c r="AK3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40" spans="1:37" s="100" customFormat="1">
      <c r="A40" s="128">
        <v>1</v>
      </c>
      <c r="B40" s="129" t="s">
        <v>570</v>
      </c>
      <c r="C40" s="96">
        <v>631100004</v>
      </c>
      <c r="D40" s="97" t="s">
        <v>571</v>
      </c>
      <c r="E40" s="130"/>
      <c r="F40" s="130">
        <v>2000</v>
      </c>
      <c r="G40" s="130">
        <f>2013-Table2[[#This Row],[Startup Year]]</f>
        <v>13</v>
      </c>
      <c r="H40" s="130" t="s">
        <v>101</v>
      </c>
      <c r="I40" s="130" t="s">
        <v>108</v>
      </c>
      <c r="J40" s="130" t="s">
        <v>118</v>
      </c>
      <c r="K40" s="98">
        <v>0</v>
      </c>
      <c r="L40" s="130" t="s">
        <v>105</v>
      </c>
      <c r="M40" s="130" t="s">
        <v>105</v>
      </c>
      <c r="N40" s="130" t="s">
        <v>105</v>
      </c>
      <c r="O40" s="130" t="s">
        <v>143</v>
      </c>
      <c r="P40" s="130" t="s">
        <v>105</v>
      </c>
      <c r="Q40" s="130" t="s">
        <v>66</v>
      </c>
      <c r="R40" s="130" t="s">
        <v>72</v>
      </c>
      <c r="S4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40" s="131">
        <v>15.221518987341771</v>
      </c>
      <c r="U40" s="130"/>
      <c r="V40" s="131">
        <f>VLOOKUP(H40,'Ext. Pa'!$B$3:$C$77,2,FALSE)</f>
        <v>1</v>
      </c>
      <c r="W40" s="130">
        <f>VLOOKUP(I40,'Ext. Pa'!$B$3:$C$77,2,FALSE)</f>
        <v>1</v>
      </c>
      <c r="X40" s="130">
        <f>VLOOKUP(J40,'Ext. Pa'!$B$3:$C$77,2,FALSE)</f>
        <v>0</v>
      </c>
      <c r="Y40" s="130">
        <f>VLOOKUP(K40,'Ext. Pa'!$B$3:$C$77,2,FALSE)</f>
        <v>0</v>
      </c>
      <c r="Z40" s="130">
        <f>VLOOKUP(L40,'Ext. Pa'!$B$3:$C$77,2,FALSE)</f>
        <v>5</v>
      </c>
      <c r="AA40" s="130">
        <f>VLOOKUP(M40,'Ext. Pa'!$B$3:$C$77,2,FALSE)</f>
        <v>5</v>
      </c>
      <c r="AB40" s="130">
        <f>VLOOKUP(N40,'Ext. Pa'!$B$3:$C$77,2,FALSE)</f>
        <v>5</v>
      </c>
      <c r="AC40" s="130">
        <f>VLOOKUP(O40,'Ext. Pa'!$B$3:$C$77,2,FALSE)</f>
        <v>1</v>
      </c>
      <c r="AD40" s="130">
        <f>VLOOKUP(P40,'Ext. Pa'!$B$3:$C$77,2,FALSE)</f>
        <v>5</v>
      </c>
      <c r="AE40" s="130">
        <f>VLOOKUP(Q40,'Ext. Pa'!$B$3:$C$77,2,FALSE)</f>
        <v>6</v>
      </c>
      <c r="AF40" s="132">
        <f t="shared" si="3"/>
        <v>3.25</v>
      </c>
      <c r="AG40" s="134">
        <f>Table2[[#This Row],[Coating defect survey10]]</f>
        <v>1</v>
      </c>
      <c r="AH40" s="134">
        <f>Table2[[#This Row],[CP Level within NACE Criteria4]]</f>
        <v>1</v>
      </c>
      <c r="AI40" s="135">
        <f>IF(Table2[[#This Row],[CP level]]&gt;9.9,1,0)</f>
        <v>0</v>
      </c>
      <c r="AJ40" s="135">
        <f>Table2[[#This Row],[Column3]]*Table2[[#This Row],[Coating defect survey2]]</f>
        <v>0</v>
      </c>
      <c r="AK4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41" spans="1:37" s="100" customFormat="1">
      <c r="A41" s="94">
        <v>1</v>
      </c>
      <c r="B41" s="95" t="s">
        <v>364</v>
      </c>
      <c r="C41" s="96">
        <v>6322101</v>
      </c>
      <c r="D41" s="97" t="s">
        <v>239</v>
      </c>
      <c r="E41" s="98"/>
      <c r="F41" s="98">
        <v>2000</v>
      </c>
      <c r="G41" s="98">
        <f>2013-Table2[[#This Row],[Startup Year]]</f>
        <v>13</v>
      </c>
      <c r="H41" s="98" t="s">
        <v>101</v>
      </c>
      <c r="I41" s="98" t="s">
        <v>108</v>
      </c>
      <c r="J41" s="98" t="s">
        <v>118</v>
      </c>
      <c r="K41" s="98">
        <v>0</v>
      </c>
      <c r="L41" s="98" t="s">
        <v>105</v>
      </c>
      <c r="M41" s="98" t="s">
        <v>105</v>
      </c>
      <c r="N41" s="98" t="s">
        <v>105</v>
      </c>
      <c r="O41" s="98" t="s">
        <v>105</v>
      </c>
      <c r="P41" s="98" t="s">
        <v>105</v>
      </c>
      <c r="Q41" s="98" t="s">
        <v>66</v>
      </c>
      <c r="R41" s="98" t="s">
        <v>72</v>
      </c>
      <c r="S4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41" s="98">
        <v>15.221518987341771</v>
      </c>
      <c r="U41" s="98"/>
      <c r="V41" s="98">
        <f>VLOOKUP(H41,'Ext. Pa'!$B$3:$C$77,2,FALSE)</f>
        <v>1</v>
      </c>
      <c r="W41" s="98">
        <f>VLOOKUP(I41,'Ext. Pa'!$B$3:$C$77,2,FALSE)</f>
        <v>1</v>
      </c>
      <c r="X41" s="98">
        <f>VLOOKUP(J41,'Ext. Pa'!$B$3:$C$77,2,FALSE)</f>
        <v>0</v>
      </c>
      <c r="Y41" s="98">
        <f>VLOOKUP(K41,'Ext. Pa'!$B$3:$C$77,2,FALSE)</f>
        <v>0</v>
      </c>
      <c r="Z41" s="98">
        <f>VLOOKUP(L41,'Ext. Pa'!$B$3:$C$77,2,FALSE)</f>
        <v>5</v>
      </c>
      <c r="AA41" s="98">
        <f>VLOOKUP(M41,'Ext. Pa'!$B$3:$C$77,2,FALSE)</f>
        <v>5</v>
      </c>
      <c r="AB41" s="98">
        <f>VLOOKUP(N41,'Ext. Pa'!$B$3:$C$77,2,FALSE)</f>
        <v>5</v>
      </c>
      <c r="AC41" s="98">
        <f>VLOOKUP(O41,'Ext. Pa'!$B$3:$C$77,2,FALSE)</f>
        <v>5</v>
      </c>
      <c r="AD41" s="98">
        <f>VLOOKUP(P41,'Ext. Pa'!$B$3:$C$77,2,FALSE)</f>
        <v>5</v>
      </c>
      <c r="AE41" s="98">
        <f>VLOOKUP(Q41,'Ext. Pa'!$B$3:$C$77,2,FALSE)</f>
        <v>6</v>
      </c>
      <c r="AF41" s="99">
        <f t="shared" si="3"/>
        <v>3.25</v>
      </c>
      <c r="AG41" s="134">
        <f>Table2[[#This Row],[Coating defect survey10]]</f>
        <v>5</v>
      </c>
      <c r="AH41" s="134">
        <f>Table2[[#This Row],[CP Level within NACE Criteria4]]</f>
        <v>1</v>
      </c>
      <c r="AI41" s="135">
        <f>IF(Table2[[#This Row],[CP level]]&gt;9.9,1,0)</f>
        <v>0</v>
      </c>
      <c r="AJ41" s="135">
        <f>Table2[[#This Row],[Column3]]*Table2[[#This Row],[Coating defect survey2]]</f>
        <v>0</v>
      </c>
      <c r="AK4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42" spans="1:37" s="100" customFormat="1">
      <c r="A42" s="94">
        <v>1</v>
      </c>
      <c r="B42" s="95" t="s">
        <v>365</v>
      </c>
      <c r="C42" s="96">
        <v>6322104</v>
      </c>
      <c r="D42" s="97" t="s">
        <v>240</v>
      </c>
      <c r="E42" s="98"/>
      <c r="F42" s="98">
        <v>2000</v>
      </c>
      <c r="G42" s="98">
        <f>2013-Table2[[#This Row],[Startup Year]]</f>
        <v>13</v>
      </c>
      <c r="H42" s="98" t="s">
        <v>101</v>
      </c>
      <c r="I42" s="98" t="s">
        <v>108</v>
      </c>
      <c r="J42" s="98" t="s">
        <v>118</v>
      </c>
      <c r="K42" s="98">
        <v>0</v>
      </c>
      <c r="L42" s="98" t="s">
        <v>105</v>
      </c>
      <c r="M42" s="98" t="s">
        <v>105</v>
      </c>
      <c r="N42" s="98" t="s">
        <v>105</v>
      </c>
      <c r="O42" s="98"/>
      <c r="P42" s="98" t="s">
        <v>105</v>
      </c>
      <c r="Q42" s="98" t="s">
        <v>66</v>
      </c>
      <c r="R42" s="98" t="s">
        <v>72</v>
      </c>
      <c r="S4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42" s="98">
        <v>15.221518987341771</v>
      </c>
      <c r="U42" s="98"/>
      <c r="V42" s="98">
        <f>VLOOKUP(H42,'Ext. Pa'!$B$3:$C$77,2,FALSE)</f>
        <v>1</v>
      </c>
      <c r="W42" s="98">
        <f>VLOOKUP(I42,'Ext. Pa'!$B$3:$C$77,2,FALSE)</f>
        <v>1</v>
      </c>
      <c r="X42" s="98">
        <f>VLOOKUP(J42,'Ext. Pa'!$B$3:$C$77,2,FALSE)</f>
        <v>0</v>
      </c>
      <c r="Y42" s="98">
        <f>VLOOKUP(K42,'Ext. Pa'!$B$3:$C$77,2,FALSE)</f>
        <v>0</v>
      </c>
      <c r="Z42" s="98">
        <f>VLOOKUP(L42,'Ext. Pa'!$B$3:$C$77,2,FALSE)</f>
        <v>5</v>
      </c>
      <c r="AA42" s="98">
        <f>VLOOKUP(M42,'Ext. Pa'!$B$3:$C$77,2,FALSE)</f>
        <v>5</v>
      </c>
      <c r="AB42" s="98">
        <f>VLOOKUP(N42,'Ext. Pa'!$B$3:$C$77,2,FALSE)</f>
        <v>5</v>
      </c>
      <c r="AC42" s="98">
        <f>VLOOKUP(O42,'Ext. Pa'!$B$3:$C$77,2,FALSE)</f>
        <v>0</v>
      </c>
      <c r="AD42" s="98">
        <f>VLOOKUP(P42,'Ext. Pa'!$B$3:$C$77,2,FALSE)</f>
        <v>5</v>
      </c>
      <c r="AE42" s="98">
        <f>VLOOKUP(Q42,'Ext. Pa'!$B$3:$C$77,2,FALSE)</f>
        <v>6</v>
      </c>
      <c r="AF42" s="99">
        <f t="shared" si="3"/>
        <v>3.25</v>
      </c>
      <c r="AG42" s="134">
        <f>Table2[[#This Row],[Coating defect survey10]]</f>
        <v>0</v>
      </c>
      <c r="AH42" s="134">
        <f>Table2[[#This Row],[CP Level within NACE Criteria4]]</f>
        <v>1</v>
      </c>
      <c r="AI42" s="135">
        <f>IF(Table2[[#This Row],[CP level]]&gt;9.9,1,0)</f>
        <v>0</v>
      </c>
      <c r="AJ42" s="135">
        <f>Table2[[#This Row],[Column3]]*Table2[[#This Row],[Coating defect survey2]]</f>
        <v>0</v>
      </c>
      <c r="AK4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43" spans="1:37" s="100" customFormat="1" ht="25.5">
      <c r="A43" s="94">
        <v>1</v>
      </c>
      <c r="B43" s="95" t="s">
        <v>366</v>
      </c>
      <c r="C43" s="96">
        <v>40222012</v>
      </c>
      <c r="D43" s="97" t="s">
        <v>241</v>
      </c>
      <c r="E43" s="98"/>
      <c r="F43" s="98">
        <v>2000</v>
      </c>
      <c r="G43" s="98">
        <f>2013-Table2[[#This Row],[Startup Year]]</f>
        <v>13</v>
      </c>
      <c r="H43" s="98" t="s">
        <v>101</v>
      </c>
      <c r="I43" s="98" t="s">
        <v>108</v>
      </c>
      <c r="J43" s="98" t="s">
        <v>118</v>
      </c>
      <c r="K43" s="98">
        <v>0</v>
      </c>
      <c r="L43" s="98" t="s">
        <v>105</v>
      </c>
      <c r="M43" s="98" t="s">
        <v>105</v>
      </c>
      <c r="N43" s="98" t="s">
        <v>105</v>
      </c>
      <c r="O43" s="98" t="s">
        <v>105</v>
      </c>
      <c r="P43" s="98" t="s">
        <v>105</v>
      </c>
      <c r="Q43" s="98" t="s">
        <v>66</v>
      </c>
      <c r="R43" s="98" t="s">
        <v>72</v>
      </c>
      <c r="S4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43" s="98">
        <v>15.221518987341771</v>
      </c>
      <c r="U43" s="98"/>
      <c r="V43" s="98">
        <f>VLOOKUP(H43,'Ext. Pa'!$B$3:$C$77,2,FALSE)</f>
        <v>1</v>
      </c>
      <c r="W43" s="98">
        <f>VLOOKUP(I43,'Ext. Pa'!$B$3:$C$77,2,FALSE)</f>
        <v>1</v>
      </c>
      <c r="X43" s="98">
        <f>VLOOKUP(J43,'Ext. Pa'!$B$3:$C$77,2,FALSE)</f>
        <v>0</v>
      </c>
      <c r="Y43" s="98">
        <f>VLOOKUP(K43,'Ext. Pa'!$B$3:$C$77,2,FALSE)</f>
        <v>0</v>
      </c>
      <c r="Z43" s="98">
        <f>VLOOKUP(L43,'Ext. Pa'!$B$3:$C$77,2,FALSE)</f>
        <v>5</v>
      </c>
      <c r="AA43" s="98">
        <f>VLOOKUP(M43,'Ext. Pa'!$B$3:$C$77,2,FALSE)</f>
        <v>5</v>
      </c>
      <c r="AB43" s="98">
        <f>VLOOKUP(N43,'Ext. Pa'!$B$3:$C$77,2,FALSE)</f>
        <v>5</v>
      </c>
      <c r="AC43" s="98">
        <f>VLOOKUP(O43,'Ext. Pa'!$B$3:$C$77,2,FALSE)</f>
        <v>5</v>
      </c>
      <c r="AD43" s="98">
        <f>VLOOKUP(P43,'Ext. Pa'!$B$3:$C$77,2,FALSE)</f>
        <v>5</v>
      </c>
      <c r="AE43" s="98">
        <f>VLOOKUP(Q43,'Ext. Pa'!$B$3:$C$77,2,FALSE)</f>
        <v>6</v>
      </c>
      <c r="AF43" s="99">
        <f t="shared" si="3"/>
        <v>3.25</v>
      </c>
      <c r="AG43" s="134">
        <f>Table2[[#This Row],[Coating defect survey10]]</f>
        <v>5</v>
      </c>
      <c r="AH43" s="134">
        <f>Table2[[#This Row],[CP Level within NACE Criteria4]]</f>
        <v>1</v>
      </c>
      <c r="AI43" s="135">
        <f>IF(Table2[[#This Row],[CP level]]&gt;9.9,1,0)</f>
        <v>0</v>
      </c>
      <c r="AJ43" s="135">
        <f>Table2[[#This Row],[Column3]]*Table2[[#This Row],[Coating defect survey2]]</f>
        <v>0</v>
      </c>
      <c r="AK4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</row>
    <row r="44" spans="1:37" s="100" customFormat="1">
      <c r="A44" s="94">
        <v>1</v>
      </c>
      <c r="B44" s="95" t="s">
        <v>367</v>
      </c>
      <c r="C44" s="96">
        <v>402110001</v>
      </c>
      <c r="D44" s="97" t="s">
        <v>242</v>
      </c>
      <c r="E44" s="98"/>
      <c r="F44" s="98">
        <v>1989</v>
      </c>
      <c r="G44" s="98">
        <f>2013-Table2[[#This Row],[Startup Year]]</f>
        <v>24</v>
      </c>
      <c r="H44" s="98" t="s">
        <v>103</v>
      </c>
      <c r="I44" s="98" t="s">
        <v>108</v>
      </c>
      <c r="J44" s="98" t="s">
        <v>113</v>
      </c>
      <c r="K44" s="98">
        <v>0</v>
      </c>
      <c r="L44" s="98" t="s">
        <v>105</v>
      </c>
      <c r="M44" s="98" t="s">
        <v>129</v>
      </c>
      <c r="N44" s="98" t="s">
        <v>129</v>
      </c>
      <c r="O44" s="98" t="s">
        <v>105</v>
      </c>
      <c r="P44" s="98" t="s">
        <v>151</v>
      </c>
      <c r="Q44" s="98" t="s">
        <v>66</v>
      </c>
      <c r="R44" s="98" t="s">
        <v>72</v>
      </c>
      <c r="S4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22.151898734177212</v>
      </c>
      <c r="T44" s="98">
        <v>19.493670000000002</v>
      </c>
      <c r="U44" s="98"/>
      <c r="V44" s="98">
        <f>VLOOKUP(H44,'Ext. Pa'!$B$3:$C$77,2,FALSE)</f>
        <v>5</v>
      </c>
      <c r="W44" s="98">
        <f>VLOOKUP(I44,'Ext. Pa'!$B$3:$C$77,2,FALSE)</f>
        <v>1</v>
      </c>
      <c r="X44" s="98">
        <f>VLOOKUP(J44,'Ext. Pa'!$B$3:$C$77,2,FALSE)</f>
        <v>4</v>
      </c>
      <c r="Y44" s="98">
        <f>VLOOKUP(K44,'Ext. Pa'!$B$3:$C$77,2,FALSE)</f>
        <v>0</v>
      </c>
      <c r="Z44" s="98">
        <f>VLOOKUP(L44,'Ext. Pa'!$B$3:$C$77,2,FALSE)</f>
        <v>5</v>
      </c>
      <c r="AA44" s="98">
        <f>VLOOKUP(M44,'Ext. Pa'!$B$3:$C$77,2,FALSE)</f>
        <v>1</v>
      </c>
      <c r="AB44" s="98">
        <f>VLOOKUP(N44,'Ext. Pa'!$B$3:$C$77,2,FALSE)</f>
        <v>1</v>
      </c>
      <c r="AC44" s="98">
        <f>VLOOKUP(O44,'Ext. Pa'!$B$3:$C$77,2,FALSE)</f>
        <v>5</v>
      </c>
      <c r="AD44" s="98">
        <f>VLOOKUP(P44,'Ext. Pa'!$B$3:$C$77,2,FALSE)</f>
        <v>6</v>
      </c>
      <c r="AE44" s="98">
        <f>VLOOKUP(Q44,'Ext. Pa'!$B$3:$C$77,2,FALSE)</f>
        <v>6</v>
      </c>
      <c r="AF44" s="99">
        <f t="shared" si="3"/>
        <v>6</v>
      </c>
      <c r="AG44" s="134">
        <f>Table2[[#This Row],[Coating defect survey10]]</f>
        <v>5</v>
      </c>
      <c r="AH44" s="134">
        <f>Table2[[#This Row],[CP Level within NACE Criteria4]]</f>
        <v>1</v>
      </c>
      <c r="AI44" s="135">
        <f>IF(Table2[[#This Row],[CP level]]&gt;9.9,1,0)</f>
        <v>0</v>
      </c>
      <c r="AJ44" s="135">
        <f>Table2[[#This Row],[Column3]]*Table2[[#This Row],[Coating defect survey2]]</f>
        <v>0</v>
      </c>
      <c r="AK44" s="170">
        <v>19.493670000000002</v>
      </c>
    </row>
    <row r="45" spans="1:37" s="218" customFormat="1">
      <c r="A45" s="84">
        <v>1</v>
      </c>
      <c r="B45" s="216" t="s">
        <v>368</v>
      </c>
      <c r="C45" s="81">
        <v>402210001</v>
      </c>
      <c r="D45" s="82" t="s">
        <v>243</v>
      </c>
      <c r="E45" s="85"/>
      <c r="F45" s="85">
        <v>2000</v>
      </c>
      <c r="G45" s="85">
        <f>2013-Table2[[#This Row],[Startup Year]]</f>
        <v>13</v>
      </c>
      <c r="H45" s="85" t="s">
        <v>101</v>
      </c>
      <c r="I45" s="85" t="s">
        <v>108</v>
      </c>
      <c r="J45" s="85" t="s">
        <v>118</v>
      </c>
      <c r="K45" s="85" t="s">
        <v>123</v>
      </c>
      <c r="L45" s="85" t="s">
        <v>105</v>
      </c>
      <c r="M45" s="85" t="s">
        <v>105</v>
      </c>
      <c r="N45" s="85" t="s">
        <v>105</v>
      </c>
      <c r="O45" s="85" t="s">
        <v>105</v>
      </c>
      <c r="P45" s="85" t="s">
        <v>151</v>
      </c>
      <c r="Q45" s="85" t="s">
        <v>66</v>
      </c>
      <c r="R45" s="85" t="s">
        <v>72</v>
      </c>
      <c r="S45" s="85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34.841772151898731</v>
      </c>
      <c r="T45" s="85">
        <v>19.493670000000002</v>
      </c>
      <c r="U45" s="85"/>
      <c r="V45" s="85">
        <f>VLOOKUP(H45,'Ext. Pa'!$B$3:$C$77,2,FALSE)</f>
        <v>1</v>
      </c>
      <c r="W45" s="85">
        <f>VLOOKUP(I45,'Ext. Pa'!$B$3:$C$77,2,FALSE)</f>
        <v>1</v>
      </c>
      <c r="X45" s="85">
        <f>VLOOKUP(J45,'Ext. Pa'!$B$3:$C$77,2,FALSE)</f>
        <v>0</v>
      </c>
      <c r="Y45" s="85">
        <f>VLOOKUP(K45,'Ext. Pa'!$B$3:$C$77,2,FALSE)</f>
        <v>6</v>
      </c>
      <c r="Z45" s="85">
        <f>VLOOKUP(L45,'Ext. Pa'!$B$3:$C$77,2,FALSE)</f>
        <v>5</v>
      </c>
      <c r="AA45" s="85">
        <f>VLOOKUP(M45,'Ext. Pa'!$B$3:$C$77,2,FALSE)</f>
        <v>5</v>
      </c>
      <c r="AB45" s="85">
        <f>VLOOKUP(N45,'Ext. Pa'!$B$3:$C$77,2,FALSE)</f>
        <v>5</v>
      </c>
      <c r="AC45" s="85">
        <f>VLOOKUP(O45,'Ext. Pa'!$B$3:$C$77,2,FALSE)</f>
        <v>5</v>
      </c>
      <c r="AD45" s="85">
        <f>VLOOKUP(P45,'Ext. Pa'!$B$3:$C$77,2,FALSE)</f>
        <v>6</v>
      </c>
      <c r="AE45" s="85">
        <f>VLOOKUP(Q45,'Ext. Pa'!$B$3:$C$77,2,FALSE)</f>
        <v>6</v>
      </c>
      <c r="AF45" s="217">
        <f t="shared" si="3"/>
        <v>3.25</v>
      </c>
      <c r="AG45" s="123">
        <f>Table2[[#This Row],[Coating defect survey10]]</f>
        <v>5</v>
      </c>
      <c r="AH45" s="123">
        <f>Table2[[#This Row],[CP Level within NACE Criteria4]]</f>
        <v>1</v>
      </c>
      <c r="AI45" s="127">
        <f>IF(Table2[[#This Row],[CP level]]&gt;9.9,1,0)</f>
        <v>0</v>
      </c>
      <c r="AJ45" s="127">
        <f>Table2[[#This Row],[Column3]]*Table2[[#This Row],[Coating defect survey2]]</f>
        <v>0</v>
      </c>
      <c r="AK45" s="65">
        <v>19.493670000000002</v>
      </c>
    </row>
    <row r="46" spans="1:37" s="100" customFormat="1">
      <c r="A46" s="94">
        <v>1</v>
      </c>
      <c r="B46" s="95" t="s">
        <v>369</v>
      </c>
      <c r="C46" s="96">
        <v>402210003</v>
      </c>
      <c r="D46" s="97" t="s">
        <v>244</v>
      </c>
      <c r="E46" s="98"/>
      <c r="F46" s="98">
        <v>2000</v>
      </c>
      <c r="G46" s="98">
        <f>2013-Table2[[#This Row],[Startup Year]]</f>
        <v>13</v>
      </c>
      <c r="H46" s="98" t="s">
        <v>101</v>
      </c>
      <c r="I46" s="98" t="s">
        <v>108</v>
      </c>
      <c r="J46" s="98" t="s">
        <v>113</v>
      </c>
      <c r="K46" s="98">
        <v>0</v>
      </c>
      <c r="L46" s="98" t="s">
        <v>105</v>
      </c>
      <c r="M46" s="98" t="s">
        <v>105</v>
      </c>
      <c r="N46" s="98" t="s">
        <v>105</v>
      </c>
      <c r="O46" s="98" t="s">
        <v>105</v>
      </c>
      <c r="P46" s="98" t="s">
        <v>105</v>
      </c>
      <c r="Q46" s="98" t="s">
        <v>66</v>
      </c>
      <c r="R46" s="98" t="s">
        <v>72</v>
      </c>
      <c r="S4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46" s="98">
        <v>19.493670000000002</v>
      </c>
      <c r="U46" s="98"/>
      <c r="V46" s="98">
        <f>VLOOKUP(H46,'Ext. Pa'!$B$3:$C$77,2,FALSE)</f>
        <v>1</v>
      </c>
      <c r="W46" s="98">
        <f>VLOOKUP(I46,'Ext. Pa'!$B$3:$C$77,2,FALSE)</f>
        <v>1</v>
      </c>
      <c r="X46" s="98">
        <f>VLOOKUP(J46,'Ext. Pa'!$B$3:$C$77,2,FALSE)</f>
        <v>4</v>
      </c>
      <c r="Y46" s="98">
        <f>VLOOKUP(K46,'Ext. Pa'!$B$3:$C$77,2,FALSE)</f>
        <v>0</v>
      </c>
      <c r="Z46" s="98">
        <f>VLOOKUP(L46,'Ext. Pa'!$B$3:$C$77,2,FALSE)</f>
        <v>5</v>
      </c>
      <c r="AA46" s="98">
        <f>VLOOKUP(M46,'Ext. Pa'!$B$3:$C$77,2,FALSE)</f>
        <v>5</v>
      </c>
      <c r="AB46" s="98">
        <f>VLOOKUP(N46,'Ext. Pa'!$B$3:$C$77,2,FALSE)</f>
        <v>5</v>
      </c>
      <c r="AC46" s="98">
        <f>VLOOKUP(O46,'Ext. Pa'!$B$3:$C$77,2,FALSE)</f>
        <v>5</v>
      </c>
      <c r="AD46" s="98">
        <f>VLOOKUP(P46,'Ext. Pa'!$B$3:$C$77,2,FALSE)</f>
        <v>5</v>
      </c>
      <c r="AE46" s="98">
        <f>VLOOKUP(Q46,'Ext. Pa'!$B$3:$C$77,2,FALSE)</f>
        <v>6</v>
      </c>
      <c r="AF46" s="99">
        <f t="shared" si="3"/>
        <v>3.25</v>
      </c>
      <c r="AG46" s="134">
        <f>Table2[[#This Row],[Coating defect survey10]]</f>
        <v>5</v>
      </c>
      <c r="AH46" s="134">
        <f>Table2[[#This Row],[CP Level within NACE Criteria4]]</f>
        <v>1</v>
      </c>
      <c r="AI46" s="135">
        <f>IF(Table2[[#This Row],[CP level]]&gt;9.9,1,0)</f>
        <v>0</v>
      </c>
      <c r="AJ46" s="135">
        <f>Table2[[#This Row],[Column3]]*Table2[[#This Row],[Coating defect survey2]]</f>
        <v>0</v>
      </c>
      <c r="AK46" s="170">
        <v>19.493670000000002</v>
      </c>
    </row>
    <row r="47" spans="1:37" s="100" customFormat="1">
      <c r="A47" s="128">
        <v>1</v>
      </c>
      <c r="B47" s="129" t="s">
        <v>577</v>
      </c>
      <c r="C47" s="96">
        <v>4030301</v>
      </c>
      <c r="D47" s="97" t="s">
        <v>578</v>
      </c>
      <c r="E47" s="130"/>
      <c r="F47" s="130">
        <v>2000</v>
      </c>
      <c r="G47" s="130">
        <f>2013-Table2[[#This Row],[Startup Year]]</f>
        <v>13</v>
      </c>
      <c r="H47" s="130" t="s">
        <v>101</v>
      </c>
      <c r="I47" s="130" t="s">
        <v>108</v>
      </c>
      <c r="J47" s="130" t="s">
        <v>113</v>
      </c>
      <c r="K47" s="98">
        <v>0</v>
      </c>
      <c r="L47" s="130" t="s">
        <v>105</v>
      </c>
      <c r="M47" s="130" t="s">
        <v>105</v>
      </c>
      <c r="N47" s="130" t="s">
        <v>105</v>
      </c>
      <c r="O47" s="130" t="s">
        <v>144</v>
      </c>
      <c r="P47" s="130" t="s">
        <v>105</v>
      </c>
      <c r="Q47" s="130" t="s">
        <v>66</v>
      </c>
      <c r="R47" s="130" t="s">
        <v>72</v>
      </c>
      <c r="S4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47" s="98">
        <v>19.493670000000002</v>
      </c>
      <c r="U47" s="130"/>
      <c r="V47" s="131">
        <f>VLOOKUP(H47,'Ext. Pa'!$B$3:$C$77,2,FALSE)</f>
        <v>1</v>
      </c>
      <c r="W47" s="130">
        <f>VLOOKUP(I47,'Ext. Pa'!$B$3:$C$77,2,FALSE)</f>
        <v>1</v>
      </c>
      <c r="X47" s="130">
        <f>VLOOKUP(J47,'Ext. Pa'!$B$3:$C$77,2,FALSE)</f>
        <v>4</v>
      </c>
      <c r="Y47" s="130">
        <f>VLOOKUP(K47,'Ext. Pa'!$B$3:$C$77,2,FALSE)</f>
        <v>0</v>
      </c>
      <c r="Z47" s="130">
        <f>VLOOKUP(L47,'Ext. Pa'!$B$3:$C$77,2,FALSE)</f>
        <v>5</v>
      </c>
      <c r="AA47" s="130">
        <f>VLOOKUP(M47,'Ext. Pa'!$B$3:$C$77,2,FALSE)</f>
        <v>5</v>
      </c>
      <c r="AB47" s="130">
        <f>VLOOKUP(N47,'Ext. Pa'!$B$3:$C$77,2,FALSE)</f>
        <v>5</v>
      </c>
      <c r="AC47" s="130">
        <f>VLOOKUP(O47,'Ext. Pa'!$B$3:$C$77,2,FALSE)</f>
        <v>3</v>
      </c>
      <c r="AD47" s="130">
        <f>VLOOKUP(P47,'Ext. Pa'!$B$3:$C$77,2,FALSE)</f>
        <v>5</v>
      </c>
      <c r="AE47" s="130">
        <f>VLOOKUP(Q47,'Ext. Pa'!$B$3:$C$77,2,FALSE)</f>
        <v>6</v>
      </c>
      <c r="AF47" s="132">
        <f t="shared" si="3"/>
        <v>3.25</v>
      </c>
      <c r="AG47" s="133">
        <f>Table2[[#This Row],[Coating defect survey10]]</f>
        <v>3</v>
      </c>
      <c r="AH47" s="134">
        <f>Table2[[#This Row],[CP Level within NACE Criteria4]]</f>
        <v>1</v>
      </c>
      <c r="AI47" s="135">
        <f>IF(Table2[[#This Row],[CP level]]&gt;9.9,1,0)</f>
        <v>0</v>
      </c>
      <c r="AJ47" s="135">
        <f>Table2[[#This Row],[Column3]]*Table2[[#This Row],[Coating defect survey2]]</f>
        <v>0</v>
      </c>
      <c r="AK47" s="170">
        <v>19.493670000000002</v>
      </c>
    </row>
    <row r="48" spans="1:37" s="100" customFormat="1" ht="25.5">
      <c r="A48" s="94">
        <v>1</v>
      </c>
      <c r="B48" s="95" t="s">
        <v>370</v>
      </c>
      <c r="C48" s="96">
        <v>405110101</v>
      </c>
      <c r="D48" s="97" t="s">
        <v>245</v>
      </c>
      <c r="E48" s="98"/>
      <c r="F48" s="98">
        <v>2000</v>
      </c>
      <c r="G48" s="98">
        <f>2013-Table2[[#This Row],[Startup Year]]</f>
        <v>13</v>
      </c>
      <c r="H48" s="98" t="s">
        <v>101</v>
      </c>
      <c r="I48" s="98" t="s">
        <v>108</v>
      </c>
      <c r="J48" s="98" t="s">
        <v>113</v>
      </c>
      <c r="K48" s="98">
        <v>0</v>
      </c>
      <c r="L48" s="98" t="s">
        <v>105</v>
      </c>
      <c r="M48" s="98" t="s">
        <v>105</v>
      </c>
      <c r="N48" s="98" t="s">
        <v>105</v>
      </c>
      <c r="O48" s="98" t="s">
        <v>105</v>
      </c>
      <c r="P48" s="98" t="s">
        <v>105</v>
      </c>
      <c r="Q48" s="98" t="s">
        <v>66</v>
      </c>
      <c r="R48" s="98" t="s">
        <v>72</v>
      </c>
      <c r="S4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48" s="98">
        <v>19.493670000000002</v>
      </c>
      <c r="U48" s="98"/>
      <c r="V48" s="98">
        <f>VLOOKUP(H48,'Ext. Pa'!$B$3:$C$77,2,FALSE)</f>
        <v>1</v>
      </c>
      <c r="W48" s="98">
        <f>VLOOKUP(I48,'Ext. Pa'!$B$3:$C$77,2,FALSE)</f>
        <v>1</v>
      </c>
      <c r="X48" s="98">
        <f>VLOOKUP(J48,'Ext. Pa'!$B$3:$C$77,2,FALSE)</f>
        <v>4</v>
      </c>
      <c r="Y48" s="98">
        <f>VLOOKUP(K48,'Ext. Pa'!$B$3:$C$77,2,FALSE)</f>
        <v>0</v>
      </c>
      <c r="Z48" s="98">
        <f>VLOOKUP(L48,'Ext. Pa'!$B$3:$C$77,2,FALSE)</f>
        <v>5</v>
      </c>
      <c r="AA48" s="98">
        <f>VLOOKUP(M48,'Ext. Pa'!$B$3:$C$77,2,FALSE)</f>
        <v>5</v>
      </c>
      <c r="AB48" s="98">
        <f>VLOOKUP(N48,'Ext. Pa'!$B$3:$C$77,2,FALSE)</f>
        <v>5</v>
      </c>
      <c r="AC48" s="98">
        <f>VLOOKUP(O48,'Ext. Pa'!$B$3:$C$77,2,FALSE)</f>
        <v>5</v>
      </c>
      <c r="AD48" s="98">
        <f>VLOOKUP(P48,'Ext. Pa'!$B$3:$C$77,2,FALSE)</f>
        <v>5</v>
      </c>
      <c r="AE48" s="98">
        <f>VLOOKUP(Q48,'Ext. Pa'!$B$3:$C$77,2,FALSE)</f>
        <v>6</v>
      </c>
      <c r="AF48" s="99">
        <f t="shared" si="3"/>
        <v>3.25</v>
      </c>
      <c r="AG48" s="134">
        <f>Table2[[#This Row],[Coating defect survey10]]</f>
        <v>5</v>
      </c>
      <c r="AH48" s="134">
        <f>Table2[[#This Row],[CP Level within NACE Criteria4]]</f>
        <v>1</v>
      </c>
      <c r="AI48" s="135">
        <f>IF(Table2[[#This Row],[CP level]]&gt;9.9,1,0)</f>
        <v>0</v>
      </c>
      <c r="AJ48" s="135">
        <f>Table2[[#This Row],[Column3]]*Table2[[#This Row],[Coating defect survey2]]</f>
        <v>0</v>
      </c>
      <c r="AK48" s="170">
        <v>19.493670000000002</v>
      </c>
    </row>
    <row r="49" spans="1:37" s="100" customFormat="1">
      <c r="A49" s="128">
        <v>1</v>
      </c>
      <c r="B49" s="129" t="s">
        <v>610</v>
      </c>
      <c r="C49" s="96">
        <v>4052</v>
      </c>
      <c r="D49" s="97" t="s">
        <v>611</v>
      </c>
      <c r="E49" s="130"/>
      <c r="F49" s="130">
        <v>2000</v>
      </c>
      <c r="G49" s="130">
        <f>2013-Table2[[#This Row],[Startup Year]]</f>
        <v>13</v>
      </c>
      <c r="H49" s="130" t="s">
        <v>101</v>
      </c>
      <c r="I49" s="130" t="s">
        <v>108</v>
      </c>
      <c r="J49" s="130" t="s">
        <v>113</v>
      </c>
      <c r="K49" s="98">
        <v>0</v>
      </c>
      <c r="L49" s="130" t="s">
        <v>105</v>
      </c>
      <c r="M49" s="130" t="s">
        <v>105</v>
      </c>
      <c r="N49" s="130" t="s">
        <v>105</v>
      </c>
      <c r="O49" s="130" t="s">
        <v>105</v>
      </c>
      <c r="P49" s="130" t="s">
        <v>105</v>
      </c>
      <c r="Q49" s="130" t="s">
        <v>66</v>
      </c>
      <c r="R49" s="130" t="s">
        <v>72</v>
      </c>
      <c r="S4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49" s="131">
        <v>19.493670000000002</v>
      </c>
      <c r="U49" s="130"/>
      <c r="V49" s="131">
        <f>VLOOKUP(H49,'Ext. Pa'!$B$3:$C$77,2,FALSE)</f>
        <v>1</v>
      </c>
      <c r="W49" s="130">
        <f>VLOOKUP(I49,'Ext. Pa'!$B$3:$C$77,2,FALSE)</f>
        <v>1</v>
      </c>
      <c r="X49" s="130">
        <f>VLOOKUP(J49,'Ext. Pa'!$B$3:$C$77,2,FALSE)</f>
        <v>4</v>
      </c>
      <c r="Y49" s="130">
        <f>VLOOKUP(K49,'Ext. Pa'!$B$3:$C$77,2,FALSE)</f>
        <v>0</v>
      </c>
      <c r="Z49" s="130">
        <f>VLOOKUP(L49,'Ext. Pa'!$B$3:$C$77,2,FALSE)</f>
        <v>5</v>
      </c>
      <c r="AA49" s="130">
        <f>VLOOKUP(M49,'Ext. Pa'!$B$3:$C$77,2,FALSE)</f>
        <v>5</v>
      </c>
      <c r="AB49" s="130">
        <f>VLOOKUP(N49,'Ext. Pa'!$B$3:$C$77,2,FALSE)</f>
        <v>5</v>
      </c>
      <c r="AC49" s="130">
        <f>VLOOKUP(O49,'Ext. Pa'!$B$3:$C$77,2,FALSE)</f>
        <v>5</v>
      </c>
      <c r="AD49" s="130">
        <f>VLOOKUP(P49,'Ext. Pa'!$B$3:$C$77,2,FALSE)</f>
        <v>5</v>
      </c>
      <c r="AE49" s="130">
        <f>VLOOKUP(Q49,'Ext. Pa'!$B$3:$C$77,2,FALSE)</f>
        <v>6</v>
      </c>
      <c r="AF49" s="132">
        <f t="shared" si="3"/>
        <v>3.25</v>
      </c>
      <c r="AG49" s="134">
        <f>Table2[[#This Row],[Coating defect survey10]]</f>
        <v>5</v>
      </c>
      <c r="AH49" s="134">
        <f>Table2[[#This Row],[CP Level within NACE Criteria4]]</f>
        <v>1</v>
      </c>
      <c r="AI49" s="135">
        <f>IF(Table2[[#This Row],[CP level]]&gt;9.9,1,0)</f>
        <v>0</v>
      </c>
      <c r="AJ49" s="135">
        <f>Table2[[#This Row],[Column3]]*Table2[[#This Row],[Coating defect survey2]]</f>
        <v>0</v>
      </c>
      <c r="AK49" s="170">
        <v>19.493670000000002</v>
      </c>
    </row>
    <row r="50" spans="1:37" s="100" customFormat="1">
      <c r="A50" s="128">
        <v>1</v>
      </c>
      <c r="B50" s="129" t="s">
        <v>562</v>
      </c>
      <c r="C50" s="96">
        <v>44021001</v>
      </c>
      <c r="D50" s="97" t="s">
        <v>563</v>
      </c>
      <c r="E50" s="130"/>
      <c r="F50" s="130">
        <v>2000</v>
      </c>
      <c r="G50" s="130">
        <f>2013-Table2[[#This Row],[Startup Year]]</f>
        <v>13</v>
      </c>
      <c r="H50" s="130" t="s">
        <v>101</v>
      </c>
      <c r="I50" s="130" t="s">
        <v>108</v>
      </c>
      <c r="J50" s="130" t="s">
        <v>113</v>
      </c>
      <c r="K50" s="98">
        <v>0</v>
      </c>
      <c r="L50" s="130" t="s">
        <v>105</v>
      </c>
      <c r="M50" s="130" t="s">
        <v>105</v>
      </c>
      <c r="N50" s="130" t="s">
        <v>105</v>
      </c>
      <c r="O50" s="130" t="s">
        <v>143</v>
      </c>
      <c r="P50" s="130" t="s">
        <v>105</v>
      </c>
      <c r="Q50" s="130" t="s">
        <v>66</v>
      </c>
      <c r="R50" s="130" t="s">
        <v>72</v>
      </c>
      <c r="S5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0" s="131">
        <v>19.493670000000002</v>
      </c>
      <c r="U50" s="130"/>
      <c r="V50" s="131">
        <f>VLOOKUP(H50,'Ext. Pa'!$B$3:$C$77,2,FALSE)</f>
        <v>1</v>
      </c>
      <c r="W50" s="130">
        <f>VLOOKUP(I50,'Ext. Pa'!$B$3:$C$77,2,FALSE)</f>
        <v>1</v>
      </c>
      <c r="X50" s="130">
        <f>VLOOKUP(J50,'Ext. Pa'!$B$3:$C$77,2,FALSE)</f>
        <v>4</v>
      </c>
      <c r="Y50" s="130">
        <f>VLOOKUP(K50,'Ext. Pa'!$B$3:$C$77,2,FALSE)</f>
        <v>0</v>
      </c>
      <c r="Z50" s="130">
        <f>VLOOKUP(L50,'Ext. Pa'!$B$3:$C$77,2,FALSE)</f>
        <v>5</v>
      </c>
      <c r="AA50" s="130">
        <f>VLOOKUP(M50,'Ext. Pa'!$B$3:$C$77,2,FALSE)</f>
        <v>5</v>
      </c>
      <c r="AB50" s="130">
        <f>VLOOKUP(N50,'Ext. Pa'!$B$3:$C$77,2,FALSE)</f>
        <v>5</v>
      </c>
      <c r="AC50" s="130">
        <f>VLOOKUP(O50,'Ext. Pa'!$B$3:$C$77,2,FALSE)</f>
        <v>1</v>
      </c>
      <c r="AD50" s="130">
        <f>VLOOKUP(P50,'Ext. Pa'!$B$3:$C$77,2,FALSE)</f>
        <v>5</v>
      </c>
      <c r="AE50" s="130">
        <f>VLOOKUP(Q50,'Ext. Pa'!$B$3:$C$77,2,FALSE)</f>
        <v>6</v>
      </c>
      <c r="AF50" s="132">
        <f t="shared" si="3"/>
        <v>3.25</v>
      </c>
      <c r="AG50" s="134">
        <f>Table2[[#This Row],[Coating defect survey10]]</f>
        <v>1</v>
      </c>
      <c r="AH50" s="134">
        <f>Table2[[#This Row],[CP Level within NACE Criteria4]]</f>
        <v>1</v>
      </c>
      <c r="AI50" s="135">
        <f>IF(Table2[[#This Row],[CP level]]&gt;9.9,1,0)</f>
        <v>0</v>
      </c>
      <c r="AJ50" s="135">
        <f>Table2[[#This Row],[Column3]]*Table2[[#This Row],[Coating defect survey2]]</f>
        <v>0</v>
      </c>
      <c r="AK50" s="170">
        <v>19.493670000000002</v>
      </c>
    </row>
    <row r="51" spans="1:37" s="100" customFormat="1">
      <c r="A51" s="94">
        <v>1</v>
      </c>
      <c r="B51" s="95" t="s">
        <v>371</v>
      </c>
      <c r="C51" s="96">
        <v>440210002</v>
      </c>
      <c r="D51" s="97" t="s">
        <v>246</v>
      </c>
      <c r="E51" s="98"/>
      <c r="F51" s="98">
        <v>2000</v>
      </c>
      <c r="G51" s="98">
        <f>2013-Table2[[#This Row],[Startup Year]]</f>
        <v>13</v>
      </c>
      <c r="H51" s="98" t="s">
        <v>101</v>
      </c>
      <c r="I51" s="98" t="s">
        <v>108</v>
      </c>
      <c r="J51" s="98" t="s">
        <v>113</v>
      </c>
      <c r="K51" s="98">
        <v>0</v>
      </c>
      <c r="L51" s="98" t="s">
        <v>105</v>
      </c>
      <c r="M51" s="98" t="s">
        <v>105</v>
      </c>
      <c r="N51" s="98" t="s">
        <v>105</v>
      </c>
      <c r="O51" s="98" t="s">
        <v>143</v>
      </c>
      <c r="P51" s="98" t="s">
        <v>105</v>
      </c>
      <c r="Q51" s="98" t="s">
        <v>66</v>
      </c>
      <c r="R51" s="98" t="s">
        <v>72</v>
      </c>
      <c r="S5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1" s="98">
        <v>19.493670000000002</v>
      </c>
      <c r="U51" s="98"/>
      <c r="V51" s="98">
        <f>VLOOKUP(H51,'Ext. Pa'!$B$3:$C$77,2,FALSE)</f>
        <v>1</v>
      </c>
      <c r="W51" s="98">
        <f>VLOOKUP(I51,'Ext. Pa'!$B$3:$C$77,2,FALSE)</f>
        <v>1</v>
      </c>
      <c r="X51" s="98">
        <f>VLOOKUP(J51,'Ext. Pa'!$B$3:$C$77,2,FALSE)</f>
        <v>4</v>
      </c>
      <c r="Y51" s="98">
        <f>VLOOKUP(K51,'Ext. Pa'!$B$3:$C$77,2,FALSE)</f>
        <v>0</v>
      </c>
      <c r="Z51" s="98">
        <f>VLOOKUP(L51,'Ext. Pa'!$B$3:$C$77,2,FALSE)</f>
        <v>5</v>
      </c>
      <c r="AA51" s="98">
        <f>VLOOKUP(M51,'Ext. Pa'!$B$3:$C$77,2,FALSE)</f>
        <v>5</v>
      </c>
      <c r="AB51" s="98">
        <f>VLOOKUP(N51,'Ext. Pa'!$B$3:$C$77,2,FALSE)</f>
        <v>5</v>
      </c>
      <c r="AC51" s="98">
        <f>VLOOKUP(O51,'Ext. Pa'!$B$3:$C$77,2,FALSE)</f>
        <v>1</v>
      </c>
      <c r="AD51" s="98">
        <f>VLOOKUP(P51,'Ext. Pa'!$B$3:$C$77,2,FALSE)</f>
        <v>5</v>
      </c>
      <c r="AE51" s="98">
        <f>VLOOKUP(Q51,'Ext. Pa'!$B$3:$C$77,2,FALSE)</f>
        <v>6</v>
      </c>
      <c r="AF51" s="99">
        <f t="shared" si="3"/>
        <v>3.25</v>
      </c>
      <c r="AG51" s="134">
        <f>Table2[[#This Row],[Coating defect survey10]]</f>
        <v>1</v>
      </c>
      <c r="AH51" s="134">
        <f>Table2[[#This Row],[CP Level within NACE Criteria4]]</f>
        <v>1</v>
      </c>
      <c r="AI51" s="135">
        <f>IF(Table2[[#This Row],[CP level]]&gt;9.9,1,0)</f>
        <v>0</v>
      </c>
      <c r="AJ51" s="135">
        <f>Table2[[#This Row],[Column3]]*Table2[[#This Row],[Coating defect survey2]]</f>
        <v>0</v>
      </c>
      <c r="AK51" s="170">
        <v>19.493670000000002</v>
      </c>
    </row>
    <row r="52" spans="1:37" s="100" customFormat="1">
      <c r="A52" s="128">
        <v>1</v>
      </c>
      <c r="B52" s="129" t="s">
        <v>564</v>
      </c>
      <c r="C52" s="96">
        <v>440210003</v>
      </c>
      <c r="D52" s="97" t="s">
        <v>565</v>
      </c>
      <c r="E52" s="130"/>
      <c r="F52" s="130">
        <v>2000</v>
      </c>
      <c r="G52" s="130">
        <f>2013-Table2[[#This Row],[Startup Year]]</f>
        <v>13</v>
      </c>
      <c r="H52" s="130" t="s">
        <v>101</v>
      </c>
      <c r="I52" s="130" t="s">
        <v>108</v>
      </c>
      <c r="J52" s="130" t="s">
        <v>113</v>
      </c>
      <c r="K52" s="98">
        <v>0</v>
      </c>
      <c r="L52" s="130" t="s">
        <v>105</v>
      </c>
      <c r="M52" s="130" t="s">
        <v>105</v>
      </c>
      <c r="N52" s="130" t="s">
        <v>105</v>
      </c>
      <c r="O52" s="130" t="s">
        <v>143</v>
      </c>
      <c r="P52" s="130" t="s">
        <v>105</v>
      </c>
      <c r="Q52" s="130" t="s">
        <v>66</v>
      </c>
      <c r="R52" s="130" t="s">
        <v>72</v>
      </c>
      <c r="S5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2" s="131">
        <v>19.493670000000002</v>
      </c>
      <c r="U52" s="130"/>
      <c r="V52" s="131">
        <f>VLOOKUP(H52,'Ext. Pa'!$B$3:$C$77,2,FALSE)</f>
        <v>1</v>
      </c>
      <c r="W52" s="130">
        <f>VLOOKUP(I52,'Ext. Pa'!$B$3:$C$77,2,FALSE)</f>
        <v>1</v>
      </c>
      <c r="X52" s="130">
        <f>VLOOKUP(J52,'Ext. Pa'!$B$3:$C$77,2,FALSE)</f>
        <v>4</v>
      </c>
      <c r="Y52" s="130">
        <f>VLOOKUP(K52,'Ext. Pa'!$B$3:$C$77,2,FALSE)</f>
        <v>0</v>
      </c>
      <c r="Z52" s="130">
        <f>VLOOKUP(L52,'Ext. Pa'!$B$3:$C$77,2,FALSE)</f>
        <v>5</v>
      </c>
      <c r="AA52" s="130">
        <f>VLOOKUP(M52,'Ext. Pa'!$B$3:$C$77,2,FALSE)</f>
        <v>5</v>
      </c>
      <c r="AB52" s="130">
        <f>VLOOKUP(N52,'Ext. Pa'!$B$3:$C$77,2,FALSE)</f>
        <v>5</v>
      </c>
      <c r="AC52" s="130">
        <f>VLOOKUP(O52,'Ext. Pa'!$B$3:$C$77,2,FALSE)</f>
        <v>1</v>
      </c>
      <c r="AD52" s="130">
        <f>VLOOKUP(P52,'Ext. Pa'!$B$3:$C$77,2,FALSE)</f>
        <v>5</v>
      </c>
      <c r="AE52" s="130">
        <f>VLOOKUP(Q52,'Ext. Pa'!$B$3:$C$77,2,FALSE)</f>
        <v>6</v>
      </c>
      <c r="AF52" s="132">
        <f t="shared" si="3"/>
        <v>3.25</v>
      </c>
      <c r="AG52" s="134">
        <f>Table2[[#This Row],[Coating defect survey10]]</f>
        <v>1</v>
      </c>
      <c r="AH52" s="134">
        <f>Table2[[#This Row],[CP Level within NACE Criteria4]]</f>
        <v>1</v>
      </c>
      <c r="AI52" s="135">
        <f>IF(Table2[[#This Row],[CP level]]&gt;9.9,1,0)</f>
        <v>0</v>
      </c>
      <c r="AJ52" s="135">
        <f>Table2[[#This Row],[Column3]]*Table2[[#This Row],[Coating defect survey2]]</f>
        <v>0</v>
      </c>
      <c r="AK52" s="170">
        <v>19.493670000000002</v>
      </c>
    </row>
    <row r="53" spans="1:37" s="100" customFormat="1">
      <c r="A53" s="128">
        <v>1</v>
      </c>
      <c r="B53" s="129" t="s">
        <v>566</v>
      </c>
      <c r="C53" s="96">
        <v>440210004</v>
      </c>
      <c r="D53" s="97" t="s">
        <v>567</v>
      </c>
      <c r="E53" s="130"/>
      <c r="F53" s="130">
        <v>2000</v>
      </c>
      <c r="G53" s="130">
        <f>2013-Table2[[#This Row],[Startup Year]]</f>
        <v>13</v>
      </c>
      <c r="H53" s="130" t="s">
        <v>101</v>
      </c>
      <c r="I53" s="130" t="s">
        <v>108</v>
      </c>
      <c r="J53" s="130" t="s">
        <v>113</v>
      </c>
      <c r="K53" s="98">
        <v>0</v>
      </c>
      <c r="L53" s="130" t="s">
        <v>105</v>
      </c>
      <c r="M53" s="130" t="s">
        <v>105</v>
      </c>
      <c r="N53" s="130" t="s">
        <v>105</v>
      </c>
      <c r="O53" s="130" t="s">
        <v>143</v>
      </c>
      <c r="P53" s="130" t="s">
        <v>105</v>
      </c>
      <c r="Q53" s="130" t="s">
        <v>66</v>
      </c>
      <c r="R53" s="130" t="s">
        <v>72</v>
      </c>
      <c r="S5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3" s="131">
        <v>19.493670000000002</v>
      </c>
      <c r="U53" s="130"/>
      <c r="V53" s="131">
        <f>VLOOKUP(H53,'Ext. Pa'!$B$3:$C$77,2,FALSE)</f>
        <v>1</v>
      </c>
      <c r="W53" s="130">
        <f>VLOOKUP(I53,'Ext. Pa'!$B$3:$C$77,2,FALSE)</f>
        <v>1</v>
      </c>
      <c r="X53" s="130">
        <f>VLOOKUP(J53,'Ext. Pa'!$B$3:$C$77,2,FALSE)</f>
        <v>4</v>
      </c>
      <c r="Y53" s="130">
        <f>VLOOKUP(K53,'Ext. Pa'!$B$3:$C$77,2,FALSE)</f>
        <v>0</v>
      </c>
      <c r="Z53" s="130">
        <f>VLOOKUP(L53,'Ext. Pa'!$B$3:$C$77,2,FALSE)</f>
        <v>5</v>
      </c>
      <c r="AA53" s="130">
        <f>VLOOKUP(M53,'Ext. Pa'!$B$3:$C$77,2,FALSE)</f>
        <v>5</v>
      </c>
      <c r="AB53" s="130">
        <f>VLOOKUP(N53,'Ext. Pa'!$B$3:$C$77,2,FALSE)</f>
        <v>5</v>
      </c>
      <c r="AC53" s="130">
        <f>VLOOKUP(O53,'Ext. Pa'!$B$3:$C$77,2,FALSE)</f>
        <v>1</v>
      </c>
      <c r="AD53" s="130">
        <f>VLOOKUP(P53,'Ext. Pa'!$B$3:$C$77,2,FALSE)</f>
        <v>5</v>
      </c>
      <c r="AE53" s="130">
        <f>VLOOKUP(Q53,'Ext. Pa'!$B$3:$C$77,2,FALSE)</f>
        <v>6</v>
      </c>
      <c r="AF53" s="132">
        <f t="shared" si="3"/>
        <v>3.25</v>
      </c>
      <c r="AG53" s="134">
        <f>Table2[[#This Row],[Coating defect survey10]]</f>
        <v>1</v>
      </c>
      <c r="AH53" s="134">
        <f>Table2[[#This Row],[CP Level within NACE Criteria4]]</f>
        <v>1</v>
      </c>
      <c r="AI53" s="135">
        <f>IF(Table2[[#This Row],[CP level]]&gt;9.9,1,0)</f>
        <v>0</v>
      </c>
      <c r="AJ53" s="135">
        <f>Table2[[#This Row],[Column3]]*Table2[[#This Row],[Coating defect survey2]]</f>
        <v>0</v>
      </c>
      <c r="AK53" s="170">
        <v>19.493670000000002</v>
      </c>
    </row>
    <row r="54" spans="1:37" s="100" customFormat="1">
      <c r="A54" s="94">
        <v>1</v>
      </c>
      <c r="B54" s="95" t="s">
        <v>372</v>
      </c>
      <c r="C54" s="96">
        <v>440220001</v>
      </c>
      <c r="D54" s="97" t="s">
        <v>247</v>
      </c>
      <c r="E54" s="98"/>
      <c r="F54" s="98">
        <v>2000</v>
      </c>
      <c r="G54" s="98">
        <f>2013-Table2[[#This Row],[Startup Year]]</f>
        <v>13</v>
      </c>
      <c r="H54" s="98" t="s">
        <v>101</v>
      </c>
      <c r="I54" s="98" t="s">
        <v>108</v>
      </c>
      <c r="J54" s="98" t="s">
        <v>113</v>
      </c>
      <c r="K54" s="98">
        <v>0</v>
      </c>
      <c r="L54" s="98" t="s">
        <v>105</v>
      </c>
      <c r="M54" s="98" t="s">
        <v>105</v>
      </c>
      <c r="N54" s="98" t="s">
        <v>105</v>
      </c>
      <c r="O54" s="98" t="s">
        <v>105</v>
      </c>
      <c r="P54" s="98" t="s">
        <v>105</v>
      </c>
      <c r="Q54" s="98" t="s">
        <v>66</v>
      </c>
      <c r="R54" s="98" t="s">
        <v>72</v>
      </c>
      <c r="S5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4" s="98">
        <v>19.493670000000002</v>
      </c>
      <c r="U54" s="98"/>
      <c r="V54" s="98">
        <f>VLOOKUP(H54,'Ext. Pa'!$B$3:$C$77,2,FALSE)</f>
        <v>1</v>
      </c>
      <c r="W54" s="98">
        <f>VLOOKUP(I54,'Ext. Pa'!$B$3:$C$77,2,FALSE)</f>
        <v>1</v>
      </c>
      <c r="X54" s="98">
        <f>VLOOKUP(J54,'Ext. Pa'!$B$3:$C$77,2,FALSE)</f>
        <v>4</v>
      </c>
      <c r="Y54" s="98">
        <f>VLOOKUP(K54,'Ext. Pa'!$B$3:$C$77,2,FALSE)</f>
        <v>0</v>
      </c>
      <c r="Z54" s="98">
        <f>VLOOKUP(L54,'Ext. Pa'!$B$3:$C$77,2,FALSE)</f>
        <v>5</v>
      </c>
      <c r="AA54" s="98">
        <f>VLOOKUP(M54,'Ext. Pa'!$B$3:$C$77,2,FALSE)</f>
        <v>5</v>
      </c>
      <c r="AB54" s="98">
        <f>VLOOKUP(N54,'Ext. Pa'!$B$3:$C$77,2,FALSE)</f>
        <v>5</v>
      </c>
      <c r="AC54" s="98">
        <f>VLOOKUP(O54,'Ext. Pa'!$B$3:$C$77,2,FALSE)</f>
        <v>5</v>
      </c>
      <c r="AD54" s="98">
        <f>VLOOKUP(P54,'Ext. Pa'!$B$3:$C$77,2,FALSE)</f>
        <v>5</v>
      </c>
      <c r="AE54" s="98">
        <f>VLOOKUP(Q54,'Ext. Pa'!$B$3:$C$77,2,FALSE)</f>
        <v>6</v>
      </c>
      <c r="AF54" s="99">
        <f t="shared" si="3"/>
        <v>3.25</v>
      </c>
      <c r="AG54" s="134">
        <f>Table2[[#This Row],[Coating defect survey10]]</f>
        <v>5</v>
      </c>
      <c r="AH54" s="134">
        <f>Table2[[#This Row],[CP Level within NACE Criteria4]]</f>
        <v>1</v>
      </c>
      <c r="AI54" s="135">
        <f>IF(Table2[[#This Row],[CP level]]&gt;9.9,1,0)</f>
        <v>0</v>
      </c>
      <c r="AJ54" s="135">
        <f>Table2[[#This Row],[Column3]]*Table2[[#This Row],[Coating defect survey2]]</f>
        <v>0</v>
      </c>
      <c r="AK54" s="170">
        <v>19.493670000000002</v>
      </c>
    </row>
    <row r="55" spans="1:37" s="100" customFormat="1">
      <c r="A55" s="94">
        <v>1</v>
      </c>
      <c r="B55" s="95" t="s">
        <v>373</v>
      </c>
      <c r="C55" s="96">
        <v>503100001</v>
      </c>
      <c r="D55" s="97" t="s">
        <v>248</v>
      </c>
      <c r="E55" s="98"/>
      <c r="F55" s="98">
        <v>2000</v>
      </c>
      <c r="G55" s="98">
        <f>2013-Table2[[#This Row],[Startup Year]]</f>
        <v>13</v>
      </c>
      <c r="H55" s="98" t="s">
        <v>101</v>
      </c>
      <c r="I55" s="98" t="s">
        <v>108</v>
      </c>
      <c r="J55" s="98" t="s">
        <v>113</v>
      </c>
      <c r="K55" s="98">
        <v>0</v>
      </c>
      <c r="L55" s="98" t="s">
        <v>105</v>
      </c>
      <c r="M55" s="98" t="s">
        <v>105</v>
      </c>
      <c r="N55" s="98" t="s">
        <v>105</v>
      </c>
      <c r="O55" s="98" t="s">
        <v>143</v>
      </c>
      <c r="P55" s="98" t="s">
        <v>105</v>
      </c>
      <c r="Q55" s="98" t="s">
        <v>66</v>
      </c>
      <c r="R55" s="98" t="s">
        <v>72</v>
      </c>
      <c r="S5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5" s="98">
        <v>19.493670000000002</v>
      </c>
      <c r="U55" s="98"/>
      <c r="V55" s="98">
        <f>VLOOKUP(H55,'Ext. Pa'!$B$3:$C$77,2,FALSE)</f>
        <v>1</v>
      </c>
      <c r="W55" s="98">
        <f>VLOOKUP(I55,'Ext. Pa'!$B$3:$C$77,2,FALSE)</f>
        <v>1</v>
      </c>
      <c r="X55" s="98">
        <f>VLOOKUP(J55,'Ext. Pa'!$B$3:$C$77,2,FALSE)</f>
        <v>4</v>
      </c>
      <c r="Y55" s="98">
        <f>VLOOKUP(K55,'Ext. Pa'!$B$3:$C$77,2,FALSE)</f>
        <v>0</v>
      </c>
      <c r="Z55" s="98">
        <f>VLOOKUP(L55,'Ext. Pa'!$B$3:$C$77,2,FALSE)</f>
        <v>5</v>
      </c>
      <c r="AA55" s="98">
        <f>VLOOKUP(M55,'Ext. Pa'!$B$3:$C$77,2,FALSE)</f>
        <v>5</v>
      </c>
      <c r="AB55" s="98">
        <f>VLOOKUP(N55,'Ext. Pa'!$B$3:$C$77,2,FALSE)</f>
        <v>5</v>
      </c>
      <c r="AC55" s="98">
        <f>VLOOKUP(O55,'Ext. Pa'!$B$3:$C$77,2,FALSE)</f>
        <v>1</v>
      </c>
      <c r="AD55" s="98">
        <f>VLOOKUP(P55,'Ext. Pa'!$B$3:$C$77,2,FALSE)</f>
        <v>5</v>
      </c>
      <c r="AE55" s="98">
        <f>VLOOKUP(Q55,'Ext. Pa'!$B$3:$C$77,2,FALSE)</f>
        <v>6</v>
      </c>
      <c r="AF55" s="99">
        <f t="shared" si="3"/>
        <v>3.25</v>
      </c>
      <c r="AG55" s="134">
        <f>Table2[[#This Row],[Coating defect survey10]]</f>
        <v>1</v>
      </c>
      <c r="AH55" s="134">
        <f>Table2[[#This Row],[CP Level within NACE Criteria4]]</f>
        <v>1</v>
      </c>
      <c r="AI55" s="135">
        <f>IF(Table2[[#This Row],[CP level]]&gt;9.9,1,0)</f>
        <v>0</v>
      </c>
      <c r="AJ55" s="135">
        <f>Table2[[#This Row],[Column3]]*Table2[[#This Row],[Coating defect survey2]]</f>
        <v>0</v>
      </c>
      <c r="AK55" s="170">
        <v>19.493670000000002</v>
      </c>
    </row>
    <row r="56" spans="1:37" s="100" customFormat="1">
      <c r="A56" s="128">
        <v>1</v>
      </c>
      <c r="B56" s="129" t="s">
        <v>560</v>
      </c>
      <c r="C56" s="96">
        <v>503100002</v>
      </c>
      <c r="D56" s="97" t="s">
        <v>561</v>
      </c>
      <c r="E56" s="130"/>
      <c r="F56" s="130">
        <v>2000</v>
      </c>
      <c r="G56" s="130">
        <f>2013-Table2[[#This Row],[Startup Year]]</f>
        <v>13</v>
      </c>
      <c r="H56" s="130" t="s">
        <v>101</v>
      </c>
      <c r="I56" s="130" t="s">
        <v>108</v>
      </c>
      <c r="J56" s="130" t="s">
        <v>113</v>
      </c>
      <c r="K56" s="98">
        <v>0</v>
      </c>
      <c r="L56" s="130" t="s">
        <v>105</v>
      </c>
      <c r="M56" s="130" t="s">
        <v>105</v>
      </c>
      <c r="N56" s="130" t="s">
        <v>105</v>
      </c>
      <c r="O56" s="130" t="s">
        <v>143</v>
      </c>
      <c r="P56" s="130" t="s">
        <v>105</v>
      </c>
      <c r="Q56" s="130" t="s">
        <v>66</v>
      </c>
      <c r="R56" s="130" t="s">
        <v>72</v>
      </c>
      <c r="S5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6" s="131">
        <v>19.493670000000002</v>
      </c>
      <c r="U56" s="130"/>
      <c r="V56" s="131">
        <f>VLOOKUP(H56,'Ext. Pa'!$B$3:$C$77,2,FALSE)</f>
        <v>1</v>
      </c>
      <c r="W56" s="130">
        <f>VLOOKUP(I56,'Ext. Pa'!$B$3:$C$77,2,FALSE)</f>
        <v>1</v>
      </c>
      <c r="X56" s="130">
        <f>VLOOKUP(J56,'Ext. Pa'!$B$3:$C$77,2,FALSE)</f>
        <v>4</v>
      </c>
      <c r="Y56" s="130">
        <f>VLOOKUP(K56,'Ext. Pa'!$B$3:$C$77,2,FALSE)</f>
        <v>0</v>
      </c>
      <c r="Z56" s="130">
        <f>VLOOKUP(L56,'Ext. Pa'!$B$3:$C$77,2,FALSE)</f>
        <v>5</v>
      </c>
      <c r="AA56" s="130">
        <f>VLOOKUP(M56,'Ext. Pa'!$B$3:$C$77,2,FALSE)</f>
        <v>5</v>
      </c>
      <c r="AB56" s="130">
        <f>VLOOKUP(N56,'Ext. Pa'!$B$3:$C$77,2,FALSE)</f>
        <v>5</v>
      </c>
      <c r="AC56" s="130">
        <f>VLOOKUP(O56,'Ext. Pa'!$B$3:$C$77,2,FALSE)</f>
        <v>1</v>
      </c>
      <c r="AD56" s="130">
        <f>VLOOKUP(P56,'Ext. Pa'!$B$3:$C$77,2,FALSE)</f>
        <v>5</v>
      </c>
      <c r="AE56" s="130">
        <f>VLOOKUP(Q56,'Ext. Pa'!$B$3:$C$77,2,FALSE)</f>
        <v>6</v>
      </c>
      <c r="AF56" s="132">
        <f t="shared" ref="AF56:AF63" si="4">IF(G56&lt;40,(G56)/4,40)</f>
        <v>3.25</v>
      </c>
      <c r="AG56" s="134">
        <f>Table2[[#This Row],[Coating defect survey10]]</f>
        <v>1</v>
      </c>
      <c r="AH56" s="134">
        <f>Table2[[#This Row],[CP Level within NACE Criteria4]]</f>
        <v>1</v>
      </c>
      <c r="AI56" s="135">
        <f>IF(Table2[[#This Row],[CP level]]&gt;9.9,1,0)</f>
        <v>0</v>
      </c>
      <c r="AJ56" s="135">
        <f>Table2[[#This Row],[Column3]]*Table2[[#This Row],[Coating defect survey2]]</f>
        <v>0</v>
      </c>
      <c r="AK56" s="170">
        <v>19.493670000000002</v>
      </c>
    </row>
    <row r="57" spans="1:37" s="100" customFormat="1">
      <c r="A57" s="128">
        <v>1</v>
      </c>
      <c r="B57" s="129" t="s">
        <v>557</v>
      </c>
      <c r="C57" s="96">
        <v>503200001</v>
      </c>
      <c r="D57" s="97" t="s">
        <v>558</v>
      </c>
      <c r="E57" s="130"/>
      <c r="F57" s="130">
        <v>2000</v>
      </c>
      <c r="G57" s="130">
        <f>2013-Table2[[#This Row],[Startup Year]]</f>
        <v>13</v>
      </c>
      <c r="H57" s="130" t="s">
        <v>101</v>
      </c>
      <c r="I57" s="130" t="s">
        <v>108</v>
      </c>
      <c r="J57" s="130" t="s">
        <v>113</v>
      </c>
      <c r="K57" s="98">
        <v>0</v>
      </c>
      <c r="L57" s="130" t="s">
        <v>105</v>
      </c>
      <c r="M57" s="130" t="s">
        <v>105</v>
      </c>
      <c r="N57" s="130" t="s">
        <v>105</v>
      </c>
      <c r="O57" s="130" t="s">
        <v>143</v>
      </c>
      <c r="P57" s="130" t="s">
        <v>105</v>
      </c>
      <c r="Q57" s="130" t="s">
        <v>66</v>
      </c>
      <c r="R57" s="130" t="s">
        <v>72</v>
      </c>
      <c r="S5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7" s="131">
        <v>19.493670000000002</v>
      </c>
      <c r="U57" s="130"/>
      <c r="V57" s="131">
        <f>VLOOKUP(H57,'Ext. Pa'!$B$3:$C$77,2,FALSE)</f>
        <v>1</v>
      </c>
      <c r="W57" s="130">
        <f>VLOOKUP(I57,'Ext. Pa'!$B$3:$C$77,2,FALSE)</f>
        <v>1</v>
      </c>
      <c r="X57" s="130">
        <f>VLOOKUP(J57,'Ext. Pa'!$B$3:$C$77,2,FALSE)</f>
        <v>4</v>
      </c>
      <c r="Y57" s="130">
        <f>VLOOKUP(K57,'Ext. Pa'!$B$3:$C$77,2,FALSE)</f>
        <v>0</v>
      </c>
      <c r="Z57" s="130">
        <f>VLOOKUP(L57,'Ext. Pa'!$B$3:$C$77,2,FALSE)</f>
        <v>5</v>
      </c>
      <c r="AA57" s="130">
        <f>VLOOKUP(M57,'Ext. Pa'!$B$3:$C$77,2,FALSE)</f>
        <v>5</v>
      </c>
      <c r="AB57" s="130">
        <f>VLOOKUP(N57,'Ext. Pa'!$B$3:$C$77,2,FALSE)</f>
        <v>5</v>
      </c>
      <c r="AC57" s="130">
        <f>VLOOKUP(O57,'Ext. Pa'!$B$3:$C$77,2,FALSE)</f>
        <v>1</v>
      </c>
      <c r="AD57" s="130">
        <f>VLOOKUP(P57,'Ext. Pa'!$B$3:$C$77,2,FALSE)</f>
        <v>5</v>
      </c>
      <c r="AE57" s="130">
        <f>VLOOKUP(Q57,'Ext. Pa'!$B$3:$C$77,2,FALSE)</f>
        <v>6</v>
      </c>
      <c r="AF57" s="132">
        <f t="shared" si="4"/>
        <v>3.25</v>
      </c>
      <c r="AG57" s="134">
        <f>Table2[[#This Row],[Coating defect survey10]]</f>
        <v>1</v>
      </c>
      <c r="AH57" s="134">
        <f>Table2[[#This Row],[CP Level within NACE Criteria4]]</f>
        <v>1</v>
      </c>
      <c r="AI57" s="135">
        <f>IF(Table2[[#This Row],[CP level]]&gt;9.9,1,0)</f>
        <v>0</v>
      </c>
      <c r="AJ57" s="135">
        <f>Table2[[#This Row],[Column3]]*Table2[[#This Row],[Coating defect survey2]]</f>
        <v>0</v>
      </c>
      <c r="AK57" s="170">
        <v>19.493670000000002</v>
      </c>
    </row>
    <row r="58" spans="1:37" s="100" customFormat="1">
      <c r="A58" s="128">
        <v>1</v>
      </c>
      <c r="B58" s="129" t="s">
        <v>360</v>
      </c>
      <c r="C58" s="96">
        <v>5033</v>
      </c>
      <c r="D58" s="97" t="s">
        <v>559</v>
      </c>
      <c r="E58" s="130"/>
      <c r="F58" s="130">
        <v>2000</v>
      </c>
      <c r="G58" s="130">
        <f>2013-Table2[[#This Row],[Startup Year]]</f>
        <v>13</v>
      </c>
      <c r="H58" s="130" t="s">
        <v>101</v>
      </c>
      <c r="I58" s="130" t="s">
        <v>108</v>
      </c>
      <c r="J58" s="130" t="s">
        <v>113</v>
      </c>
      <c r="K58" s="130" t="s">
        <v>123</v>
      </c>
      <c r="L58" s="130" t="s">
        <v>105</v>
      </c>
      <c r="M58" s="130" t="s">
        <v>105</v>
      </c>
      <c r="N58" s="130" t="s">
        <v>105</v>
      </c>
      <c r="O58" s="130" t="s">
        <v>143</v>
      </c>
      <c r="P58" s="130" t="s">
        <v>105</v>
      </c>
      <c r="Q58" s="130" t="s">
        <v>66</v>
      </c>
      <c r="R58" s="130" t="s">
        <v>72</v>
      </c>
      <c r="S5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36.74050632911392</v>
      </c>
      <c r="T58" s="98">
        <v>19.493670000000002</v>
      </c>
      <c r="U58" s="130"/>
      <c r="V58" s="131">
        <f>VLOOKUP(H58,'Ext. Pa'!$B$3:$C$77,2,FALSE)</f>
        <v>1</v>
      </c>
      <c r="W58" s="130">
        <f>VLOOKUP(I58,'Ext. Pa'!$B$3:$C$77,2,FALSE)</f>
        <v>1</v>
      </c>
      <c r="X58" s="130">
        <f>VLOOKUP(J58,'Ext. Pa'!$B$3:$C$77,2,FALSE)</f>
        <v>4</v>
      </c>
      <c r="Y58" s="130">
        <f>VLOOKUP(K58,'Ext. Pa'!$B$3:$C$77,2,FALSE)</f>
        <v>6</v>
      </c>
      <c r="Z58" s="130">
        <f>VLOOKUP(L58,'Ext. Pa'!$B$3:$C$77,2,FALSE)</f>
        <v>5</v>
      </c>
      <c r="AA58" s="130">
        <f>VLOOKUP(M58,'Ext. Pa'!$B$3:$C$77,2,FALSE)</f>
        <v>5</v>
      </c>
      <c r="AB58" s="130">
        <f>VLOOKUP(N58,'Ext. Pa'!$B$3:$C$77,2,FALSE)</f>
        <v>5</v>
      </c>
      <c r="AC58" s="130">
        <f>VLOOKUP(O58,'Ext. Pa'!$B$3:$C$77,2,FALSE)</f>
        <v>1</v>
      </c>
      <c r="AD58" s="130">
        <f>VLOOKUP(P58,'Ext. Pa'!$B$3:$C$77,2,FALSE)</f>
        <v>5</v>
      </c>
      <c r="AE58" s="130">
        <f>VLOOKUP(Q58,'Ext. Pa'!$B$3:$C$77,2,FALSE)</f>
        <v>6</v>
      </c>
      <c r="AF58" s="132">
        <f t="shared" si="4"/>
        <v>3.25</v>
      </c>
      <c r="AG58" s="133">
        <f>Table2[[#This Row],[Coating defect survey10]]</f>
        <v>1</v>
      </c>
      <c r="AH58" s="134">
        <f>Table2[[#This Row],[CP Level within NACE Criteria4]]</f>
        <v>1</v>
      </c>
      <c r="AI58" s="135">
        <f>IF(Table2[[#This Row],[CP level]]&gt;9.9,1,0)</f>
        <v>0</v>
      </c>
      <c r="AJ58" s="135">
        <f>Table2[[#This Row],[Column3]]*Table2[[#This Row],[Coating defect survey2]]</f>
        <v>0</v>
      </c>
      <c r="AK58" s="170">
        <v>19.493670000000002</v>
      </c>
    </row>
    <row r="59" spans="1:37" s="100" customFormat="1">
      <c r="A59" s="128">
        <v>1</v>
      </c>
      <c r="B59" s="129" t="s">
        <v>555</v>
      </c>
      <c r="C59" s="96">
        <v>5041</v>
      </c>
      <c r="D59" s="97" t="s">
        <v>556</v>
      </c>
      <c r="E59" s="130"/>
      <c r="F59" s="130">
        <v>2000</v>
      </c>
      <c r="G59" s="130">
        <f>2013-Table2[[#This Row],[Startup Year]]</f>
        <v>13</v>
      </c>
      <c r="H59" s="130" t="s">
        <v>101</v>
      </c>
      <c r="I59" s="130" t="s">
        <v>108</v>
      </c>
      <c r="J59" s="130" t="s">
        <v>113</v>
      </c>
      <c r="K59" s="130">
        <v>0</v>
      </c>
      <c r="L59" s="130" t="s">
        <v>105</v>
      </c>
      <c r="M59" s="130" t="s">
        <v>105</v>
      </c>
      <c r="N59" s="130" t="s">
        <v>105</v>
      </c>
      <c r="O59" s="130" t="s">
        <v>143</v>
      </c>
      <c r="P59" s="130" t="s">
        <v>105</v>
      </c>
      <c r="Q59" s="130" t="s">
        <v>66</v>
      </c>
      <c r="R59" s="130" t="s">
        <v>72</v>
      </c>
      <c r="S5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59" s="131">
        <v>19.493670000000002</v>
      </c>
      <c r="U59" s="130"/>
      <c r="V59" s="131">
        <f>VLOOKUP(H59,'Ext. Pa'!$B$3:$C$77,2,FALSE)</f>
        <v>1</v>
      </c>
      <c r="W59" s="130">
        <f>VLOOKUP(I59,'Ext. Pa'!$B$3:$C$77,2,FALSE)</f>
        <v>1</v>
      </c>
      <c r="X59" s="130">
        <f>VLOOKUP(J59,'Ext. Pa'!$B$3:$C$77,2,FALSE)</f>
        <v>4</v>
      </c>
      <c r="Y59" s="130">
        <f>VLOOKUP(K59,'Ext. Pa'!$B$3:$C$77,2,FALSE)</f>
        <v>0</v>
      </c>
      <c r="Z59" s="130">
        <f>VLOOKUP(L59,'Ext. Pa'!$B$3:$C$77,2,FALSE)</f>
        <v>5</v>
      </c>
      <c r="AA59" s="130">
        <f>VLOOKUP(M59,'Ext. Pa'!$B$3:$C$77,2,FALSE)</f>
        <v>5</v>
      </c>
      <c r="AB59" s="130">
        <f>VLOOKUP(N59,'Ext. Pa'!$B$3:$C$77,2,FALSE)</f>
        <v>5</v>
      </c>
      <c r="AC59" s="130">
        <f>VLOOKUP(O59,'Ext. Pa'!$B$3:$C$77,2,FALSE)</f>
        <v>1</v>
      </c>
      <c r="AD59" s="130">
        <f>VLOOKUP(P59,'Ext. Pa'!$B$3:$C$77,2,FALSE)</f>
        <v>5</v>
      </c>
      <c r="AE59" s="130">
        <f>VLOOKUP(Q59,'Ext. Pa'!$B$3:$C$77,2,FALSE)</f>
        <v>6</v>
      </c>
      <c r="AF59" s="132">
        <f t="shared" si="4"/>
        <v>3.25</v>
      </c>
      <c r="AG59" s="134">
        <f>Table2[[#This Row],[Coating defect survey10]]</f>
        <v>1</v>
      </c>
      <c r="AH59" s="134">
        <f>Table2[[#This Row],[CP Level within NACE Criteria4]]</f>
        <v>1</v>
      </c>
      <c r="AI59" s="135">
        <f>IF(Table2[[#This Row],[CP level]]&gt;9.9,1,0)</f>
        <v>0</v>
      </c>
      <c r="AJ59" s="135">
        <f>Table2[[#This Row],[Column3]]*Table2[[#This Row],[Coating defect survey2]]</f>
        <v>0</v>
      </c>
      <c r="AK59" s="170">
        <v>19.493670000000002</v>
      </c>
    </row>
    <row r="60" spans="1:37" s="100" customFormat="1">
      <c r="A60" s="128">
        <v>1</v>
      </c>
      <c r="B60" s="129" t="s">
        <v>551</v>
      </c>
      <c r="C60" s="96">
        <v>504200001</v>
      </c>
      <c r="D60" s="97" t="s">
        <v>552</v>
      </c>
      <c r="E60" s="130"/>
      <c r="F60" s="130">
        <v>2000</v>
      </c>
      <c r="G60" s="130">
        <f>2013-Table2[[#This Row],[Startup Year]]</f>
        <v>13</v>
      </c>
      <c r="H60" s="130" t="s">
        <v>101</v>
      </c>
      <c r="I60" s="130" t="s">
        <v>108</v>
      </c>
      <c r="J60" s="130" t="s">
        <v>113</v>
      </c>
      <c r="K60" s="130">
        <v>0</v>
      </c>
      <c r="L60" s="130" t="s">
        <v>105</v>
      </c>
      <c r="M60" s="130" t="s">
        <v>105</v>
      </c>
      <c r="N60" s="130" t="s">
        <v>105</v>
      </c>
      <c r="O60" s="130" t="s">
        <v>143</v>
      </c>
      <c r="P60" s="130" t="s">
        <v>105</v>
      </c>
      <c r="Q60" s="130" t="s">
        <v>66</v>
      </c>
      <c r="R60" s="130" t="s">
        <v>72</v>
      </c>
      <c r="S6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0" s="131">
        <v>19.493670000000002</v>
      </c>
      <c r="U60" s="130"/>
      <c r="V60" s="131">
        <f>VLOOKUP(H60,'Ext. Pa'!$B$3:$C$77,2,FALSE)</f>
        <v>1</v>
      </c>
      <c r="W60" s="130">
        <f>VLOOKUP(I60,'Ext. Pa'!$B$3:$C$77,2,FALSE)</f>
        <v>1</v>
      </c>
      <c r="X60" s="130">
        <f>VLOOKUP(J60,'Ext. Pa'!$B$3:$C$77,2,FALSE)</f>
        <v>4</v>
      </c>
      <c r="Y60" s="130">
        <f>VLOOKUP(K60,'Ext. Pa'!$B$3:$C$77,2,FALSE)</f>
        <v>0</v>
      </c>
      <c r="Z60" s="130">
        <f>VLOOKUP(L60,'Ext. Pa'!$B$3:$C$77,2,FALSE)</f>
        <v>5</v>
      </c>
      <c r="AA60" s="130">
        <f>VLOOKUP(M60,'Ext. Pa'!$B$3:$C$77,2,FALSE)</f>
        <v>5</v>
      </c>
      <c r="AB60" s="130">
        <f>VLOOKUP(N60,'Ext. Pa'!$B$3:$C$77,2,FALSE)</f>
        <v>5</v>
      </c>
      <c r="AC60" s="130">
        <f>VLOOKUP(O60,'Ext. Pa'!$B$3:$C$77,2,FALSE)</f>
        <v>1</v>
      </c>
      <c r="AD60" s="130">
        <f>VLOOKUP(P60,'Ext. Pa'!$B$3:$C$77,2,FALSE)</f>
        <v>5</v>
      </c>
      <c r="AE60" s="130">
        <f>VLOOKUP(Q60,'Ext. Pa'!$B$3:$C$77,2,FALSE)</f>
        <v>6</v>
      </c>
      <c r="AF60" s="132">
        <f t="shared" si="4"/>
        <v>3.25</v>
      </c>
      <c r="AG60" s="134">
        <f>Table2[[#This Row],[Coating defect survey10]]</f>
        <v>1</v>
      </c>
      <c r="AH60" s="134">
        <f>Table2[[#This Row],[CP Level within NACE Criteria4]]</f>
        <v>1</v>
      </c>
      <c r="AI60" s="135">
        <f>IF(Table2[[#This Row],[CP level]]&gt;9.9,1,0)</f>
        <v>0</v>
      </c>
      <c r="AJ60" s="135">
        <f>Table2[[#This Row],[Column3]]*Table2[[#This Row],[Coating defect survey2]]</f>
        <v>0</v>
      </c>
      <c r="AK60" s="170">
        <v>19.493670000000002</v>
      </c>
    </row>
    <row r="61" spans="1:37" s="100" customFormat="1">
      <c r="A61" s="128">
        <v>1</v>
      </c>
      <c r="B61" s="129" t="s">
        <v>553</v>
      </c>
      <c r="C61" s="96">
        <v>504300001</v>
      </c>
      <c r="D61" s="97" t="s">
        <v>554</v>
      </c>
      <c r="E61" s="130"/>
      <c r="F61" s="130">
        <v>2000</v>
      </c>
      <c r="G61" s="130">
        <f>2013-Table2[[#This Row],[Startup Year]]</f>
        <v>13</v>
      </c>
      <c r="H61" s="130" t="s">
        <v>101</v>
      </c>
      <c r="I61" s="130" t="s">
        <v>108</v>
      </c>
      <c r="J61" s="130" t="s">
        <v>113</v>
      </c>
      <c r="K61" s="130">
        <v>0</v>
      </c>
      <c r="L61" s="130" t="s">
        <v>105</v>
      </c>
      <c r="M61" s="130" t="s">
        <v>105</v>
      </c>
      <c r="N61" s="130" t="s">
        <v>105</v>
      </c>
      <c r="O61" s="130" t="s">
        <v>143</v>
      </c>
      <c r="P61" s="130" t="s">
        <v>105</v>
      </c>
      <c r="Q61" s="130" t="s">
        <v>66</v>
      </c>
      <c r="R61" s="130" t="s">
        <v>72</v>
      </c>
      <c r="S6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1" s="131">
        <v>19.493670000000002</v>
      </c>
      <c r="U61" s="130"/>
      <c r="V61" s="131">
        <f>VLOOKUP(H61,'Ext. Pa'!$B$3:$C$77,2,FALSE)</f>
        <v>1</v>
      </c>
      <c r="W61" s="130">
        <f>VLOOKUP(I61,'Ext. Pa'!$B$3:$C$77,2,FALSE)</f>
        <v>1</v>
      </c>
      <c r="X61" s="130">
        <f>VLOOKUP(J61,'Ext. Pa'!$B$3:$C$77,2,FALSE)</f>
        <v>4</v>
      </c>
      <c r="Y61" s="130">
        <f>VLOOKUP(K61,'Ext. Pa'!$B$3:$C$77,2,FALSE)</f>
        <v>0</v>
      </c>
      <c r="Z61" s="130">
        <f>VLOOKUP(L61,'Ext. Pa'!$B$3:$C$77,2,FALSE)</f>
        <v>5</v>
      </c>
      <c r="AA61" s="130">
        <f>VLOOKUP(M61,'Ext. Pa'!$B$3:$C$77,2,FALSE)</f>
        <v>5</v>
      </c>
      <c r="AB61" s="130">
        <f>VLOOKUP(N61,'Ext. Pa'!$B$3:$C$77,2,FALSE)</f>
        <v>5</v>
      </c>
      <c r="AC61" s="130">
        <f>VLOOKUP(O61,'Ext. Pa'!$B$3:$C$77,2,FALSE)</f>
        <v>1</v>
      </c>
      <c r="AD61" s="130">
        <f>VLOOKUP(P61,'Ext. Pa'!$B$3:$C$77,2,FALSE)</f>
        <v>5</v>
      </c>
      <c r="AE61" s="130">
        <f>VLOOKUP(Q61,'Ext. Pa'!$B$3:$C$77,2,FALSE)</f>
        <v>6</v>
      </c>
      <c r="AF61" s="132">
        <f t="shared" si="4"/>
        <v>3.25</v>
      </c>
      <c r="AG61" s="134">
        <f>Table2[[#This Row],[Coating defect survey10]]</f>
        <v>1</v>
      </c>
      <c r="AH61" s="134">
        <f>Table2[[#This Row],[CP Level within NACE Criteria4]]</f>
        <v>1</v>
      </c>
      <c r="AI61" s="135">
        <f>IF(Table2[[#This Row],[CP level]]&gt;9.9,1,0)</f>
        <v>0</v>
      </c>
      <c r="AJ61" s="135">
        <f>Table2[[#This Row],[Column3]]*Table2[[#This Row],[Coating defect survey2]]</f>
        <v>0</v>
      </c>
      <c r="AK61" s="170">
        <v>19.493670000000002</v>
      </c>
    </row>
    <row r="62" spans="1:37" s="100" customFormat="1">
      <c r="A62" s="128">
        <v>1</v>
      </c>
      <c r="B62" s="129" t="s">
        <v>549</v>
      </c>
      <c r="C62" s="96">
        <v>505100001</v>
      </c>
      <c r="D62" s="97" t="s">
        <v>550</v>
      </c>
      <c r="E62" s="130"/>
      <c r="F62" s="130">
        <v>2000</v>
      </c>
      <c r="G62" s="130">
        <f>2013-Table2[[#This Row],[Startup Year]]</f>
        <v>13</v>
      </c>
      <c r="H62" s="130" t="s">
        <v>101</v>
      </c>
      <c r="I62" s="130" t="s">
        <v>108</v>
      </c>
      <c r="J62" s="130" t="s">
        <v>113</v>
      </c>
      <c r="K62" s="130">
        <v>0</v>
      </c>
      <c r="L62" s="130" t="s">
        <v>105</v>
      </c>
      <c r="M62" s="130" t="s">
        <v>105</v>
      </c>
      <c r="N62" s="130" t="s">
        <v>105</v>
      </c>
      <c r="O62" s="130" t="s">
        <v>143</v>
      </c>
      <c r="P62" s="130" t="s">
        <v>105</v>
      </c>
      <c r="Q62" s="130" t="s">
        <v>66</v>
      </c>
      <c r="R62" s="130" t="s">
        <v>72</v>
      </c>
      <c r="S6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2" s="131">
        <v>19.493670000000002</v>
      </c>
      <c r="U62" s="130"/>
      <c r="V62" s="131">
        <f>VLOOKUP(H62,'Ext. Pa'!$B$3:$C$77,2,FALSE)</f>
        <v>1</v>
      </c>
      <c r="W62" s="130">
        <f>VLOOKUP(I62,'Ext. Pa'!$B$3:$C$77,2,FALSE)</f>
        <v>1</v>
      </c>
      <c r="X62" s="130">
        <f>VLOOKUP(J62,'Ext. Pa'!$B$3:$C$77,2,FALSE)</f>
        <v>4</v>
      </c>
      <c r="Y62" s="130">
        <f>VLOOKUP(K62,'Ext. Pa'!$B$3:$C$77,2,FALSE)</f>
        <v>0</v>
      </c>
      <c r="Z62" s="130">
        <f>VLOOKUP(L62,'Ext. Pa'!$B$3:$C$77,2,FALSE)</f>
        <v>5</v>
      </c>
      <c r="AA62" s="130">
        <f>VLOOKUP(M62,'Ext. Pa'!$B$3:$C$77,2,FALSE)</f>
        <v>5</v>
      </c>
      <c r="AB62" s="130">
        <f>VLOOKUP(N62,'Ext. Pa'!$B$3:$C$77,2,FALSE)</f>
        <v>5</v>
      </c>
      <c r="AC62" s="130">
        <f>VLOOKUP(O62,'Ext. Pa'!$B$3:$C$77,2,FALSE)</f>
        <v>1</v>
      </c>
      <c r="AD62" s="130">
        <f>VLOOKUP(P62,'Ext. Pa'!$B$3:$C$77,2,FALSE)</f>
        <v>5</v>
      </c>
      <c r="AE62" s="130">
        <f>VLOOKUP(Q62,'Ext. Pa'!$B$3:$C$77,2,FALSE)</f>
        <v>6</v>
      </c>
      <c r="AF62" s="132">
        <f t="shared" si="4"/>
        <v>3.25</v>
      </c>
      <c r="AG62" s="134">
        <f>Table2[[#This Row],[Coating defect survey10]]</f>
        <v>1</v>
      </c>
      <c r="AH62" s="134">
        <f>Table2[[#This Row],[CP Level within NACE Criteria4]]</f>
        <v>1</v>
      </c>
      <c r="AI62" s="135">
        <f>IF(Table2[[#This Row],[CP level]]&gt;9.9,1,0)</f>
        <v>0</v>
      </c>
      <c r="AJ62" s="135">
        <f>Table2[[#This Row],[Column3]]*Table2[[#This Row],[Coating defect survey2]]</f>
        <v>0</v>
      </c>
      <c r="AK62" s="170">
        <v>19.493670000000002</v>
      </c>
    </row>
    <row r="63" spans="1:37" s="100" customFormat="1">
      <c r="A63" s="128">
        <v>1</v>
      </c>
      <c r="B63" s="129" t="s">
        <v>575</v>
      </c>
      <c r="C63" s="96">
        <v>56051101</v>
      </c>
      <c r="D63" s="97" t="s">
        <v>576</v>
      </c>
      <c r="E63" s="130"/>
      <c r="F63" s="130">
        <v>2000</v>
      </c>
      <c r="G63" s="130">
        <f>2013-Table2[[#This Row],[Startup Year]]</f>
        <v>13</v>
      </c>
      <c r="H63" s="130" t="s">
        <v>101</v>
      </c>
      <c r="I63" s="130" t="s">
        <v>108</v>
      </c>
      <c r="J63" s="130" t="s">
        <v>113</v>
      </c>
      <c r="K63" s="130">
        <v>0</v>
      </c>
      <c r="L63" s="130" t="s">
        <v>105</v>
      </c>
      <c r="M63" s="130" t="s">
        <v>105</v>
      </c>
      <c r="N63" s="130" t="s">
        <v>105</v>
      </c>
      <c r="O63" s="130" t="s">
        <v>143</v>
      </c>
      <c r="P63" s="130" t="s">
        <v>105</v>
      </c>
      <c r="Q63" s="130" t="s">
        <v>66</v>
      </c>
      <c r="R63" s="130" t="s">
        <v>72</v>
      </c>
      <c r="S6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3" s="98">
        <v>19.493670000000002</v>
      </c>
      <c r="U63" s="130"/>
      <c r="V63" s="131">
        <f>VLOOKUP(H63,'Ext. Pa'!$B$3:$C$77,2,FALSE)</f>
        <v>1</v>
      </c>
      <c r="W63" s="130">
        <f>VLOOKUP(I63,'Ext. Pa'!$B$3:$C$77,2,FALSE)</f>
        <v>1</v>
      </c>
      <c r="X63" s="130">
        <f>VLOOKUP(J63,'Ext. Pa'!$B$3:$C$77,2,FALSE)</f>
        <v>4</v>
      </c>
      <c r="Y63" s="130">
        <f>VLOOKUP(K63,'Ext. Pa'!$B$3:$C$77,2,FALSE)</f>
        <v>0</v>
      </c>
      <c r="Z63" s="130">
        <f>VLOOKUP(L63,'Ext. Pa'!$B$3:$C$77,2,FALSE)</f>
        <v>5</v>
      </c>
      <c r="AA63" s="130">
        <f>VLOOKUP(M63,'Ext. Pa'!$B$3:$C$77,2,FALSE)</f>
        <v>5</v>
      </c>
      <c r="AB63" s="130">
        <f>VLOOKUP(N63,'Ext. Pa'!$B$3:$C$77,2,FALSE)</f>
        <v>5</v>
      </c>
      <c r="AC63" s="130">
        <f>VLOOKUP(O63,'Ext. Pa'!$B$3:$C$77,2,FALSE)</f>
        <v>1</v>
      </c>
      <c r="AD63" s="130">
        <f>VLOOKUP(P63,'Ext. Pa'!$B$3:$C$77,2,FALSE)</f>
        <v>5</v>
      </c>
      <c r="AE63" s="130">
        <f>VLOOKUP(Q63,'Ext. Pa'!$B$3:$C$77,2,FALSE)</f>
        <v>6</v>
      </c>
      <c r="AF63" s="132">
        <f t="shared" si="4"/>
        <v>3.25</v>
      </c>
      <c r="AG63" s="133">
        <f>Table2[[#This Row],[Coating defect survey10]]</f>
        <v>1</v>
      </c>
      <c r="AH63" s="134">
        <f>Table2[[#This Row],[CP Level within NACE Criteria4]]</f>
        <v>1</v>
      </c>
      <c r="AI63" s="135">
        <f>IF(Table2[[#This Row],[CP level]]&gt;9.9,1,0)</f>
        <v>0</v>
      </c>
      <c r="AJ63" s="135">
        <f>Table2[[#This Row],[Column3]]*Table2[[#This Row],[Coating defect survey2]]</f>
        <v>0</v>
      </c>
      <c r="AK63" s="170">
        <v>19.493670000000002</v>
      </c>
    </row>
    <row r="64" spans="1:37" s="100" customFormat="1">
      <c r="A64" s="94">
        <v>2</v>
      </c>
      <c r="B64" s="95" t="s">
        <v>374</v>
      </c>
      <c r="C64" s="96">
        <v>674</v>
      </c>
      <c r="D64" s="97" t="s">
        <v>249</v>
      </c>
      <c r="E64" s="98"/>
      <c r="F64" s="98">
        <v>2013</v>
      </c>
      <c r="G64" s="98">
        <f>2013-Table2[[#This Row],[Startup Year]]</f>
        <v>0</v>
      </c>
      <c r="H64" s="98" t="s">
        <v>101</v>
      </c>
      <c r="I64" s="98" t="s">
        <v>108</v>
      </c>
      <c r="J64" s="98" t="s">
        <v>113</v>
      </c>
      <c r="K64" s="98">
        <v>0</v>
      </c>
      <c r="L64" s="98" t="s">
        <v>105</v>
      </c>
      <c r="M64" s="98" t="s">
        <v>129</v>
      </c>
      <c r="N64" s="98" t="s">
        <v>129</v>
      </c>
      <c r="O64" s="98" t="s">
        <v>105</v>
      </c>
      <c r="P64" s="98" t="s">
        <v>105</v>
      </c>
      <c r="Q64" s="98" t="s">
        <v>66</v>
      </c>
      <c r="R64" s="98" t="s">
        <v>72</v>
      </c>
      <c r="S6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64" s="98">
        <v>19.493670000000002</v>
      </c>
      <c r="U64" s="98"/>
      <c r="V64" s="98">
        <f>VLOOKUP(H64,'Ext. Pa'!$B$3:$C$77,2,FALSE)</f>
        <v>1</v>
      </c>
      <c r="W64" s="98">
        <f>VLOOKUP(I64,'Ext. Pa'!$B$3:$C$77,2,FALSE)</f>
        <v>1</v>
      </c>
      <c r="X64" s="98">
        <f>VLOOKUP(J64,'Ext. Pa'!$B$3:$C$77,2,FALSE)</f>
        <v>4</v>
      </c>
      <c r="Y64" s="98">
        <f>VLOOKUP(K64,'Ext. Pa'!$B$3:$C$77,2,FALSE)</f>
        <v>0</v>
      </c>
      <c r="Z64" s="98">
        <f>VLOOKUP(L64,'Ext. Pa'!$B$3:$C$77,2,FALSE)</f>
        <v>5</v>
      </c>
      <c r="AA64" s="98">
        <f>VLOOKUP(M64,'Ext. Pa'!$B$3:$C$77,2,FALSE)</f>
        <v>1</v>
      </c>
      <c r="AB64" s="98">
        <f>VLOOKUP(N64,'Ext. Pa'!$B$3:$C$77,2,FALSE)</f>
        <v>1</v>
      </c>
      <c r="AC64" s="98">
        <f>VLOOKUP(O64,'Ext. Pa'!$B$3:$C$77,2,FALSE)</f>
        <v>5</v>
      </c>
      <c r="AD64" s="98">
        <f>VLOOKUP(P64,'Ext. Pa'!$B$3:$C$77,2,FALSE)</f>
        <v>5</v>
      </c>
      <c r="AE64" s="98">
        <f>VLOOKUP(Q64,'Ext. Pa'!$B$3:$C$77,2,FALSE)</f>
        <v>6</v>
      </c>
      <c r="AF64" s="99">
        <f t="shared" ref="AF64:AF80" si="5">IF(G64&lt;40,(G64)/4,40)</f>
        <v>0</v>
      </c>
      <c r="AG64" s="134">
        <f>Table2[[#This Row],[Coating defect survey10]]</f>
        <v>5</v>
      </c>
      <c r="AH64" s="134">
        <f>Table2[[#This Row],[CP Level within NACE Criteria4]]</f>
        <v>1</v>
      </c>
      <c r="AI64" s="135">
        <f>IF(Table2[[#This Row],[CP level]]&gt;9.9,1,0)</f>
        <v>0</v>
      </c>
      <c r="AJ64" s="135">
        <f>Table2[[#This Row],[Column3]]*Table2[[#This Row],[Coating defect survey2]]</f>
        <v>0</v>
      </c>
      <c r="AK64" s="170">
        <v>19.493670000000002</v>
      </c>
    </row>
    <row r="65" spans="1:37" s="100" customFormat="1">
      <c r="A65" s="128">
        <v>2</v>
      </c>
      <c r="B65" s="129" t="s">
        <v>614</v>
      </c>
      <c r="C65" s="96">
        <v>6611</v>
      </c>
      <c r="D65" s="97"/>
      <c r="E65" s="130"/>
      <c r="F65" s="130">
        <v>2000</v>
      </c>
      <c r="G65" s="130">
        <f>2013-Table2[[#This Row],[Startup Year]]</f>
        <v>13</v>
      </c>
      <c r="H65" s="130" t="s">
        <v>101</v>
      </c>
      <c r="I65" s="130" t="s">
        <v>108</v>
      </c>
      <c r="J65" s="130" t="s">
        <v>113</v>
      </c>
      <c r="K65" s="98">
        <v>0</v>
      </c>
      <c r="L65" s="130" t="s">
        <v>105</v>
      </c>
      <c r="M65" s="130" t="s">
        <v>105</v>
      </c>
      <c r="N65" s="130" t="s">
        <v>105</v>
      </c>
      <c r="O65" s="130" t="s">
        <v>143</v>
      </c>
      <c r="P65" s="130" t="s">
        <v>105</v>
      </c>
      <c r="Q65" s="130" t="s">
        <v>66</v>
      </c>
      <c r="R65" s="130" t="s">
        <v>72</v>
      </c>
      <c r="S6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5" s="131">
        <v>19.493670000000002</v>
      </c>
      <c r="U65" s="130"/>
      <c r="V65" s="131">
        <f>VLOOKUP(H65,'Ext. Pa'!$B$3:$C$77,2,FALSE)</f>
        <v>1</v>
      </c>
      <c r="W65" s="130">
        <f>VLOOKUP(I65,'Ext. Pa'!$B$3:$C$77,2,FALSE)</f>
        <v>1</v>
      </c>
      <c r="X65" s="130">
        <f>VLOOKUP(J65,'Ext. Pa'!$B$3:$C$77,2,FALSE)</f>
        <v>4</v>
      </c>
      <c r="Y65" s="130">
        <f>VLOOKUP(K65,'Ext. Pa'!$B$3:$C$77,2,FALSE)</f>
        <v>0</v>
      </c>
      <c r="Z65" s="130">
        <f>VLOOKUP(L65,'Ext. Pa'!$B$3:$C$77,2,FALSE)</f>
        <v>5</v>
      </c>
      <c r="AA65" s="130">
        <f>VLOOKUP(M65,'Ext. Pa'!$B$3:$C$77,2,FALSE)</f>
        <v>5</v>
      </c>
      <c r="AB65" s="130">
        <f>VLOOKUP(N65,'Ext. Pa'!$B$3:$C$77,2,FALSE)</f>
        <v>5</v>
      </c>
      <c r="AC65" s="130">
        <f>VLOOKUP(O65,'Ext. Pa'!$B$3:$C$77,2,FALSE)</f>
        <v>1</v>
      </c>
      <c r="AD65" s="130">
        <f>VLOOKUP(P65,'Ext. Pa'!$B$3:$C$77,2,FALSE)</f>
        <v>5</v>
      </c>
      <c r="AE65" s="130">
        <f>VLOOKUP(Q65,'Ext. Pa'!$B$3:$C$77,2,FALSE)</f>
        <v>6</v>
      </c>
      <c r="AF65" s="132">
        <f t="shared" si="5"/>
        <v>3.25</v>
      </c>
      <c r="AG65" s="134">
        <f>Table2[[#This Row],[Coating defect survey10]]</f>
        <v>1</v>
      </c>
      <c r="AH65" s="134">
        <f>Table2[[#This Row],[CP Level within NACE Criteria4]]</f>
        <v>1</v>
      </c>
      <c r="AI65" s="135">
        <f>IF(Table2[[#This Row],[CP level]]&gt;9.9,1,0)</f>
        <v>0</v>
      </c>
      <c r="AJ65" s="135">
        <f>Table2[[#This Row],[Column3]]*Table2[[#This Row],[Coating defect survey2]]</f>
        <v>0</v>
      </c>
      <c r="AK65" s="170">
        <v>19.493670000000002</v>
      </c>
    </row>
    <row r="66" spans="1:37" s="100" customFormat="1">
      <c r="A66" s="128">
        <v>2</v>
      </c>
      <c r="B66" s="129" t="s">
        <v>616</v>
      </c>
      <c r="C66" s="96">
        <v>661301</v>
      </c>
      <c r="D66" s="97" t="s">
        <v>617</v>
      </c>
      <c r="E66" s="130"/>
      <c r="F66" s="130">
        <v>2000</v>
      </c>
      <c r="G66" s="130">
        <f>2013-Table2[[#This Row],[Startup Year]]</f>
        <v>13</v>
      </c>
      <c r="H66" s="130" t="s">
        <v>101</v>
      </c>
      <c r="I66" s="130" t="s">
        <v>108</v>
      </c>
      <c r="J66" s="130" t="s">
        <v>113</v>
      </c>
      <c r="K66" s="98">
        <v>0</v>
      </c>
      <c r="L66" s="130" t="s">
        <v>105</v>
      </c>
      <c r="M66" s="130" t="s">
        <v>105</v>
      </c>
      <c r="N66" s="130" t="s">
        <v>105</v>
      </c>
      <c r="O66" s="130" t="s">
        <v>143</v>
      </c>
      <c r="P66" s="130" t="s">
        <v>105</v>
      </c>
      <c r="Q66" s="130" t="s">
        <v>66</v>
      </c>
      <c r="R66" s="130" t="s">
        <v>72</v>
      </c>
      <c r="S6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6" s="131">
        <v>19.493670000000002</v>
      </c>
      <c r="U66" s="130"/>
      <c r="V66" s="131">
        <f>VLOOKUP(H66,'Ext. Pa'!$B$3:$C$77,2,FALSE)</f>
        <v>1</v>
      </c>
      <c r="W66" s="130">
        <f>VLOOKUP(I66,'Ext. Pa'!$B$3:$C$77,2,FALSE)</f>
        <v>1</v>
      </c>
      <c r="X66" s="130">
        <f>VLOOKUP(J66,'Ext. Pa'!$B$3:$C$77,2,FALSE)</f>
        <v>4</v>
      </c>
      <c r="Y66" s="130">
        <f>VLOOKUP(K66,'Ext. Pa'!$B$3:$C$77,2,FALSE)</f>
        <v>0</v>
      </c>
      <c r="Z66" s="130">
        <f>VLOOKUP(L66,'Ext. Pa'!$B$3:$C$77,2,FALSE)</f>
        <v>5</v>
      </c>
      <c r="AA66" s="130">
        <f>VLOOKUP(M66,'Ext. Pa'!$B$3:$C$77,2,FALSE)</f>
        <v>5</v>
      </c>
      <c r="AB66" s="130">
        <f>VLOOKUP(N66,'Ext. Pa'!$B$3:$C$77,2,FALSE)</f>
        <v>5</v>
      </c>
      <c r="AC66" s="130">
        <f>VLOOKUP(O66,'Ext. Pa'!$B$3:$C$77,2,FALSE)</f>
        <v>1</v>
      </c>
      <c r="AD66" s="130">
        <f>VLOOKUP(P66,'Ext. Pa'!$B$3:$C$77,2,FALSE)</f>
        <v>5</v>
      </c>
      <c r="AE66" s="130">
        <f>VLOOKUP(Q66,'Ext. Pa'!$B$3:$C$77,2,FALSE)</f>
        <v>6</v>
      </c>
      <c r="AF66" s="132">
        <f t="shared" si="5"/>
        <v>3.25</v>
      </c>
      <c r="AG66" s="134">
        <f>Table2[[#This Row],[Coating defect survey10]]</f>
        <v>1</v>
      </c>
      <c r="AH66" s="134">
        <f>Table2[[#This Row],[CP Level within NACE Criteria4]]</f>
        <v>1</v>
      </c>
      <c r="AI66" s="135">
        <f>IF(Table2[[#This Row],[CP level]]&gt;9.9,1,0)</f>
        <v>0</v>
      </c>
      <c r="AJ66" s="135">
        <f>Table2[[#This Row],[Column3]]*Table2[[#This Row],[Coating defect survey2]]</f>
        <v>0</v>
      </c>
      <c r="AK66" s="170">
        <v>19.493670000000002</v>
      </c>
    </row>
    <row r="67" spans="1:37" s="100" customFormat="1">
      <c r="A67" s="128">
        <v>2</v>
      </c>
      <c r="B67" s="129" t="s">
        <v>615</v>
      </c>
      <c r="C67" s="96">
        <v>6614</v>
      </c>
      <c r="D67" s="97"/>
      <c r="E67" s="130"/>
      <c r="F67" s="130">
        <v>2000</v>
      </c>
      <c r="G67" s="130">
        <f>2013-Table2[[#This Row],[Startup Year]]</f>
        <v>13</v>
      </c>
      <c r="H67" s="130" t="s">
        <v>101</v>
      </c>
      <c r="I67" s="130" t="s">
        <v>108</v>
      </c>
      <c r="J67" s="130" t="s">
        <v>113</v>
      </c>
      <c r="K67" s="98">
        <v>0</v>
      </c>
      <c r="L67" s="130" t="s">
        <v>105</v>
      </c>
      <c r="M67" s="130" t="s">
        <v>105</v>
      </c>
      <c r="N67" s="130" t="s">
        <v>105</v>
      </c>
      <c r="O67" s="130" t="s">
        <v>143</v>
      </c>
      <c r="P67" s="130" t="s">
        <v>105</v>
      </c>
      <c r="Q67" s="130" t="s">
        <v>66</v>
      </c>
      <c r="R67" s="130" t="s">
        <v>72</v>
      </c>
      <c r="S6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7" s="131">
        <v>19.493670000000002</v>
      </c>
      <c r="U67" s="130"/>
      <c r="V67" s="131">
        <f>VLOOKUP(H67,'Ext. Pa'!$B$3:$C$77,2,FALSE)</f>
        <v>1</v>
      </c>
      <c r="W67" s="130">
        <f>VLOOKUP(I67,'Ext. Pa'!$B$3:$C$77,2,FALSE)</f>
        <v>1</v>
      </c>
      <c r="X67" s="130">
        <f>VLOOKUP(J67,'Ext. Pa'!$B$3:$C$77,2,FALSE)</f>
        <v>4</v>
      </c>
      <c r="Y67" s="130">
        <f>VLOOKUP(K67,'Ext. Pa'!$B$3:$C$77,2,FALSE)</f>
        <v>0</v>
      </c>
      <c r="Z67" s="130">
        <f>VLOOKUP(L67,'Ext. Pa'!$B$3:$C$77,2,FALSE)</f>
        <v>5</v>
      </c>
      <c r="AA67" s="130">
        <f>VLOOKUP(M67,'Ext. Pa'!$B$3:$C$77,2,FALSE)</f>
        <v>5</v>
      </c>
      <c r="AB67" s="130">
        <f>VLOOKUP(N67,'Ext. Pa'!$B$3:$C$77,2,FALSE)</f>
        <v>5</v>
      </c>
      <c r="AC67" s="130">
        <f>VLOOKUP(O67,'Ext. Pa'!$B$3:$C$77,2,FALSE)</f>
        <v>1</v>
      </c>
      <c r="AD67" s="130">
        <f>VLOOKUP(P67,'Ext. Pa'!$B$3:$C$77,2,FALSE)</f>
        <v>5</v>
      </c>
      <c r="AE67" s="130">
        <f>VLOOKUP(Q67,'Ext. Pa'!$B$3:$C$77,2,FALSE)</f>
        <v>6</v>
      </c>
      <c r="AF67" s="132">
        <f t="shared" si="5"/>
        <v>3.25</v>
      </c>
      <c r="AG67" s="134">
        <f>Table2[[#This Row],[Coating defect survey10]]</f>
        <v>1</v>
      </c>
      <c r="AH67" s="134">
        <f>Table2[[#This Row],[CP Level within NACE Criteria4]]</f>
        <v>1</v>
      </c>
      <c r="AI67" s="135">
        <f>IF(Table2[[#This Row],[CP level]]&gt;9.9,1,0)</f>
        <v>0</v>
      </c>
      <c r="AJ67" s="135">
        <f>Table2[[#This Row],[Column3]]*Table2[[#This Row],[Coating defect survey2]]</f>
        <v>0</v>
      </c>
      <c r="AK67" s="170">
        <v>19.493670000000002</v>
      </c>
    </row>
    <row r="68" spans="1:37" s="100" customFormat="1">
      <c r="A68" s="94">
        <v>2</v>
      </c>
      <c r="B68" s="95" t="s">
        <v>376</v>
      </c>
      <c r="C68" s="96">
        <v>6731</v>
      </c>
      <c r="D68" s="97" t="s">
        <v>251</v>
      </c>
      <c r="E68" s="98"/>
      <c r="F68" s="98">
        <v>2000</v>
      </c>
      <c r="G68" s="98">
        <f>2013-Table2[[#This Row],[Startup Year]]</f>
        <v>13</v>
      </c>
      <c r="H68" s="98" t="s">
        <v>101</v>
      </c>
      <c r="I68" s="98" t="s">
        <v>108</v>
      </c>
      <c r="J68" s="98" t="s">
        <v>113</v>
      </c>
      <c r="K68" s="98">
        <v>0</v>
      </c>
      <c r="L68" s="98" t="s">
        <v>105</v>
      </c>
      <c r="M68" s="98" t="s">
        <v>105</v>
      </c>
      <c r="N68" s="98" t="s">
        <v>105</v>
      </c>
      <c r="O68" s="98" t="s">
        <v>105</v>
      </c>
      <c r="P68" s="98" t="s">
        <v>105</v>
      </c>
      <c r="Q68" s="98" t="s">
        <v>66</v>
      </c>
      <c r="R68" s="98" t="s">
        <v>72</v>
      </c>
      <c r="S6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68" s="98">
        <v>19.493670000000002</v>
      </c>
      <c r="U68" s="98"/>
      <c r="V68" s="98">
        <f>VLOOKUP(H68,'Ext. Pa'!$B$3:$C$77,2,FALSE)</f>
        <v>1</v>
      </c>
      <c r="W68" s="98">
        <f>VLOOKUP(I68,'Ext. Pa'!$B$3:$C$77,2,FALSE)</f>
        <v>1</v>
      </c>
      <c r="X68" s="98">
        <f>VLOOKUP(J68,'Ext. Pa'!$B$3:$C$77,2,FALSE)</f>
        <v>4</v>
      </c>
      <c r="Y68" s="98">
        <f>VLOOKUP(K68,'Ext. Pa'!$B$3:$C$77,2,FALSE)</f>
        <v>0</v>
      </c>
      <c r="Z68" s="98">
        <f>VLOOKUP(L68,'Ext. Pa'!$B$3:$C$77,2,FALSE)</f>
        <v>5</v>
      </c>
      <c r="AA68" s="98">
        <f>VLOOKUP(M68,'Ext. Pa'!$B$3:$C$77,2,FALSE)</f>
        <v>5</v>
      </c>
      <c r="AB68" s="98">
        <f>VLOOKUP(N68,'Ext. Pa'!$B$3:$C$77,2,FALSE)</f>
        <v>5</v>
      </c>
      <c r="AC68" s="98">
        <f>VLOOKUP(O68,'Ext. Pa'!$B$3:$C$77,2,FALSE)</f>
        <v>5</v>
      </c>
      <c r="AD68" s="98">
        <f>VLOOKUP(P68,'Ext. Pa'!$B$3:$C$77,2,FALSE)</f>
        <v>5</v>
      </c>
      <c r="AE68" s="98">
        <f>VLOOKUP(Q68,'Ext. Pa'!$B$3:$C$77,2,FALSE)</f>
        <v>6</v>
      </c>
      <c r="AF68" s="99">
        <f t="shared" si="5"/>
        <v>3.25</v>
      </c>
      <c r="AG68" s="134">
        <f>Table2[[#This Row],[Coating defect survey10]]</f>
        <v>5</v>
      </c>
      <c r="AH68" s="134">
        <f>Table2[[#This Row],[CP Level within NACE Criteria4]]</f>
        <v>1</v>
      </c>
      <c r="AI68" s="135">
        <f>IF(Table2[[#This Row],[CP level]]&gt;9.9,1,0)</f>
        <v>0</v>
      </c>
      <c r="AJ68" s="135">
        <f>Table2[[#This Row],[Column3]]*Table2[[#This Row],[Coating defect survey2]]</f>
        <v>0</v>
      </c>
      <c r="AK68" s="170">
        <v>19.493670000000002</v>
      </c>
    </row>
    <row r="69" spans="1:37" s="100" customFormat="1">
      <c r="A69" s="94">
        <v>2</v>
      </c>
      <c r="B69" s="95" t="s">
        <v>377</v>
      </c>
      <c r="C69" s="96">
        <v>6732</v>
      </c>
      <c r="D69" s="97" t="s">
        <v>252</v>
      </c>
      <c r="E69" s="98"/>
      <c r="F69" s="98">
        <v>2013</v>
      </c>
      <c r="G69" s="98">
        <f>2013-Table2[[#This Row],[Startup Year]]</f>
        <v>0</v>
      </c>
      <c r="H69" s="98" t="s">
        <v>101</v>
      </c>
      <c r="I69" s="98" t="s">
        <v>108</v>
      </c>
      <c r="J69" s="98" t="s">
        <v>113</v>
      </c>
      <c r="K69" s="98">
        <v>0</v>
      </c>
      <c r="L69" s="98" t="s">
        <v>105</v>
      </c>
      <c r="M69" s="98" t="s">
        <v>129</v>
      </c>
      <c r="N69" s="98" t="s">
        <v>129</v>
      </c>
      <c r="O69" s="98" t="s">
        <v>105</v>
      </c>
      <c r="P69" s="98" t="s">
        <v>105</v>
      </c>
      <c r="Q69" s="98" t="s">
        <v>66</v>
      </c>
      <c r="R69" s="98" t="s">
        <v>72</v>
      </c>
      <c r="S6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69" s="98">
        <v>19.493670000000002</v>
      </c>
      <c r="U69" s="98"/>
      <c r="V69" s="98">
        <f>VLOOKUP(H69,'Ext. Pa'!$B$3:$C$77,2,FALSE)</f>
        <v>1</v>
      </c>
      <c r="W69" s="98">
        <f>VLOOKUP(I69,'Ext. Pa'!$B$3:$C$77,2,FALSE)</f>
        <v>1</v>
      </c>
      <c r="X69" s="98">
        <f>VLOOKUP(J69,'Ext. Pa'!$B$3:$C$77,2,FALSE)</f>
        <v>4</v>
      </c>
      <c r="Y69" s="98">
        <f>VLOOKUP(K69,'Ext. Pa'!$B$3:$C$77,2,FALSE)</f>
        <v>0</v>
      </c>
      <c r="Z69" s="98">
        <f>VLOOKUP(L69,'Ext. Pa'!$B$3:$C$77,2,FALSE)</f>
        <v>5</v>
      </c>
      <c r="AA69" s="98">
        <f>VLOOKUP(M69,'Ext. Pa'!$B$3:$C$77,2,FALSE)</f>
        <v>1</v>
      </c>
      <c r="AB69" s="98">
        <f>VLOOKUP(N69,'Ext. Pa'!$B$3:$C$77,2,FALSE)</f>
        <v>1</v>
      </c>
      <c r="AC69" s="98">
        <f>VLOOKUP(O69,'Ext. Pa'!$B$3:$C$77,2,FALSE)</f>
        <v>5</v>
      </c>
      <c r="AD69" s="98">
        <f>VLOOKUP(P69,'Ext. Pa'!$B$3:$C$77,2,FALSE)</f>
        <v>5</v>
      </c>
      <c r="AE69" s="98">
        <f>VLOOKUP(Q69,'Ext. Pa'!$B$3:$C$77,2,FALSE)</f>
        <v>6</v>
      </c>
      <c r="AF69" s="99">
        <f t="shared" si="5"/>
        <v>0</v>
      </c>
      <c r="AG69" s="134">
        <f>Table2[[#This Row],[Coating defect survey10]]</f>
        <v>5</v>
      </c>
      <c r="AH69" s="134">
        <f>Table2[[#This Row],[CP Level within NACE Criteria4]]</f>
        <v>1</v>
      </c>
      <c r="AI69" s="135">
        <f>IF(Table2[[#This Row],[CP level]]&gt;9.9,1,0)</f>
        <v>0</v>
      </c>
      <c r="AJ69" s="135">
        <f>Table2[[#This Row],[Column3]]*Table2[[#This Row],[Coating defect survey2]]</f>
        <v>0</v>
      </c>
      <c r="AK69" s="170">
        <v>19.493670000000002</v>
      </c>
    </row>
    <row r="70" spans="1:37" s="100" customFormat="1">
      <c r="A70" s="94">
        <v>2</v>
      </c>
      <c r="B70" s="95" t="s">
        <v>378</v>
      </c>
      <c r="C70" s="96">
        <v>6734</v>
      </c>
      <c r="D70" s="97" t="s">
        <v>253</v>
      </c>
      <c r="E70" s="98"/>
      <c r="F70" s="98">
        <v>1998</v>
      </c>
      <c r="G70" s="98">
        <f>2013-Table2[[#This Row],[Startup Year]]</f>
        <v>15</v>
      </c>
      <c r="H70" s="98" t="s">
        <v>103</v>
      </c>
      <c r="I70" s="98" t="s">
        <v>108</v>
      </c>
      <c r="J70" s="98" t="s">
        <v>113</v>
      </c>
      <c r="K70" s="98">
        <v>0</v>
      </c>
      <c r="L70" s="98" t="s">
        <v>105</v>
      </c>
      <c r="M70" s="98" t="s">
        <v>129</v>
      </c>
      <c r="N70" s="98" t="s">
        <v>129</v>
      </c>
      <c r="O70" s="98" t="s">
        <v>105</v>
      </c>
      <c r="P70" s="98" t="s">
        <v>105</v>
      </c>
      <c r="Q70" s="98" t="s">
        <v>66</v>
      </c>
      <c r="R70" s="98" t="s">
        <v>72</v>
      </c>
      <c r="S7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20.094936708860757</v>
      </c>
      <c r="T70" s="98">
        <v>19.493670000000002</v>
      </c>
      <c r="U70" s="98"/>
      <c r="V70" s="98">
        <f>VLOOKUP(H70,'Ext. Pa'!$B$3:$C$77,2,FALSE)</f>
        <v>5</v>
      </c>
      <c r="W70" s="98">
        <f>VLOOKUP(I70,'Ext. Pa'!$B$3:$C$77,2,FALSE)</f>
        <v>1</v>
      </c>
      <c r="X70" s="98">
        <f>VLOOKUP(J70,'Ext. Pa'!$B$3:$C$77,2,FALSE)</f>
        <v>4</v>
      </c>
      <c r="Y70" s="98">
        <f>VLOOKUP(K70,'Ext. Pa'!$B$3:$C$77,2,FALSE)</f>
        <v>0</v>
      </c>
      <c r="Z70" s="98">
        <f>VLOOKUP(L70,'Ext. Pa'!$B$3:$C$77,2,FALSE)</f>
        <v>5</v>
      </c>
      <c r="AA70" s="98">
        <f>VLOOKUP(M70,'Ext. Pa'!$B$3:$C$77,2,FALSE)</f>
        <v>1</v>
      </c>
      <c r="AB70" s="98">
        <f>VLOOKUP(N70,'Ext. Pa'!$B$3:$C$77,2,FALSE)</f>
        <v>1</v>
      </c>
      <c r="AC70" s="98">
        <f>VLOOKUP(O70,'Ext. Pa'!$B$3:$C$77,2,FALSE)</f>
        <v>5</v>
      </c>
      <c r="AD70" s="98">
        <f>VLOOKUP(P70,'Ext. Pa'!$B$3:$C$77,2,FALSE)</f>
        <v>5</v>
      </c>
      <c r="AE70" s="98">
        <f>VLOOKUP(Q70,'Ext. Pa'!$B$3:$C$77,2,FALSE)</f>
        <v>6</v>
      </c>
      <c r="AF70" s="99">
        <f t="shared" si="5"/>
        <v>3.75</v>
      </c>
      <c r="AG70" s="134">
        <f>Table2[[#This Row],[Coating defect survey10]]</f>
        <v>5</v>
      </c>
      <c r="AH70" s="134">
        <f>Table2[[#This Row],[CP Level within NACE Criteria4]]</f>
        <v>1</v>
      </c>
      <c r="AI70" s="135">
        <f>IF(Table2[[#This Row],[CP level]]&gt;9.9,1,0)</f>
        <v>0</v>
      </c>
      <c r="AJ70" s="135">
        <f>Table2[[#This Row],[Column3]]*Table2[[#This Row],[Coating defect survey2]]</f>
        <v>0</v>
      </c>
      <c r="AK70" s="170">
        <v>19.493670000000002</v>
      </c>
    </row>
    <row r="71" spans="1:37" s="100" customFormat="1">
      <c r="A71" s="128">
        <v>2</v>
      </c>
      <c r="B71" s="129" t="s">
        <v>707</v>
      </c>
      <c r="C71" s="96">
        <v>63601</v>
      </c>
      <c r="D71" s="97"/>
      <c r="E71" s="130"/>
      <c r="F71" s="130">
        <v>2000</v>
      </c>
      <c r="G71" s="130">
        <f>2013-Table2[[#This Row],[Startup Year]]</f>
        <v>13</v>
      </c>
      <c r="H71" s="130" t="s">
        <v>101</v>
      </c>
      <c r="I71" s="130" t="s">
        <v>108</v>
      </c>
      <c r="J71" s="130" t="s">
        <v>113</v>
      </c>
      <c r="K71" s="98">
        <v>0</v>
      </c>
      <c r="L71" s="130" t="s">
        <v>105</v>
      </c>
      <c r="M71" s="130" t="s">
        <v>105</v>
      </c>
      <c r="N71" s="130" t="s">
        <v>105</v>
      </c>
      <c r="O71" s="130" t="s">
        <v>143</v>
      </c>
      <c r="P71" s="130" t="s">
        <v>105</v>
      </c>
      <c r="Q71" s="130" t="s">
        <v>66</v>
      </c>
      <c r="R71" s="130" t="s">
        <v>72</v>
      </c>
      <c r="S7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1" s="131">
        <v>19.493670000000002</v>
      </c>
      <c r="U71" s="130"/>
      <c r="V71" s="131">
        <f>VLOOKUP(H71,'Ext. Pa'!$B$3:$C$77,2,FALSE)</f>
        <v>1</v>
      </c>
      <c r="W71" s="130">
        <f>VLOOKUP(I71,'Ext. Pa'!$B$3:$C$77,2,FALSE)</f>
        <v>1</v>
      </c>
      <c r="X71" s="130">
        <f>VLOOKUP(J71,'Ext. Pa'!$B$3:$C$77,2,FALSE)</f>
        <v>4</v>
      </c>
      <c r="Y71" s="130">
        <f>VLOOKUP(K71,'Ext. Pa'!$B$3:$C$77,2,FALSE)</f>
        <v>0</v>
      </c>
      <c r="Z71" s="130">
        <f>VLOOKUP(L71,'Ext. Pa'!$B$3:$C$77,2,FALSE)</f>
        <v>5</v>
      </c>
      <c r="AA71" s="130">
        <f>VLOOKUP(M71,'Ext. Pa'!$B$3:$C$77,2,FALSE)</f>
        <v>5</v>
      </c>
      <c r="AB71" s="130">
        <f>VLOOKUP(N71,'Ext. Pa'!$B$3:$C$77,2,FALSE)</f>
        <v>5</v>
      </c>
      <c r="AC71" s="130">
        <f>VLOOKUP(O71,'Ext. Pa'!$B$3:$C$77,2,FALSE)</f>
        <v>1</v>
      </c>
      <c r="AD71" s="130">
        <f>VLOOKUP(P71,'Ext. Pa'!$B$3:$C$77,2,FALSE)</f>
        <v>5</v>
      </c>
      <c r="AE71" s="130">
        <f>VLOOKUP(Q71,'Ext. Pa'!$B$3:$C$77,2,FALSE)</f>
        <v>6</v>
      </c>
      <c r="AF71" s="132">
        <f t="shared" si="5"/>
        <v>3.25</v>
      </c>
      <c r="AG71" s="134">
        <f>Table2[[#This Row],[Coating defect survey10]]</f>
        <v>1</v>
      </c>
      <c r="AH71" s="134">
        <f>Table2[[#This Row],[CP Level within NACE Criteria4]]</f>
        <v>1</v>
      </c>
      <c r="AI71" s="135">
        <f>IF(Table2[[#This Row],[CP level]]&gt;9.9,1,0)</f>
        <v>0</v>
      </c>
      <c r="AJ71" s="135">
        <f>Table2[[#This Row],[Column3]]*Table2[[#This Row],[Coating defect survey2]]</f>
        <v>0</v>
      </c>
      <c r="AK71" s="170">
        <v>19.493670000000002</v>
      </c>
    </row>
    <row r="72" spans="1:37" s="100" customFormat="1">
      <c r="A72" s="94">
        <v>2</v>
      </c>
      <c r="B72" s="95" t="s">
        <v>379</v>
      </c>
      <c r="C72" s="96">
        <v>63602</v>
      </c>
      <c r="D72" s="97" t="s">
        <v>254</v>
      </c>
      <c r="E72" s="98"/>
      <c r="F72" s="98">
        <v>2005</v>
      </c>
      <c r="G72" s="98">
        <f>2013-Table2[[#This Row],[Startup Year]]</f>
        <v>8</v>
      </c>
      <c r="H72" s="98" t="s">
        <v>101</v>
      </c>
      <c r="I72" s="98" t="s">
        <v>108</v>
      </c>
      <c r="J72" s="98" t="s">
        <v>113</v>
      </c>
      <c r="K72" s="98">
        <v>0</v>
      </c>
      <c r="L72" s="98" t="s">
        <v>105</v>
      </c>
      <c r="M72" s="98" t="s">
        <v>129</v>
      </c>
      <c r="N72" s="98" t="s">
        <v>129</v>
      </c>
      <c r="O72" s="98" t="s">
        <v>143</v>
      </c>
      <c r="P72" s="98" t="s">
        <v>105</v>
      </c>
      <c r="Q72" s="98" t="s">
        <v>66</v>
      </c>
      <c r="R72" s="98" t="s">
        <v>72</v>
      </c>
      <c r="S7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16.962025316455694</v>
      </c>
      <c r="T72" s="98">
        <v>19.493670000000002</v>
      </c>
      <c r="U72" s="98"/>
      <c r="V72" s="98">
        <f>VLOOKUP(H72,'Ext. Pa'!$B$3:$C$77,2,FALSE)</f>
        <v>1</v>
      </c>
      <c r="W72" s="98">
        <f>VLOOKUP(I72,'Ext. Pa'!$B$3:$C$77,2,FALSE)</f>
        <v>1</v>
      </c>
      <c r="X72" s="98">
        <f>VLOOKUP(J72,'Ext. Pa'!$B$3:$C$77,2,FALSE)</f>
        <v>4</v>
      </c>
      <c r="Y72" s="98">
        <f>VLOOKUP(K72,'Ext. Pa'!$B$3:$C$77,2,FALSE)</f>
        <v>0</v>
      </c>
      <c r="Z72" s="98">
        <f>VLOOKUP(L72,'Ext. Pa'!$B$3:$C$77,2,FALSE)</f>
        <v>5</v>
      </c>
      <c r="AA72" s="98">
        <f>VLOOKUP(M72,'Ext. Pa'!$B$3:$C$77,2,FALSE)</f>
        <v>1</v>
      </c>
      <c r="AB72" s="98">
        <f>VLOOKUP(N72,'Ext. Pa'!$B$3:$C$77,2,FALSE)</f>
        <v>1</v>
      </c>
      <c r="AC72" s="98">
        <f>VLOOKUP(O72,'Ext. Pa'!$B$3:$C$77,2,FALSE)</f>
        <v>1</v>
      </c>
      <c r="AD72" s="98">
        <f>VLOOKUP(P72,'Ext. Pa'!$B$3:$C$77,2,FALSE)</f>
        <v>5</v>
      </c>
      <c r="AE72" s="98">
        <f>VLOOKUP(Q72,'Ext. Pa'!$B$3:$C$77,2,FALSE)</f>
        <v>6</v>
      </c>
      <c r="AF72" s="99">
        <f t="shared" si="5"/>
        <v>2</v>
      </c>
      <c r="AG72" s="134">
        <f>Table2[[#This Row],[Coating defect survey10]]</f>
        <v>1</v>
      </c>
      <c r="AH72" s="134">
        <f>Table2[[#This Row],[CP Level within NACE Criteria4]]</f>
        <v>1</v>
      </c>
      <c r="AI72" s="135">
        <f>IF(Table2[[#This Row],[CP level]]&gt;9.9,1,0)</f>
        <v>0</v>
      </c>
      <c r="AJ72" s="135">
        <f>Table2[[#This Row],[Column3]]*Table2[[#This Row],[Coating defect survey2]]</f>
        <v>0</v>
      </c>
      <c r="AK72" s="170">
        <v>19.493670000000002</v>
      </c>
    </row>
    <row r="73" spans="1:37" s="100" customFormat="1">
      <c r="A73" s="94">
        <v>2</v>
      </c>
      <c r="B73" s="95" t="s">
        <v>380</v>
      </c>
      <c r="C73" s="96">
        <v>65820</v>
      </c>
      <c r="D73" s="97" t="s">
        <v>255</v>
      </c>
      <c r="E73" s="98"/>
      <c r="F73" s="98">
        <v>2006</v>
      </c>
      <c r="G73" s="98">
        <f>2013-Table2[[#This Row],[Startup Year]]</f>
        <v>7</v>
      </c>
      <c r="H73" s="98" t="s">
        <v>101</v>
      </c>
      <c r="I73" s="98" t="s">
        <v>108</v>
      </c>
      <c r="J73" s="98" t="s">
        <v>113</v>
      </c>
      <c r="K73" s="98">
        <v>0</v>
      </c>
      <c r="L73" s="98" t="s">
        <v>105</v>
      </c>
      <c r="M73" s="98" t="s">
        <v>129</v>
      </c>
      <c r="N73" s="98" t="s">
        <v>129</v>
      </c>
      <c r="O73" s="98" t="s">
        <v>105</v>
      </c>
      <c r="P73" s="98" t="s">
        <v>105</v>
      </c>
      <c r="Q73" s="98" t="s">
        <v>66</v>
      </c>
      <c r="R73" s="98" t="s">
        <v>72</v>
      </c>
      <c r="S7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16.803797468354428</v>
      </c>
      <c r="T73" s="98">
        <v>19.493670000000002</v>
      </c>
      <c r="U73" s="98"/>
      <c r="V73" s="98">
        <f>VLOOKUP(H73,'Ext. Pa'!$B$3:$C$77,2,FALSE)</f>
        <v>1</v>
      </c>
      <c r="W73" s="98">
        <f>VLOOKUP(I73,'Ext. Pa'!$B$3:$C$77,2,FALSE)</f>
        <v>1</v>
      </c>
      <c r="X73" s="98">
        <f>VLOOKUP(J73,'Ext. Pa'!$B$3:$C$77,2,FALSE)</f>
        <v>4</v>
      </c>
      <c r="Y73" s="98">
        <f>VLOOKUP(K73,'Ext. Pa'!$B$3:$C$77,2,FALSE)</f>
        <v>0</v>
      </c>
      <c r="Z73" s="98">
        <f>VLOOKUP(L73,'Ext. Pa'!$B$3:$C$77,2,FALSE)</f>
        <v>5</v>
      </c>
      <c r="AA73" s="98">
        <f>VLOOKUP(M73,'Ext. Pa'!$B$3:$C$77,2,FALSE)</f>
        <v>1</v>
      </c>
      <c r="AB73" s="98">
        <f>VLOOKUP(N73,'Ext. Pa'!$B$3:$C$77,2,FALSE)</f>
        <v>1</v>
      </c>
      <c r="AC73" s="98">
        <f>VLOOKUP(O73,'Ext. Pa'!$B$3:$C$77,2,FALSE)</f>
        <v>5</v>
      </c>
      <c r="AD73" s="98">
        <f>VLOOKUP(P73,'Ext. Pa'!$B$3:$C$77,2,FALSE)</f>
        <v>5</v>
      </c>
      <c r="AE73" s="98">
        <f>VLOOKUP(Q73,'Ext. Pa'!$B$3:$C$77,2,FALSE)</f>
        <v>6</v>
      </c>
      <c r="AF73" s="99">
        <f t="shared" si="5"/>
        <v>1.75</v>
      </c>
      <c r="AG73" s="134">
        <f>Table2[[#This Row],[Coating defect survey10]]</f>
        <v>5</v>
      </c>
      <c r="AH73" s="134">
        <f>Table2[[#This Row],[CP Level within NACE Criteria4]]</f>
        <v>1</v>
      </c>
      <c r="AI73" s="135">
        <f>IF(Table2[[#This Row],[CP level]]&gt;9.9,1,0)</f>
        <v>0</v>
      </c>
      <c r="AJ73" s="135">
        <f>Table2[[#This Row],[Column3]]*Table2[[#This Row],[Coating defect survey2]]</f>
        <v>0</v>
      </c>
      <c r="AK73" s="170">
        <v>19.493670000000002</v>
      </c>
    </row>
    <row r="74" spans="1:37" s="100" customFormat="1" ht="13.5" customHeight="1">
      <c r="A74" s="94">
        <v>2</v>
      </c>
      <c r="B74" s="95" t="s">
        <v>381</v>
      </c>
      <c r="C74" s="96">
        <v>66111</v>
      </c>
      <c r="D74" s="97" t="s">
        <v>256</v>
      </c>
      <c r="E74" s="98"/>
      <c r="F74" s="98">
        <v>2000</v>
      </c>
      <c r="G74" s="98">
        <f>2013-Table2[[#This Row],[Startup Year]]</f>
        <v>13</v>
      </c>
      <c r="H74" s="98" t="s">
        <v>101</v>
      </c>
      <c r="I74" s="98" t="s">
        <v>108</v>
      </c>
      <c r="J74" s="98" t="s">
        <v>113</v>
      </c>
      <c r="K74" s="98">
        <v>0</v>
      </c>
      <c r="L74" s="98" t="s">
        <v>105</v>
      </c>
      <c r="M74" s="98" t="s">
        <v>105</v>
      </c>
      <c r="N74" s="98" t="s">
        <v>105</v>
      </c>
      <c r="O74" s="98" t="s">
        <v>144</v>
      </c>
      <c r="P74" s="98" t="s">
        <v>105</v>
      </c>
      <c r="Q74" s="98" t="s">
        <v>66</v>
      </c>
      <c r="R74" s="98" t="s">
        <v>72</v>
      </c>
      <c r="S7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4" s="98">
        <v>19.493670000000002</v>
      </c>
      <c r="U74" s="98"/>
      <c r="V74" s="98">
        <f>VLOOKUP(H74,'Ext. Pa'!$B$3:$C$77,2,FALSE)</f>
        <v>1</v>
      </c>
      <c r="W74" s="98">
        <f>VLOOKUP(I74,'Ext. Pa'!$B$3:$C$77,2,FALSE)</f>
        <v>1</v>
      </c>
      <c r="X74" s="98">
        <f>VLOOKUP(J74,'Ext. Pa'!$B$3:$C$77,2,FALSE)</f>
        <v>4</v>
      </c>
      <c r="Y74" s="98">
        <f>VLOOKUP(K74,'Ext. Pa'!$B$3:$C$77,2,FALSE)</f>
        <v>0</v>
      </c>
      <c r="Z74" s="98">
        <f>VLOOKUP(L74,'Ext. Pa'!$B$3:$C$77,2,FALSE)</f>
        <v>5</v>
      </c>
      <c r="AA74" s="98">
        <f>VLOOKUP(M74,'Ext. Pa'!$B$3:$C$77,2,FALSE)</f>
        <v>5</v>
      </c>
      <c r="AB74" s="98">
        <f>VLOOKUP(N74,'Ext. Pa'!$B$3:$C$77,2,FALSE)</f>
        <v>5</v>
      </c>
      <c r="AC74" s="98">
        <f>VLOOKUP(O74,'Ext. Pa'!$B$3:$C$77,2,FALSE)</f>
        <v>3</v>
      </c>
      <c r="AD74" s="98">
        <f>VLOOKUP(P74,'Ext. Pa'!$B$3:$C$77,2,FALSE)</f>
        <v>5</v>
      </c>
      <c r="AE74" s="98">
        <f>VLOOKUP(Q74,'Ext. Pa'!$B$3:$C$77,2,FALSE)</f>
        <v>6</v>
      </c>
      <c r="AF74" s="99">
        <f t="shared" si="5"/>
        <v>3.25</v>
      </c>
      <c r="AG74" s="134">
        <f>Table2[[#This Row],[Coating defect survey10]]</f>
        <v>3</v>
      </c>
      <c r="AH74" s="134">
        <f>Table2[[#This Row],[CP Level within NACE Criteria4]]</f>
        <v>1</v>
      </c>
      <c r="AI74" s="135">
        <f>IF(Table2[[#This Row],[CP level]]&gt;9.9,1,0)</f>
        <v>0</v>
      </c>
      <c r="AJ74" s="135">
        <f>Table2[[#This Row],[Column3]]*Table2[[#This Row],[Coating defect survey2]]</f>
        <v>0</v>
      </c>
      <c r="AK74" s="170">
        <v>19.493670000000002</v>
      </c>
    </row>
    <row r="75" spans="1:37" s="100" customFormat="1" ht="13.5" customHeight="1">
      <c r="A75" s="128">
        <v>2</v>
      </c>
      <c r="B75" s="129" t="s">
        <v>618</v>
      </c>
      <c r="C75" s="96">
        <v>6611102</v>
      </c>
      <c r="D75" s="97"/>
      <c r="E75" s="130"/>
      <c r="F75" s="130">
        <v>2000</v>
      </c>
      <c r="G75" s="130">
        <f>2013-Table2[[#This Row],[Startup Year]]</f>
        <v>13</v>
      </c>
      <c r="H75" s="130" t="s">
        <v>101</v>
      </c>
      <c r="I75" s="130" t="s">
        <v>108</v>
      </c>
      <c r="J75" s="130" t="s">
        <v>113</v>
      </c>
      <c r="K75" s="98">
        <v>0</v>
      </c>
      <c r="L75" s="130" t="s">
        <v>105</v>
      </c>
      <c r="M75" s="130" t="s">
        <v>105</v>
      </c>
      <c r="N75" s="130" t="s">
        <v>105</v>
      </c>
      <c r="O75" s="130" t="s">
        <v>143</v>
      </c>
      <c r="P75" s="130" t="s">
        <v>105</v>
      </c>
      <c r="Q75" s="130" t="s">
        <v>66</v>
      </c>
      <c r="R75" s="130" t="s">
        <v>72</v>
      </c>
      <c r="S7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5" s="131">
        <v>19.493670000000002</v>
      </c>
      <c r="U75" s="130"/>
      <c r="V75" s="131">
        <f>VLOOKUP(H75,'Ext. Pa'!$B$3:$C$77,2,FALSE)</f>
        <v>1</v>
      </c>
      <c r="W75" s="130">
        <f>VLOOKUP(I75,'Ext. Pa'!$B$3:$C$77,2,FALSE)</f>
        <v>1</v>
      </c>
      <c r="X75" s="130">
        <f>VLOOKUP(J75,'Ext. Pa'!$B$3:$C$77,2,FALSE)</f>
        <v>4</v>
      </c>
      <c r="Y75" s="130">
        <f>VLOOKUP(K75,'Ext. Pa'!$B$3:$C$77,2,FALSE)</f>
        <v>0</v>
      </c>
      <c r="Z75" s="130">
        <f>VLOOKUP(L75,'Ext. Pa'!$B$3:$C$77,2,FALSE)</f>
        <v>5</v>
      </c>
      <c r="AA75" s="130">
        <f>VLOOKUP(M75,'Ext. Pa'!$B$3:$C$77,2,FALSE)</f>
        <v>5</v>
      </c>
      <c r="AB75" s="130">
        <f>VLOOKUP(N75,'Ext. Pa'!$B$3:$C$77,2,FALSE)</f>
        <v>5</v>
      </c>
      <c r="AC75" s="130">
        <f>VLOOKUP(O75,'Ext. Pa'!$B$3:$C$77,2,FALSE)</f>
        <v>1</v>
      </c>
      <c r="AD75" s="130">
        <f>VLOOKUP(P75,'Ext. Pa'!$B$3:$C$77,2,FALSE)</f>
        <v>5</v>
      </c>
      <c r="AE75" s="130">
        <f>VLOOKUP(Q75,'Ext. Pa'!$B$3:$C$77,2,FALSE)</f>
        <v>6</v>
      </c>
      <c r="AF75" s="132">
        <f t="shared" si="5"/>
        <v>3.25</v>
      </c>
      <c r="AG75" s="134">
        <f>Table2[[#This Row],[Coating defect survey10]]</f>
        <v>1</v>
      </c>
      <c r="AH75" s="134">
        <f>Table2[[#This Row],[CP Level within NACE Criteria4]]</f>
        <v>1</v>
      </c>
      <c r="AI75" s="135">
        <f>IF(Table2[[#This Row],[CP level]]&gt;9.9,1,0)</f>
        <v>0</v>
      </c>
      <c r="AJ75" s="135">
        <f>Table2[[#This Row],[Column3]]*Table2[[#This Row],[Coating defect survey2]]</f>
        <v>0</v>
      </c>
      <c r="AK75" s="170">
        <v>19.493670000000002</v>
      </c>
    </row>
    <row r="76" spans="1:37" s="100" customFormat="1" ht="13.5" customHeight="1">
      <c r="A76" s="179">
        <v>2</v>
      </c>
      <c r="B76" s="180" t="s">
        <v>399</v>
      </c>
      <c r="C76" s="181">
        <v>661110201</v>
      </c>
      <c r="D76" s="182" t="s">
        <v>711</v>
      </c>
      <c r="E76" s="183"/>
      <c r="F76" s="183">
        <v>2000</v>
      </c>
      <c r="G76" s="183">
        <f>2013-Table2[[#This Row],[Startup Year]]</f>
        <v>13</v>
      </c>
      <c r="H76" s="183" t="s">
        <v>101</v>
      </c>
      <c r="I76" s="183" t="s">
        <v>108</v>
      </c>
      <c r="J76" s="183" t="s">
        <v>113</v>
      </c>
      <c r="K76" s="98">
        <v>0</v>
      </c>
      <c r="L76" s="183" t="s">
        <v>105</v>
      </c>
      <c r="M76" s="183" t="s">
        <v>105</v>
      </c>
      <c r="N76" s="183" t="s">
        <v>105</v>
      </c>
      <c r="O76" s="183" t="s">
        <v>105</v>
      </c>
      <c r="P76" s="183" t="s">
        <v>105</v>
      </c>
      <c r="Q76" s="183" t="s">
        <v>66</v>
      </c>
      <c r="R76" s="183" t="s">
        <v>72</v>
      </c>
      <c r="S76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6" s="184">
        <v>19.493670000000002</v>
      </c>
      <c r="U76" s="183"/>
      <c r="V76" s="184">
        <f>VLOOKUP(H76,'Ext. Pa'!$B$3:$C$77,2,FALSE)</f>
        <v>1</v>
      </c>
      <c r="W76" s="183">
        <f>VLOOKUP(I76,'Ext. Pa'!$B$3:$C$77,2,FALSE)</f>
        <v>1</v>
      </c>
      <c r="X76" s="183">
        <f>VLOOKUP(J76,'Ext. Pa'!$B$3:$C$77,2,FALSE)</f>
        <v>4</v>
      </c>
      <c r="Y76" s="183">
        <f>VLOOKUP(K76,'Ext. Pa'!$B$3:$C$77,2,FALSE)</f>
        <v>0</v>
      </c>
      <c r="Z76" s="183">
        <f>VLOOKUP(L76,'Ext. Pa'!$B$3:$C$77,2,FALSE)</f>
        <v>5</v>
      </c>
      <c r="AA76" s="183">
        <f>VLOOKUP(M76,'Ext. Pa'!$B$3:$C$77,2,FALSE)</f>
        <v>5</v>
      </c>
      <c r="AB76" s="183">
        <f>VLOOKUP(N76,'Ext. Pa'!$B$3:$C$77,2,FALSE)</f>
        <v>5</v>
      </c>
      <c r="AC76" s="183">
        <f>VLOOKUP(O76,'Ext. Pa'!$B$3:$C$77,2,FALSE)</f>
        <v>5</v>
      </c>
      <c r="AD76" s="183">
        <f>VLOOKUP(P76,'Ext. Pa'!$B$3:$C$77,2,FALSE)</f>
        <v>5</v>
      </c>
      <c r="AE76" s="183">
        <f>VLOOKUP(Q76,'Ext. Pa'!$B$3:$C$77,2,FALSE)</f>
        <v>6</v>
      </c>
      <c r="AF76" s="185">
        <f t="shared" si="5"/>
        <v>3.25</v>
      </c>
      <c r="AG76" s="134">
        <f>Table2[[#This Row],[Coating defect survey10]]</f>
        <v>5</v>
      </c>
      <c r="AH76" s="134">
        <f>Table2[[#This Row],[CP Level within NACE Criteria4]]</f>
        <v>1</v>
      </c>
      <c r="AI76" s="135">
        <f>IF(Table2[[#This Row],[CP level]]&gt;9.9,1,0)</f>
        <v>0</v>
      </c>
      <c r="AJ76" s="135">
        <f>Table2[[#This Row],[Column3]]*Table2[[#This Row],[Coating defect survey2]]</f>
        <v>0</v>
      </c>
      <c r="AK76" s="170">
        <v>19.493670000000002</v>
      </c>
    </row>
    <row r="77" spans="1:37" s="100" customFormat="1" ht="13.5" customHeight="1">
      <c r="A77" s="128">
        <v>2</v>
      </c>
      <c r="B77" s="129" t="s">
        <v>625</v>
      </c>
      <c r="C77" s="96">
        <v>661110202</v>
      </c>
      <c r="D77" s="97"/>
      <c r="E77" s="130"/>
      <c r="F77" s="130">
        <v>2000</v>
      </c>
      <c r="G77" s="130">
        <f>2013-Table2[[#This Row],[Startup Year]]</f>
        <v>13</v>
      </c>
      <c r="H77" s="130" t="s">
        <v>101</v>
      </c>
      <c r="I77" s="130" t="s">
        <v>108</v>
      </c>
      <c r="J77" s="130" t="s">
        <v>113</v>
      </c>
      <c r="K77" s="98">
        <v>0</v>
      </c>
      <c r="L77" s="130" t="s">
        <v>105</v>
      </c>
      <c r="M77" s="130" t="s">
        <v>105</v>
      </c>
      <c r="N77" s="130" t="s">
        <v>105</v>
      </c>
      <c r="O77" s="130" t="s">
        <v>143</v>
      </c>
      <c r="P77" s="130" t="s">
        <v>105</v>
      </c>
      <c r="Q77" s="130" t="s">
        <v>66</v>
      </c>
      <c r="R77" s="130" t="s">
        <v>72</v>
      </c>
      <c r="S7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7" s="131">
        <v>19.493670000000002</v>
      </c>
      <c r="U77" s="130"/>
      <c r="V77" s="131">
        <f>VLOOKUP(H77,'Ext. Pa'!$B$3:$C$77,2,FALSE)</f>
        <v>1</v>
      </c>
      <c r="W77" s="130">
        <f>VLOOKUP(I77,'Ext. Pa'!$B$3:$C$77,2,FALSE)</f>
        <v>1</v>
      </c>
      <c r="X77" s="130">
        <f>VLOOKUP(J77,'Ext. Pa'!$B$3:$C$77,2,FALSE)</f>
        <v>4</v>
      </c>
      <c r="Y77" s="130">
        <f>VLOOKUP(K77,'Ext. Pa'!$B$3:$C$77,2,FALSE)</f>
        <v>0</v>
      </c>
      <c r="Z77" s="130">
        <f>VLOOKUP(L77,'Ext. Pa'!$B$3:$C$77,2,FALSE)</f>
        <v>5</v>
      </c>
      <c r="AA77" s="130">
        <f>VLOOKUP(M77,'Ext. Pa'!$B$3:$C$77,2,FALSE)</f>
        <v>5</v>
      </c>
      <c r="AB77" s="130">
        <f>VLOOKUP(N77,'Ext. Pa'!$B$3:$C$77,2,FALSE)</f>
        <v>5</v>
      </c>
      <c r="AC77" s="130">
        <f>VLOOKUP(O77,'Ext. Pa'!$B$3:$C$77,2,FALSE)</f>
        <v>1</v>
      </c>
      <c r="AD77" s="130">
        <f>VLOOKUP(P77,'Ext. Pa'!$B$3:$C$77,2,FALSE)</f>
        <v>5</v>
      </c>
      <c r="AE77" s="130">
        <f>VLOOKUP(Q77,'Ext. Pa'!$B$3:$C$77,2,FALSE)</f>
        <v>6</v>
      </c>
      <c r="AF77" s="132">
        <f t="shared" si="5"/>
        <v>3.25</v>
      </c>
      <c r="AG77" s="134">
        <f>Table2[[#This Row],[Coating defect survey10]]</f>
        <v>1</v>
      </c>
      <c r="AH77" s="134">
        <f>Table2[[#This Row],[CP Level within NACE Criteria4]]</f>
        <v>1</v>
      </c>
      <c r="AI77" s="135">
        <f>IF(Table2[[#This Row],[CP level]]&gt;9.9,1,0)</f>
        <v>0</v>
      </c>
      <c r="AJ77" s="135">
        <f>Table2[[#This Row],[Column3]]*Table2[[#This Row],[Coating defect survey2]]</f>
        <v>0</v>
      </c>
      <c r="AK77" s="170">
        <v>19.493670000000002</v>
      </c>
    </row>
    <row r="78" spans="1:37" s="100" customFormat="1" ht="13.5" customHeight="1">
      <c r="A78" s="128">
        <v>2</v>
      </c>
      <c r="B78" s="129" t="s">
        <v>626</v>
      </c>
      <c r="C78" s="96">
        <v>661110203</v>
      </c>
      <c r="D78" s="97"/>
      <c r="E78" s="130"/>
      <c r="F78" s="130">
        <v>2000</v>
      </c>
      <c r="G78" s="130">
        <f>2013-Table2[[#This Row],[Startup Year]]</f>
        <v>13</v>
      </c>
      <c r="H78" s="130" t="s">
        <v>101</v>
      </c>
      <c r="I78" s="130" t="s">
        <v>108</v>
      </c>
      <c r="J78" s="130" t="s">
        <v>113</v>
      </c>
      <c r="K78" s="98">
        <v>0</v>
      </c>
      <c r="L78" s="130" t="s">
        <v>105</v>
      </c>
      <c r="M78" s="130" t="s">
        <v>105</v>
      </c>
      <c r="N78" s="130" t="s">
        <v>105</v>
      </c>
      <c r="O78" s="130" t="s">
        <v>143</v>
      </c>
      <c r="P78" s="130" t="s">
        <v>105</v>
      </c>
      <c r="Q78" s="130" t="s">
        <v>66</v>
      </c>
      <c r="R78" s="130" t="s">
        <v>72</v>
      </c>
      <c r="S7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8" s="131">
        <v>19.493670000000002</v>
      </c>
      <c r="U78" s="130"/>
      <c r="V78" s="131">
        <f>VLOOKUP(H78,'Ext. Pa'!$B$3:$C$77,2,FALSE)</f>
        <v>1</v>
      </c>
      <c r="W78" s="130">
        <f>VLOOKUP(I78,'Ext. Pa'!$B$3:$C$77,2,FALSE)</f>
        <v>1</v>
      </c>
      <c r="X78" s="130">
        <f>VLOOKUP(J78,'Ext. Pa'!$B$3:$C$77,2,FALSE)</f>
        <v>4</v>
      </c>
      <c r="Y78" s="130">
        <f>VLOOKUP(K78,'Ext. Pa'!$B$3:$C$77,2,FALSE)</f>
        <v>0</v>
      </c>
      <c r="Z78" s="130">
        <f>VLOOKUP(L78,'Ext. Pa'!$B$3:$C$77,2,FALSE)</f>
        <v>5</v>
      </c>
      <c r="AA78" s="130">
        <f>VLOOKUP(M78,'Ext. Pa'!$B$3:$C$77,2,FALSE)</f>
        <v>5</v>
      </c>
      <c r="AB78" s="130">
        <f>VLOOKUP(N78,'Ext. Pa'!$B$3:$C$77,2,FALSE)</f>
        <v>5</v>
      </c>
      <c r="AC78" s="130">
        <f>VLOOKUP(O78,'Ext. Pa'!$B$3:$C$77,2,FALSE)</f>
        <v>1</v>
      </c>
      <c r="AD78" s="130">
        <f>VLOOKUP(P78,'Ext. Pa'!$B$3:$C$77,2,FALSE)</f>
        <v>5</v>
      </c>
      <c r="AE78" s="130">
        <f>VLOOKUP(Q78,'Ext. Pa'!$B$3:$C$77,2,FALSE)</f>
        <v>6</v>
      </c>
      <c r="AF78" s="132">
        <f t="shared" si="5"/>
        <v>3.25</v>
      </c>
      <c r="AG78" s="134">
        <f>Table2[[#This Row],[Coating defect survey10]]</f>
        <v>1</v>
      </c>
      <c r="AH78" s="134">
        <f>Table2[[#This Row],[CP Level within NACE Criteria4]]</f>
        <v>1</v>
      </c>
      <c r="AI78" s="135">
        <f>IF(Table2[[#This Row],[CP level]]&gt;9.9,1,0)</f>
        <v>0</v>
      </c>
      <c r="AJ78" s="135">
        <f>Table2[[#This Row],[Column3]]*Table2[[#This Row],[Coating defect survey2]]</f>
        <v>0</v>
      </c>
      <c r="AK78" s="170">
        <v>19.493670000000002</v>
      </c>
    </row>
    <row r="79" spans="1:37" s="100" customFormat="1">
      <c r="A79" s="94">
        <v>2</v>
      </c>
      <c r="B79" s="95" t="s">
        <v>382</v>
      </c>
      <c r="C79" s="96">
        <v>66112</v>
      </c>
      <c r="D79" s="97" t="s">
        <v>257</v>
      </c>
      <c r="E79" s="98"/>
      <c r="F79" s="98">
        <v>2000</v>
      </c>
      <c r="G79" s="98">
        <f>2013-Table2[[#This Row],[Startup Year]]</f>
        <v>13</v>
      </c>
      <c r="H79" s="98" t="s">
        <v>101</v>
      </c>
      <c r="I79" s="98" t="s">
        <v>108</v>
      </c>
      <c r="J79" s="98" t="s">
        <v>113</v>
      </c>
      <c r="K79" s="98">
        <v>0</v>
      </c>
      <c r="L79" s="98" t="s">
        <v>105</v>
      </c>
      <c r="M79" s="98" t="s">
        <v>105</v>
      </c>
      <c r="N79" s="98" t="s">
        <v>105</v>
      </c>
      <c r="O79" s="98" t="s">
        <v>143</v>
      </c>
      <c r="P79" s="98" t="s">
        <v>105</v>
      </c>
      <c r="Q79" s="98" t="s">
        <v>66</v>
      </c>
      <c r="R79" s="98" t="s">
        <v>72</v>
      </c>
      <c r="S7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79" s="98">
        <v>19.493670000000002</v>
      </c>
      <c r="U79" s="98"/>
      <c r="V79" s="98">
        <f>VLOOKUP(H79,'Ext. Pa'!$B$3:$C$77,2,FALSE)</f>
        <v>1</v>
      </c>
      <c r="W79" s="98">
        <f>VLOOKUP(I79,'Ext. Pa'!$B$3:$C$77,2,FALSE)</f>
        <v>1</v>
      </c>
      <c r="X79" s="98">
        <f>VLOOKUP(J79,'Ext. Pa'!$B$3:$C$77,2,FALSE)</f>
        <v>4</v>
      </c>
      <c r="Y79" s="98">
        <f>VLOOKUP(K79,'Ext. Pa'!$B$3:$C$77,2,FALSE)</f>
        <v>0</v>
      </c>
      <c r="Z79" s="98">
        <f>VLOOKUP(L79,'Ext. Pa'!$B$3:$C$77,2,FALSE)</f>
        <v>5</v>
      </c>
      <c r="AA79" s="98">
        <f>VLOOKUP(M79,'Ext. Pa'!$B$3:$C$77,2,FALSE)</f>
        <v>5</v>
      </c>
      <c r="AB79" s="98">
        <f>VLOOKUP(N79,'Ext. Pa'!$B$3:$C$77,2,FALSE)</f>
        <v>5</v>
      </c>
      <c r="AC79" s="98">
        <f>VLOOKUP(O79,'Ext. Pa'!$B$3:$C$77,2,FALSE)</f>
        <v>1</v>
      </c>
      <c r="AD79" s="98">
        <f>VLOOKUP(P79,'Ext. Pa'!$B$3:$C$77,2,FALSE)</f>
        <v>5</v>
      </c>
      <c r="AE79" s="98">
        <f>VLOOKUP(Q79,'Ext. Pa'!$B$3:$C$77,2,FALSE)</f>
        <v>6</v>
      </c>
      <c r="AF79" s="99">
        <f t="shared" si="5"/>
        <v>3.25</v>
      </c>
      <c r="AG79" s="134">
        <f>Table2[[#This Row],[Coating defect survey10]]</f>
        <v>1</v>
      </c>
      <c r="AH79" s="134">
        <f>Table2[[#This Row],[CP Level within NACE Criteria4]]</f>
        <v>1</v>
      </c>
      <c r="AI79" s="135">
        <f>IF(Table2[[#This Row],[CP level]]&gt;9.9,1,0)</f>
        <v>0</v>
      </c>
      <c r="AJ79" s="135">
        <f>Table2[[#This Row],[Column3]]*Table2[[#This Row],[Coating defect survey2]]</f>
        <v>0</v>
      </c>
      <c r="AK79" s="170">
        <v>19.493670000000002</v>
      </c>
    </row>
    <row r="80" spans="1:37" s="100" customFormat="1">
      <c r="A80" s="94">
        <v>2</v>
      </c>
      <c r="B80" s="95" t="s">
        <v>383</v>
      </c>
      <c r="C80" s="96">
        <v>66203</v>
      </c>
      <c r="D80" s="97" t="s">
        <v>258</v>
      </c>
      <c r="E80" s="98"/>
      <c r="F80" s="98">
        <v>2009</v>
      </c>
      <c r="G80" s="98">
        <f>2013-Table2[[#This Row],[Startup Year]]</f>
        <v>4</v>
      </c>
      <c r="H80" s="98" t="s">
        <v>101</v>
      </c>
      <c r="I80" s="98" t="s">
        <v>108</v>
      </c>
      <c r="J80" s="98" t="s">
        <v>113</v>
      </c>
      <c r="K80" s="98">
        <v>0</v>
      </c>
      <c r="L80" s="98" t="s">
        <v>105</v>
      </c>
      <c r="M80" s="98" t="s">
        <v>129</v>
      </c>
      <c r="N80" s="98" t="s">
        <v>129</v>
      </c>
      <c r="O80" s="98" t="s">
        <v>143</v>
      </c>
      <c r="P80" s="98" t="s">
        <v>105</v>
      </c>
      <c r="Q80" s="98" t="s">
        <v>66</v>
      </c>
      <c r="R80" s="98" t="s">
        <v>72</v>
      </c>
      <c r="S8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16.329113924050631</v>
      </c>
      <c r="T80" s="98">
        <v>19.493670000000002</v>
      </c>
      <c r="U80" s="98"/>
      <c r="V80" s="98">
        <f>VLOOKUP(H80,'Ext. Pa'!$B$3:$C$77,2,FALSE)</f>
        <v>1</v>
      </c>
      <c r="W80" s="98">
        <f>VLOOKUP(I80,'Ext. Pa'!$B$3:$C$77,2,FALSE)</f>
        <v>1</v>
      </c>
      <c r="X80" s="98">
        <f>VLOOKUP(J80,'Ext. Pa'!$B$3:$C$77,2,FALSE)</f>
        <v>4</v>
      </c>
      <c r="Y80" s="98">
        <f>VLOOKUP(K80,'Ext. Pa'!$B$3:$C$77,2,FALSE)</f>
        <v>0</v>
      </c>
      <c r="Z80" s="98">
        <f>VLOOKUP(L80,'Ext. Pa'!$B$3:$C$77,2,FALSE)</f>
        <v>5</v>
      </c>
      <c r="AA80" s="98">
        <f>VLOOKUP(M80,'Ext. Pa'!$B$3:$C$77,2,FALSE)</f>
        <v>1</v>
      </c>
      <c r="AB80" s="98">
        <f>VLOOKUP(N80,'Ext. Pa'!$B$3:$C$77,2,FALSE)</f>
        <v>1</v>
      </c>
      <c r="AC80" s="98">
        <f>VLOOKUP(O80,'Ext. Pa'!$B$3:$C$77,2,FALSE)</f>
        <v>1</v>
      </c>
      <c r="AD80" s="98">
        <f>VLOOKUP(P80,'Ext. Pa'!$B$3:$C$77,2,FALSE)</f>
        <v>5</v>
      </c>
      <c r="AE80" s="98">
        <f>VLOOKUP(Q80,'Ext. Pa'!$B$3:$C$77,2,FALSE)</f>
        <v>6</v>
      </c>
      <c r="AF80" s="99">
        <f t="shared" si="5"/>
        <v>1</v>
      </c>
      <c r="AG80" s="134">
        <f>Table2[[#This Row],[Coating defect survey10]]</f>
        <v>1</v>
      </c>
      <c r="AH80" s="134">
        <f>Table2[[#This Row],[CP Level within NACE Criteria4]]</f>
        <v>1</v>
      </c>
      <c r="AI80" s="135">
        <f>IF(Table2[[#This Row],[CP level]]&gt;9.9,1,0)</f>
        <v>0</v>
      </c>
      <c r="AJ80" s="135">
        <f>Table2[[#This Row],[Column3]]*Table2[[#This Row],[Coating defect survey2]]</f>
        <v>0</v>
      </c>
      <c r="AK80" s="170">
        <v>19.493670000000002</v>
      </c>
    </row>
    <row r="81" spans="1:37" s="100" customFormat="1">
      <c r="A81" s="128">
        <v>2</v>
      </c>
      <c r="B81" s="129" t="s">
        <v>708</v>
      </c>
      <c r="C81" s="96">
        <v>662100001</v>
      </c>
      <c r="D81" s="97" t="s">
        <v>709</v>
      </c>
      <c r="E81" s="130"/>
      <c r="F81" s="130">
        <v>2000</v>
      </c>
      <c r="G81" s="130">
        <f>2013-Table2[[#This Row],[Startup Year]]</f>
        <v>13</v>
      </c>
      <c r="H81" s="130" t="s">
        <v>101</v>
      </c>
      <c r="I81" s="130" t="s">
        <v>108</v>
      </c>
      <c r="J81" s="130" t="s">
        <v>113</v>
      </c>
      <c r="K81" s="98">
        <v>0</v>
      </c>
      <c r="L81" s="130" t="s">
        <v>105</v>
      </c>
      <c r="M81" s="130" t="s">
        <v>105</v>
      </c>
      <c r="N81" s="130" t="s">
        <v>105</v>
      </c>
      <c r="O81" s="130" t="s">
        <v>143</v>
      </c>
      <c r="P81" s="130" t="s">
        <v>105</v>
      </c>
      <c r="Q81" s="130" t="s">
        <v>66</v>
      </c>
      <c r="R81" s="130" t="s">
        <v>72</v>
      </c>
      <c r="S8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1" s="131">
        <v>19.493670000000002</v>
      </c>
      <c r="U81" s="130"/>
      <c r="V81" s="131">
        <f>VLOOKUP(H81,'Ext. Pa'!$B$3:$C$77,2,FALSE)</f>
        <v>1</v>
      </c>
      <c r="W81" s="130">
        <f>VLOOKUP(I81,'Ext. Pa'!$B$3:$C$77,2,FALSE)</f>
        <v>1</v>
      </c>
      <c r="X81" s="130">
        <f>VLOOKUP(J81,'Ext. Pa'!$B$3:$C$77,2,FALSE)</f>
        <v>4</v>
      </c>
      <c r="Y81" s="130">
        <f>VLOOKUP(K81,'Ext. Pa'!$B$3:$C$77,2,FALSE)</f>
        <v>0</v>
      </c>
      <c r="Z81" s="130">
        <f>VLOOKUP(L81,'Ext. Pa'!$B$3:$C$77,2,FALSE)</f>
        <v>5</v>
      </c>
      <c r="AA81" s="130">
        <f>VLOOKUP(M81,'Ext. Pa'!$B$3:$C$77,2,FALSE)</f>
        <v>5</v>
      </c>
      <c r="AB81" s="130">
        <f>VLOOKUP(N81,'Ext. Pa'!$B$3:$C$77,2,FALSE)</f>
        <v>5</v>
      </c>
      <c r="AC81" s="130">
        <f>VLOOKUP(O81,'Ext. Pa'!$B$3:$C$77,2,FALSE)</f>
        <v>1</v>
      </c>
      <c r="AD81" s="130">
        <f>VLOOKUP(P81,'Ext. Pa'!$B$3:$C$77,2,FALSE)</f>
        <v>5</v>
      </c>
      <c r="AE81" s="130">
        <f>VLOOKUP(Q81,'Ext. Pa'!$B$3:$C$77,2,FALSE)</f>
        <v>6</v>
      </c>
      <c r="AF81" s="132">
        <f t="shared" ref="AF81:AF89" si="6">IF(G81&lt;40,(G81)/4,40)</f>
        <v>3.25</v>
      </c>
      <c r="AG81" s="134">
        <f>Table2[[#This Row],[Coating defect survey10]]</f>
        <v>1</v>
      </c>
      <c r="AH81" s="134">
        <f>Table2[[#This Row],[CP Level within NACE Criteria4]]</f>
        <v>1</v>
      </c>
      <c r="AI81" s="135">
        <f>IF(Table2[[#This Row],[CP level]]&gt;9.9,1,0)</f>
        <v>0</v>
      </c>
      <c r="AJ81" s="135">
        <f>Table2[[#This Row],[Column3]]*Table2[[#This Row],[Coating defect survey2]]</f>
        <v>0</v>
      </c>
      <c r="AK81" s="170">
        <v>19.493670000000002</v>
      </c>
    </row>
    <row r="82" spans="1:37" s="100" customFormat="1">
      <c r="A82" s="128">
        <v>2</v>
      </c>
      <c r="B82" s="129" t="s">
        <v>710</v>
      </c>
      <c r="C82" s="96">
        <v>66401001</v>
      </c>
      <c r="D82" s="97"/>
      <c r="E82" s="130"/>
      <c r="F82" s="130">
        <v>2000</v>
      </c>
      <c r="G82" s="130">
        <f>2013-Table2[[#This Row],[Startup Year]]</f>
        <v>13</v>
      </c>
      <c r="H82" s="130" t="s">
        <v>101</v>
      </c>
      <c r="I82" s="130" t="s">
        <v>108</v>
      </c>
      <c r="J82" s="130" t="s">
        <v>113</v>
      </c>
      <c r="K82" s="98">
        <v>0</v>
      </c>
      <c r="L82" s="130" t="s">
        <v>105</v>
      </c>
      <c r="M82" s="130" t="s">
        <v>105</v>
      </c>
      <c r="N82" s="130" t="s">
        <v>105</v>
      </c>
      <c r="O82" s="130" t="s">
        <v>145</v>
      </c>
      <c r="P82" s="130" t="s">
        <v>105</v>
      </c>
      <c r="Q82" s="130" t="s">
        <v>66</v>
      </c>
      <c r="R82" s="130" t="s">
        <v>72</v>
      </c>
      <c r="S8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2" s="131">
        <v>19.493670000000002</v>
      </c>
      <c r="U82" s="130"/>
      <c r="V82" s="131">
        <f>VLOOKUP(H82,'Ext. Pa'!$B$3:$C$77,2,FALSE)</f>
        <v>1</v>
      </c>
      <c r="W82" s="130">
        <f>VLOOKUP(I82,'Ext. Pa'!$B$3:$C$77,2,FALSE)</f>
        <v>1</v>
      </c>
      <c r="X82" s="130">
        <f>VLOOKUP(J82,'Ext. Pa'!$B$3:$C$77,2,FALSE)</f>
        <v>4</v>
      </c>
      <c r="Y82" s="130">
        <f>VLOOKUP(K82,'Ext. Pa'!$B$3:$C$77,2,FALSE)</f>
        <v>0</v>
      </c>
      <c r="Z82" s="130">
        <f>VLOOKUP(L82,'Ext. Pa'!$B$3:$C$77,2,FALSE)</f>
        <v>5</v>
      </c>
      <c r="AA82" s="130">
        <f>VLOOKUP(M82,'Ext. Pa'!$B$3:$C$77,2,FALSE)</f>
        <v>5</v>
      </c>
      <c r="AB82" s="130">
        <f>VLOOKUP(N82,'Ext. Pa'!$B$3:$C$77,2,FALSE)</f>
        <v>5</v>
      </c>
      <c r="AC82" s="130">
        <f>VLOOKUP(O82,'Ext. Pa'!$B$3:$C$77,2,FALSE)</f>
        <v>5</v>
      </c>
      <c r="AD82" s="130">
        <f>VLOOKUP(P82,'Ext. Pa'!$B$3:$C$77,2,FALSE)</f>
        <v>5</v>
      </c>
      <c r="AE82" s="130">
        <f>VLOOKUP(Q82,'Ext. Pa'!$B$3:$C$77,2,FALSE)</f>
        <v>6</v>
      </c>
      <c r="AF82" s="132">
        <f t="shared" si="6"/>
        <v>3.25</v>
      </c>
      <c r="AG82" s="134">
        <f>Table2[[#This Row],[Coating defect survey10]]</f>
        <v>5</v>
      </c>
      <c r="AH82" s="134">
        <f>Table2[[#This Row],[CP Level within NACE Criteria4]]</f>
        <v>1</v>
      </c>
      <c r="AI82" s="135">
        <f>IF(Table2[[#This Row],[CP level]]&gt;9.9,1,0)</f>
        <v>0</v>
      </c>
      <c r="AJ82" s="135">
        <f>Table2[[#This Row],[Column3]]*Table2[[#This Row],[Coating defect survey2]]</f>
        <v>0</v>
      </c>
      <c r="AK82" s="170">
        <v>19.493670000000002</v>
      </c>
    </row>
    <row r="83" spans="1:37" s="100" customFormat="1">
      <c r="A83" s="128">
        <v>2</v>
      </c>
      <c r="B83" s="129" t="s">
        <v>705</v>
      </c>
      <c r="C83" s="96">
        <v>66401002</v>
      </c>
      <c r="D83" s="97" t="s">
        <v>706</v>
      </c>
      <c r="E83" s="130"/>
      <c r="F83" s="130">
        <v>2000</v>
      </c>
      <c r="G83" s="130">
        <f>2013-Table2[[#This Row],[Startup Year]]</f>
        <v>13</v>
      </c>
      <c r="H83" s="130" t="s">
        <v>101</v>
      </c>
      <c r="I83" s="130" t="s">
        <v>108</v>
      </c>
      <c r="J83" s="130" t="s">
        <v>113</v>
      </c>
      <c r="K83" s="98">
        <v>0</v>
      </c>
      <c r="L83" s="130" t="s">
        <v>105</v>
      </c>
      <c r="M83" s="130" t="s">
        <v>105</v>
      </c>
      <c r="N83" s="130" t="s">
        <v>105</v>
      </c>
      <c r="O83" s="130" t="s">
        <v>146</v>
      </c>
      <c r="P83" s="130" t="s">
        <v>105</v>
      </c>
      <c r="Q83" s="130" t="s">
        <v>66</v>
      </c>
      <c r="R83" s="130" t="s">
        <v>72</v>
      </c>
      <c r="S8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3" s="98">
        <v>19.493670000000002</v>
      </c>
      <c r="U83" s="130"/>
      <c r="V83" s="131">
        <f>VLOOKUP(H83,'Ext. Pa'!$B$3:$C$77,2,FALSE)</f>
        <v>1</v>
      </c>
      <c r="W83" s="130">
        <f>VLOOKUP(I83,'Ext. Pa'!$B$3:$C$77,2,FALSE)</f>
        <v>1</v>
      </c>
      <c r="X83" s="130">
        <f>VLOOKUP(J83,'Ext. Pa'!$B$3:$C$77,2,FALSE)</f>
        <v>4</v>
      </c>
      <c r="Y83" s="130">
        <f>VLOOKUP(K83,'Ext. Pa'!$B$3:$C$77,2,FALSE)</f>
        <v>0</v>
      </c>
      <c r="Z83" s="130">
        <f>VLOOKUP(L83,'Ext. Pa'!$B$3:$C$77,2,FALSE)</f>
        <v>5</v>
      </c>
      <c r="AA83" s="130">
        <f>VLOOKUP(M83,'Ext. Pa'!$B$3:$C$77,2,FALSE)</f>
        <v>5</v>
      </c>
      <c r="AB83" s="130">
        <f>VLOOKUP(N83,'Ext. Pa'!$B$3:$C$77,2,FALSE)</f>
        <v>5</v>
      </c>
      <c r="AC83" s="130">
        <f>VLOOKUP(O83,'Ext. Pa'!$B$3:$C$77,2,FALSE)</f>
        <v>10</v>
      </c>
      <c r="AD83" s="130">
        <f>VLOOKUP(P83,'Ext. Pa'!$B$3:$C$77,2,FALSE)</f>
        <v>5</v>
      </c>
      <c r="AE83" s="130">
        <f>VLOOKUP(Q83,'Ext. Pa'!$B$3:$C$77,2,FALSE)</f>
        <v>6</v>
      </c>
      <c r="AF83" s="132">
        <f t="shared" si="6"/>
        <v>3.25</v>
      </c>
      <c r="AG83" s="133">
        <f>Table2[[#This Row],[Coating defect survey10]]</f>
        <v>10</v>
      </c>
      <c r="AH83" s="134">
        <f>Table2[[#This Row],[CP Level within NACE Criteria4]]</f>
        <v>1</v>
      </c>
      <c r="AI83" s="135">
        <f>IF(Table2[[#This Row],[CP level]]&gt;9.9,1,0)</f>
        <v>0</v>
      </c>
      <c r="AJ83" s="135">
        <f>Table2[[#This Row],[Column3]]*Table2[[#This Row],[Coating defect survey2]]</f>
        <v>0</v>
      </c>
      <c r="AK83" s="170">
        <v>19.493670000000002</v>
      </c>
    </row>
    <row r="84" spans="1:37" s="100" customFormat="1">
      <c r="A84" s="128">
        <v>2</v>
      </c>
      <c r="B84" s="129" t="s">
        <v>666</v>
      </c>
      <c r="C84" s="96">
        <v>6711</v>
      </c>
      <c r="D84" s="97"/>
      <c r="E84" s="130"/>
      <c r="F84" s="130">
        <v>2000</v>
      </c>
      <c r="G84" s="130">
        <f>2013-Table2[[#This Row],[Startup Year]]</f>
        <v>13</v>
      </c>
      <c r="H84" s="130" t="s">
        <v>101</v>
      </c>
      <c r="I84" s="130" t="s">
        <v>108</v>
      </c>
      <c r="J84" s="130" t="s">
        <v>113</v>
      </c>
      <c r="K84" s="98">
        <v>0</v>
      </c>
      <c r="L84" s="130" t="s">
        <v>105</v>
      </c>
      <c r="M84" s="130" t="s">
        <v>105</v>
      </c>
      <c r="N84" s="130" t="s">
        <v>105</v>
      </c>
      <c r="O84" s="130" t="s">
        <v>143</v>
      </c>
      <c r="P84" s="130" t="s">
        <v>105</v>
      </c>
      <c r="Q84" s="130" t="s">
        <v>66</v>
      </c>
      <c r="R84" s="130" t="s">
        <v>72</v>
      </c>
      <c r="S8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4" s="131">
        <v>19.493670000000002</v>
      </c>
      <c r="U84" s="130"/>
      <c r="V84" s="131">
        <f>VLOOKUP(H84,'Ext. Pa'!$B$3:$C$77,2,FALSE)</f>
        <v>1</v>
      </c>
      <c r="W84" s="130">
        <f>VLOOKUP(I84,'Ext. Pa'!$B$3:$C$77,2,FALSE)</f>
        <v>1</v>
      </c>
      <c r="X84" s="130">
        <f>VLOOKUP(J84,'Ext. Pa'!$B$3:$C$77,2,FALSE)</f>
        <v>4</v>
      </c>
      <c r="Y84" s="130">
        <f>VLOOKUP(K84,'Ext. Pa'!$B$3:$C$77,2,FALSE)</f>
        <v>0</v>
      </c>
      <c r="Z84" s="130">
        <f>VLOOKUP(L84,'Ext. Pa'!$B$3:$C$77,2,FALSE)</f>
        <v>5</v>
      </c>
      <c r="AA84" s="130">
        <f>VLOOKUP(M84,'Ext. Pa'!$B$3:$C$77,2,FALSE)</f>
        <v>5</v>
      </c>
      <c r="AB84" s="130">
        <f>VLOOKUP(N84,'Ext. Pa'!$B$3:$C$77,2,FALSE)</f>
        <v>5</v>
      </c>
      <c r="AC84" s="130">
        <f>VLOOKUP(O84,'Ext. Pa'!$B$3:$C$77,2,FALSE)</f>
        <v>1</v>
      </c>
      <c r="AD84" s="130">
        <f>VLOOKUP(P84,'Ext. Pa'!$B$3:$C$77,2,FALSE)</f>
        <v>5</v>
      </c>
      <c r="AE84" s="130">
        <f>VLOOKUP(Q84,'Ext. Pa'!$B$3:$C$77,2,FALSE)</f>
        <v>6</v>
      </c>
      <c r="AF84" s="132">
        <f t="shared" si="6"/>
        <v>3.25</v>
      </c>
      <c r="AG84" s="134">
        <f>Table2[[#This Row],[Coating defect survey10]]</f>
        <v>1</v>
      </c>
      <c r="AH84" s="134">
        <f>Table2[[#This Row],[CP Level within NACE Criteria4]]</f>
        <v>1</v>
      </c>
      <c r="AI84" s="135">
        <f>IF(Table2[[#This Row],[CP level]]&gt;9.9,1,0)</f>
        <v>0</v>
      </c>
      <c r="AJ84" s="135">
        <f>Table2[[#This Row],[Column3]]*Table2[[#This Row],[Coating defect survey2]]</f>
        <v>0</v>
      </c>
      <c r="AK84" s="170">
        <v>19.493670000000002</v>
      </c>
    </row>
    <row r="85" spans="1:37" s="100" customFormat="1">
      <c r="A85" s="128">
        <v>2</v>
      </c>
      <c r="B85" s="129" t="s">
        <v>679</v>
      </c>
      <c r="C85" s="96"/>
      <c r="D85" s="97" t="s">
        <v>680</v>
      </c>
      <c r="E85" s="130"/>
      <c r="F85" s="130">
        <v>2000</v>
      </c>
      <c r="G85" s="130">
        <f>2013-Table2[[#This Row],[Startup Year]]</f>
        <v>13</v>
      </c>
      <c r="H85" s="130" t="s">
        <v>101</v>
      </c>
      <c r="I85" s="130" t="s">
        <v>108</v>
      </c>
      <c r="J85" s="130" t="s">
        <v>113</v>
      </c>
      <c r="K85" s="98">
        <v>0</v>
      </c>
      <c r="L85" s="130" t="s">
        <v>105</v>
      </c>
      <c r="M85" s="130" t="s">
        <v>105</v>
      </c>
      <c r="N85" s="130" t="s">
        <v>105</v>
      </c>
      <c r="O85" s="130" t="s">
        <v>143</v>
      </c>
      <c r="P85" s="130" t="s">
        <v>105</v>
      </c>
      <c r="Q85" s="130" t="s">
        <v>66</v>
      </c>
      <c r="R85" s="130" t="s">
        <v>72</v>
      </c>
      <c r="S8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5" s="131">
        <v>19.493670000000002</v>
      </c>
      <c r="U85" s="130"/>
      <c r="V85" s="131">
        <f>VLOOKUP(H85,'Ext. Pa'!$B$3:$C$77,2,FALSE)</f>
        <v>1</v>
      </c>
      <c r="W85" s="130">
        <f>VLOOKUP(I85,'Ext. Pa'!$B$3:$C$77,2,FALSE)</f>
        <v>1</v>
      </c>
      <c r="X85" s="130">
        <f>VLOOKUP(J85,'Ext. Pa'!$B$3:$C$77,2,FALSE)</f>
        <v>4</v>
      </c>
      <c r="Y85" s="130">
        <f>VLOOKUP(K85,'Ext. Pa'!$B$3:$C$77,2,FALSE)</f>
        <v>0</v>
      </c>
      <c r="Z85" s="130">
        <f>VLOOKUP(L85,'Ext. Pa'!$B$3:$C$77,2,FALSE)</f>
        <v>5</v>
      </c>
      <c r="AA85" s="130">
        <f>VLOOKUP(M85,'Ext. Pa'!$B$3:$C$77,2,FALSE)</f>
        <v>5</v>
      </c>
      <c r="AB85" s="130">
        <f>VLOOKUP(N85,'Ext. Pa'!$B$3:$C$77,2,FALSE)</f>
        <v>5</v>
      </c>
      <c r="AC85" s="130">
        <f>VLOOKUP(O85,'Ext. Pa'!$B$3:$C$77,2,FALSE)</f>
        <v>1</v>
      </c>
      <c r="AD85" s="130">
        <f>VLOOKUP(P85,'Ext. Pa'!$B$3:$C$77,2,FALSE)</f>
        <v>5</v>
      </c>
      <c r="AE85" s="130">
        <f>VLOOKUP(Q85,'Ext. Pa'!$B$3:$C$77,2,FALSE)</f>
        <v>6</v>
      </c>
      <c r="AF85" s="132">
        <f t="shared" si="6"/>
        <v>3.25</v>
      </c>
      <c r="AG85" s="134">
        <f>Table2[[#This Row],[Coating defect survey10]]</f>
        <v>1</v>
      </c>
      <c r="AH85" s="134">
        <f>Table2[[#This Row],[CP Level within NACE Criteria4]]</f>
        <v>1</v>
      </c>
      <c r="AI85" s="135">
        <f>IF(Table2[[#This Row],[CP level]]&gt;9.9,1,0)</f>
        <v>0</v>
      </c>
      <c r="AJ85" s="135">
        <f>Table2[[#This Row],[Column3]]*Table2[[#This Row],[Coating defect survey2]]</f>
        <v>0</v>
      </c>
      <c r="AK85" s="170">
        <v>19.493670000000002</v>
      </c>
    </row>
    <row r="86" spans="1:37" s="100" customFormat="1">
      <c r="A86" s="128">
        <v>2</v>
      </c>
      <c r="B86" s="129" t="s">
        <v>681</v>
      </c>
      <c r="C86" s="96">
        <v>67111002</v>
      </c>
      <c r="D86" s="97" t="s">
        <v>682</v>
      </c>
      <c r="E86" s="130"/>
      <c r="F86" s="130">
        <v>2000</v>
      </c>
      <c r="G86" s="130">
        <f>2013-Table2[[#This Row],[Startup Year]]</f>
        <v>13</v>
      </c>
      <c r="H86" s="130" t="s">
        <v>101</v>
      </c>
      <c r="I86" s="130" t="s">
        <v>108</v>
      </c>
      <c r="J86" s="130" t="s">
        <v>113</v>
      </c>
      <c r="K86" s="98">
        <v>0</v>
      </c>
      <c r="L86" s="130" t="s">
        <v>105</v>
      </c>
      <c r="M86" s="130" t="s">
        <v>105</v>
      </c>
      <c r="N86" s="130" t="s">
        <v>105</v>
      </c>
      <c r="O86" s="130" t="s">
        <v>144</v>
      </c>
      <c r="P86" s="130" t="s">
        <v>105</v>
      </c>
      <c r="Q86" s="130" t="s">
        <v>66</v>
      </c>
      <c r="R86" s="130" t="s">
        <v>72</v>
      </c>
      <c r="S8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6" s="131">
        <v>19.493670000000002</v>
      </c>
      <c r="U86" s="130"/>
      <c r="V86" s="131">
        <f>VLOOKUP(H86,'Ext. Pa'!$B$3:$C$77,2,FALSE)</f>
        <v>1</v>
      </c>
      <c r="W86" s="130">
        <f>VLOOKUP(I86,'Ext. Pa'!$B$3:$C$77,2,FALSE)</f>
        <v>1</v>
      </c>
      <c r="X86" s="130">
        <f>VLOOKUP(J86,'Ext. Pa'!$B$3:$C$77,2,FALSE)</f>
        <v>4</v>
      </c>
      <c r="Y86" s="130">
        <f>VLOOKUP(K86,'Ext. Pa'!$B$3:$C$77,2,FALSE)</f>
        <v>0</v>
      </c>
      <c r="Z86" s="130">
        <f>VLOOKUP(L86,'Ext. Pa'!$B$3:$C$77,2,FALSE)</f>
        <v>5</v>
      </c>
      <c r="AA86" s="130">
        <f>VLOOKUP(M86,'Ext. Pa'!$B$3:$C$77,2,FALSE)</f>
        <v>5</v>
      </c>
      <c r="AB86" s="130">
        <f>VLOOKUP(N86,'Ext. Pa'!$B$3:$C$77,2,FALSE)</f>
        <v>5</v>
      </c>
      <c r="AC86" s="130">
        <f>VLOOKUP(O86,'Ext. Pa'!$B$3:$C$77,2,FALSE)</f>
        <v>3</v>
      </c>
      <c r="AD86" s="130">
        <f>VLOOKUP(P86,'Ext. Pa'!$B$3:$C$77,2,FALSE)</f>
        <v>5</v>
      </c>
      <c r="AE86" s="130">
        <f>VLOOKUP(Q86,'Ext. Pa'!$B$3:$C$77,2,FALSE)</f>
        <v>6</v>
      </c>
      <c r="AF86" s="132">
        <f t="shared" si="6"/>
        <v>3.25</v>
      </c>
      <c r="AG86" s="134">
        <f>Table2[[#This Row],[Coating defect survey10]]</f>
        <v>3</v>
      </c>
      <c r="AH86" s="134">
        <f>Table2[[#This Row],[CP Level within NACE Criteria4]]</f>
        <v>1</v>
      </c>
      <c r="AI86" s="135">
        <f>IF(Table2[[#This Row],[CP level]]&gt;9.9,1,0)</f>
        <v>0</v>
      </c>
      <c r="AJ86" s="135">
        <f>Table2[[#This Row],[Column3]]*Table2[[#This Row],[Coating defect survey2]]</f>
        <v>0</v>
      </c>
      <c r="AK86" s="170">
        <v>19.493670000000002</v>
      </c>
    </row>
    <row r="87" spans="1:37" s="100" customFormat="1">
      <c r="A87" s="128">
        <v>2</v>
      </c>
      <c r="B87" s="129" t="s">
        <v>683</v>
      </c>
      <c r="C87" s="96">
        <v>67111003</v>
      </c>
      <c r="D87" s="97" t="s">
        <v>684</v>
      </c>
      <c r="E87" s="130"/>
      <c r="F87" s="130">
        <v>2000</v>
      </c>
      <c r="G87" s="130">
        <f>2013-Table2[[#This Row],[Startup Year]]</f>
        <v>13</v>
      </c>
      <c r="H87" s="130" t="s">
        <v>101</v>
      </c>
      <c r="I87" s="130" t="s">
        <v>108</v>
      </c>
      <c r="J87" s="130" t="s">
        <v>113</v>
      </c>
      <c r="K87" s="98">
        <v>0</v>
      </c>
      <c r="L87" s="130" t="s">
        <v>105</v>
      </c>
      <c r="M87" s="130" t="s">
        <v>105</v>
      </c>
      <c r="N87" s="130" t="s">
        <v>105</v>
      </c>
      <c r="O87" s="130" t="s">
        <v>143</v>
      </c>
      <c r="P87" s="130" t="s">
        <v>105</v>
      </c>
      <c r="Q87" s="130" t="s">
        <v>66</v>
      </c>
      <c r="R87" s="130" t="s">
        <v>72</v>
      </c>
      <c r="S8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7" s="131">
        <v>19.493670000000002</v>
      </c>
      <c r="U87" s="130"/>
      <c r="V87" s="131">
        <f>VLOOKUP(H87,'Ext. Pa'!$B$3:$C$77,2,FALSE)</f>
        <v>1</v>
      </c>
      <c r="W87" s="130">
        <f>VLOOKUP(I87,'Ext. Pa'!$B$3:$C$77,2,FALSE)</f>
        <v>1</v>
      </c>
      <c r="X87" s="130">
        <f>VLOOKUP(J87,'Ext. Pa'!$B$3:$C$77,2,FALSE)</f>
        <v>4</v>
      </c>
      <c r="Y87" s="130">
        <f>VLOOKUP(K87,'Ext. Pa'!$B$3:$C$77,2,FALSE)</f>
        <v>0</v>
      </c>
      <c r="Z87" s="130">
        <f>VLOOKUP(L87,'Ext. Pa'!$B$3:$C$77,2,FALSE)</f>
        <v>5</v>
      </c>
      <c r="AA87" s="130">
        <f>VLOOKUP(M87,'Ext. Pa'!$B$3:$C$77,2,FALSE)</f>
        <v>5</v>
      </c>
      <c r="AB87" s="130">
        <f>VLOOKUP(N87,'Ext. Pa'!$B$3:$C$77,2,FALSE)</f>
        <v>5</v>
      </c>
      <c r="AC87" s="130">
        <f>VLOOKUP(O87,'Ext. Pa'!$B$3:$C$77,2,FALSE)</f>
        <v>1</v>
      </c>
      <c r="AD87" s="130">
        <f>VLOOKUP(P87,'Ext. Pa'!$B$3:$C$77,2,FALSE)</f>
        <v>5</v>
      </c>
      <c r="AE87" s="130">
        <f>VLOOKUP(Q87,'Ext. Pa'!$B$3:$C$77,2,FALSE)</f>
        <v>6</v>
      </c>
      <c r="AF87" s="132">
        <f t="shared" si="6"/>
        <v>3.25</v>
      </c>
      <c r="AG87" s="134">
        <f>Table2[[#This Row],[Coating defect survey10]]</f>
        <v>1</v>
      </c>
      <c r="AH87" s="134">
        <f>Table2[[#This Row],[CP Level within NACE Criteria4]]</f>
        <v>1</v>
      </c>
      <c r="AI87" s="135">
        <f>IF(Table2[[#This Row],[CP level]]&gt;9.9,1,0)</f>
        <v>0</v>
      </c>
      <c r="AJ87" s="135">
        <f>Table2[[#This Row],[Column3]]*Table2[[#This Row],[Coating defect survey2]]</f>
        <v>0</v>
      </c>
      <c r="AK87" s="170">
        <v>19.493670000000002</v>
      </c>
    </row>
    <row r="88" spans="1:37" s="100" customFormat="1">
      <c r="A88" s="128">
        <v>2</v>
      </c>
      <c r="B88" s="129" t="s">
        <v>685</v>
      </c>
      <c r="C88" s="96">
        <v>67111004</v>
      </c>
      <c r="D88" s="97" t="s">
        <v>686</v>
      </c>
      <c r="E88" s="130"/>
      <c r="F88" s="130">
        <v>2000</v>
      </c>
      <c r="G88" s="130">
        <f>2013-Table2[[#This Row],[Startup Year]]</f>
        <v>13</v>
      </c>
      <c r="H88" s="130" t="s">
        <v>101</v>
      </c>
      <c r="I88" s="130" t="s">
        <v>108</v>
      </c>
      <c r="J88" s="130" t="s">
        <v>113</v>
      </c>
      <c r="K88" s="98">
        <v>0</v>
      </c>
      <c r="L88" s="130" t="s">
        <v>105</v>
      </c>
      <c r="M88" s="130" t="s">
        <v>105</v>
      </c>
      <c r="N88" s="130" t="s">
        <v>105</v>
      </c>
      <c r="O88" s="130" t="s">
        <v>144</v>
      </c>
      <c r="P88" s="130" t="s">
        <v>105</v>
      </c>
      <c r="Q88" s="130" t="s">
        <v>66</v>
      </c>
      <c r="R88" s="130" t="s">
        <v>72</v>
      </c>
      <c r="S8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8" s="131">
        <v>19.493670000000002</v>
      </c>
      <c r="U88" s="130"/>
      <c r="V88" s="131">
        <f>VLOOKUP(H88,'Ext. Pa'!$B$3:$C$77,2,FALSE)</f>
        <v>1</v>
      </c>
      <c r="W88" s="130">
        <f>VLOOKUP(I88,'Ext. Pa'!$B$3:$C$77,2,FALSE)</f>
        <v>1</v>
      </c>
      <c r="X88" s="130">
        <f>VLOOKUP(J88,'Ext. Pa'!$B$3:$C$77,2,FALSE)</f>
        <v>4</v>
      </c>
      <c r="Y88" s="130">
        <f>VLOOKUP(K88,'Ext. Pa'!$B$3:$C$77,2,FALSE)</f>
        <v>0</v>
      </c>
      <c r="Z88" s="130">
        <f>VLOOKUP(L88,'Ext. Pa'!$B$3:$C$77,2,FALSE)</f>
        <v>5</v>
      </c>
      <c r="AA88" s="130">
        <f>VLOOKUP(M88,'Ext. Pa'!$B$3:$C$77,2,FALSE)</f>
        <v>5</v>
      </c>
      <c r="AB88" s="130">
        <f>VLOOKUP(N88,'Ext. Pa'!$B$3:$C$77,2,FALSE)</f>
        <v>5</v>
      </c>
      <c r="AC88" s="130">
        <f>VLOOKUP(O88,'Ext. Pa'!$B$3:$C$77,2,FALSE)</f>
        <v>3</v>
      </c>
      <c r="AD88" s="130">
        <f>VLOOKUP(P88,'Ext. Pa'!$B$3:$C$77,2,FALSE)</f>
        <v>5</v>
      </c>
      <c r="AE88" s="130">
        <f>VLOOKUP(Q88,'Ext. Pa'!$B$3:$C$77,2,FALSE)</f>
        <v>6</v>
      </c>
      <c r="AF88" s="132">
        <f t="shared" si="6"/>
        <v>3.25</v>
      </c>
      <c r="AG88" s="134">
        <f>Table2[[#This Row],[Coating defect survey10]]</f>
        <v>3</v>
      </c>
      <c r="AH88" s="134">
        <f>Table2[[#This Row],[CP Level within NACE Criteria4]]</f>
        <v>1</v>
      </c>
      <c r="AI88" s="135">
        <f>IF(Table2[[#This Row],[CP level]]&gt;9.9,1,0)</f>
        <v>0</v>
      </c>
      <c r="AJ88" s="135">
        <f>Table2[[#This Row],[Column3]]*Table2[[#This Row],[Coating defect survey2]]</f>
        <v>0</v>
      </c>
      <c r="AK88" s="170">
        <v>19.493670000000002</v>
      </c>
    </row>
    <row r="89" spans="1:37" s="100" customFormat="1">
      <c r="A89" s="128">
        <v>2</v>
      </c>
      <c r="B89" s="129" t="s">
        <v>667</v>
      </c>
      <c r="C89" s="96">
        <v>6712</v>
      </c>
      <c r="D89" s="97" t="s">
        <v>668</v>
      </c>
      <c r="E89" s="130"/>
      <c r="F89" s="130">
        <v>2000</v>
      </c>
      <c r="G89" s="130">
        <f>2013-Table2[[#This Row],[Startup Year]]</f>
        <v>13</v>
      </c>
      <c r="H89" s="130" t="s">
        <v>101</v>
      </c>
      <c r="I89" s="130" t="s">
        <v>108</v>
      </c>
      <c r="J89" s="130" t="s">
        <v>113</v>
      </c>
      <c r="K89" s="98">
        <v>0</v>
      </c>
      <c r="L89" s="130" t="s">
        <v>105</v>
      </c>
      <c r="M89" s="130" t="s">
        <v>105</v>
      </c>
      <c r="N89" s="130" t="s">
        <v>105</v>
      </c>
      <c r="O89" s="130" t="s">
        <v>143</v>
      </c>
      <c r="P89" s="130" t="s">
        <v>105</v>
      </c>
      <c r="Q89" s="130" t="s">
        <v>66</v>
      </c>
      <c r="R89" s="130" t="s">
        <v>72</v>
      </c>
      <c r="S8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89" s="131">
        <v>19.493670000000002</v>
      </c>
      <c r="U89" s="130"/>
      <c r="V89" s="131">
        <f>VLOOKUP(H89,'Ext. Pa'!$B$3:$C$77,2,FALSE)</f>
        <v>1</v>
      </c>
      <c r="W89" s="130">
        <f>VLOOKUP(I89,'Ext. Pa'!$B$3:$C$77,2,FALSE)</f>
        <v>1</v>
      </c>
      <c r="X89" s="130">
        <f>VLOOKUP(J89,'Ext. Pa'!$B$3:$C$77,2,FALSE)</f>
        <v>4</v>
      </c>
      <c r="Y89" s="130">
        <f>VLOOKUP(K89,'Ext. Pa'!$B$3:$C$77,2,FALSE)</f>
        <v>0</v>
      </c>
      <c r="Z89" s="130">
        <f>VLOOKUP(L89,'Ext. Pa'!$B$3:$C$77,2,FALSE)</f>
        <v>5</v>
      </c>
      <c r="AA89" s="130">
        <f>VLOOKUP(M89,'Ext. Pa'!$B$3:$C$77,2,FALSE)</f>
        <v>5</v>
      </c>
      <c r="AB89" s="130">
        <f>VLOOKUP(N89,'Ext. Pa'!$B$3:$C$77,2,FALSE)</f>
        <v>5</v>
      </c>
      <c r="AC89" s="130">
        <f>VLOOKUP(O89,'Ext. Pa'!$B$3:$C$77,2,FALSE)</f>
        <v>1</v>
      </c>
      <c r="AD89" s="130">
        <f>VLOOKUP(P89,'Ext. Pa'!$B$3:$C$77,2,FALSE)</f>
        <v>5</v>
      </c>
      <c r="AE89" s="130">
        <f>VLOOKUP(Q89,'Ext. Pa'!$B$3:$C$77,2,FALSE)</f>
        <v>6</v>
      </c>
      <c r="AF89" s="132">
        <f t="shared" si="6"/>
        <v>3.25</v>
      </c>
      <c r="AG89" s="134">
        <f>Table2[[#This Row],[Coating defect survey10]]</f>
        <v>1</v>
      </c>
      <c r="AH89" s="134">
        <f>Table2[[#This Row],[CP Level within NACE Criteria4]]</f>
        <v>1</v>
      </c>
      <c r="AI89" s="135">
        <f>IF(Table2[[#This Row],[CP level]]&gt;9.9,1,0)</f>
        <v>0</v>
      </c>
      <c r="AJ89" s="135">
        <f>Table2[[#This Row],[Column3]]*Table2[[#This Row],[Coating defect survey2]]</f>
        <v>0</v>
      </c>
      <c r="AK89" s="170">
        <v>19.493670000000002</v>
      </c>
    </row>
    <row r="90" spans="1:37" s="100" customFormat="1">
      <c r="A90" s="94">
        <v>2</v>
      </c>
      <c r="B90" s="95" t="s">
        <v>384</v>
      </c>
      <c r="C90" s="96">
        <v>67111</v>
      </c>
      <c r="D90" s="97" t="s">
        <v>259</v>
      </c>
      <c r="E90" s="98"/>
      <c r="F90" s="98">
        <v>2013</v>
      </c>
      <c r="G90" s="98">
        <f>2013-Table2[[#This Row],[Startup Year]]</f>
        <v>0</v>
      </c>
      <c r="H90" s="98" t="s">
        <v>101</v>
      </c>
      <c r="I90" s="98" t="s">
        <v>108</v>
      </c>
      <c r="J90" s="98" t="s">
        <v>113</v>
      </c>
      <c r="K90" s="98">
        <v>0</v>
      </c>
      <c r="L90" s="98" t="s">
        <v>105</v>
      </c>
      <c r="M90" s="98" t="s">
        <v>129</v>
      </c>
      <c r="N90" s="98" t="s">
        <v>129</v>
      </c>
      <c r="O90" s="98" t="s">
        <v>143</v>
      </c>
      <c r="P90" s="98" t="s">
        <v>105</v>
      </c>
      <c r="Q90" s="98" t="s">
        <v>66</v>
      </c>
      <c r="R90" s="98" t="s">
        <v>72</v>
      </c>
      <c r="S9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90" s="98">
        <v>19.493670000000002</v>
      </c>
      <c r="U90" s="98"/>
      <c r="V90" s="98">
        <f>VLOOKUP(H90,'Ext. Pa'!$B$3:$C$77,2,FALSE)</f>
        <v>1</v>
      </c>
      <c r="W90" s="98">
        <f>VLOOKUP(I90,'Ext. Pa'!$B$3:$C$77,2,FALSE)</f>
        <v>1</v>
      </c>
      <c r="X90" s="98">
        <f>VLOOKUP(J90,'Ext. Pa'!$B$3:$C$77,2,FALSE)</f>
        <v>4</v>
      </c>
      <c r="Y90" s="98">
        <f>VLOOKUP(K90,'Ext. Pa'!$B$3:$C$77,2,FALSE)</f>
        <v>0</v>
      </c>
      <c r="Z90" s="98">
        <f>VLOOKUP(L90,'Ext. Pa'!$B$3:$C$77,2,FALSE)</f>
        <v>5</v>
      </c>
      <c r="AA90" s="98">
        <f>VLOOKUP(M90,'Ext. Pa'!$B$3:$C$77,2,FALSE)</f>
        <v>1</v>
      </c>
      <c r="AB90" s="98">
        <f>VLOOKUP(N90,'Ext. Pa'!$B$3:$C$77,2,FALSE)</f>
        <v>1</v>
      </c>
      <c r="AC90" s="98">
        <f>VLOOKUP(O90,'Ext. Pa'!$B$3:$C$77,2,FALSE)</f>
        <v>1</v>
      </c>
      <c r="AD90" s="98">
        <f>VLOOKUP(P90,'Ext. Pa'!$B$3:$C$77,2,FALSE)</f>
        <v>5</v>
      </c>
      <c r="AE90" s="98">
        <f>VLOOKUP(Q90,'Ext. Pa'!$B$3:$C$77,2,FALSE)</f>
        <v>6</v>
      </c>
      <c r="AF90" s="99">
        <f>IF(G90&lt;40,(G90)/4,40)</f>
        <v>0</v>
      </c>
      <c r="AG90" s="134">
        <f>Table2[[#This Row],[Coating defect survey10]]</f>
        <v>1</v>
      </c>
      <c r="AH90" s="134">
        <f>Table2[[#This Row],[CP Level within NACE Criteria4]]</f>
        <v>1</v>
      </c>
      <c r="AI90" s="135">
        <f>IF(Table2[[#This Row],[CP level]]&gt;9.9,1,0)</f>
        <v>0</v>
      </c>
      <c r="AJ90" s="135">
        <f>Table2[[#This Row],[Column3]]*Table2[[#This Row],[Coating defect survey2]]</f>
        <v>0</v>
      </c>
      <c r="AK90" s="170">
        <v>19.493670000000002</v>
      </c>
    </row>
    <row r="91" spans="1:37" s="100" customFormat="1">
      <c r="A91" s="94">
        <v>2</v>
      </c>
      <c r="B91" s="95" t="s">
        <v>385</v>
      </c>
      <c r="C91" s="96">
        <v>67121</v>
      </c>
      <c r="D91" s="97" t="s">
        <v>260</v>
      </c>
      <c r="E91" s="98"/>
      <c r="F91" s="98">
        <v>2013</v>
      </c>
      <c r="G91" s="98">
        <f>2013-Table2[[#This Row],[Startup Year]]</f>
        <v>0</v>
      </c>
      <c r="H91" s="98" t="s">
        <v>101</v>
      </c>
      <c r="I91" s="98" t="s">
        <v>108</v>
      </c>
      <c r="J91" s="98" t="s">
        <v>113</v>
      </c>
      <c r="K91" s="98">
        <v>0</v>
      </c>
      <c r="L91" s="98" t="s">
        <v>105</v>
      </c>
      <c r="M91" s="98" t="s">
        <v>105</v>
      </c>
      <c r="N91" s="98" t="s">
        <v>105</v>
      </c>
      <c r="O91" s="98" t="s">
        <v>105</v>
      </c>
      <c r="P91" s="98" t="s">
        <v>105</v>
      </c>
      <c r="Q91" s="98" t="s">
        <v>66</v>
      </c>
      <c r="R91" s="98" t="s">
        <v>72</v>
      </c>
      <c r="S9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91" s="98">
        <v>19.493670000000002</v>
      </c>
      <c r="U91" s="98"/>
      <c r="V91" s="98">
        <f>VLOOKUP(H91,'Ext. Pa'!$B$3:$C$77,2,FALSE)</f>
        <v>1</v>
      </c>
      <c r="W91" s="98">
        <f>VLOOKUP(I91,'Ext. Pa'!$B$3:$C$77,2,FALSE)</f>
        <v>1</v>
      </c>
      <c r="X91" s="98">
        <f>VLOOKUP(J91,'Ext. Pa'!$B$3:$C$77,2,FALSE)</f>
        <v>4</v>
      </c>
      <c r="Y91" s="98">
        <f>VLOOKUP(K91,'Ext. Pa'!$B$3:$C$77,2,FALSE)</f>
        <v>0</v>
      </c>
      <c r="Z91" s="98">
        <f>VLOOKUP(L91,'Ext. Pa'!$B$3:$C$77,2,FALSE)</f>
        <v>5</v>
      </c>
      <c r="AA91" s="98">
        <f>VLOOKUP(M91,'Ext. Pa'!$B$3:$C$77,2,FALSE)</f>
        <v>5</v>
      </c>
      <c r="AB91" s="98">
        <f>VLOOKUP(N91,'Ext. Pa'!$B$3:$C$77,2,FALSE)</f>
        <v>5</v>
      </c>
      <c r="AC91" s="98">
        <f>VLOOKUP(O91,'Ext. Pa'!$B$3:$C$77,2,FALSE)</f>
        <v>5</v>
      </c>
      <c r="AD91" s="98">
        <f>VLOOKUP(P91,'Ext. Pa'!$B$3:$C$77,2,FALSE)</f>
        <v>5</v>
      </c>
      <c r="AE91" s="98">
        <f>VLOOKUP(Q91,'Ext. Pa'!$B$3:$C$77,2,FALSE)</f>
        <v>6</v>
      </c>
      <c r="AF91" s="99">
        <f>IF(G91&lt;40,(G91)/4,40)</f>
        <v>0</v>
      </c>
      <c r="AG91" s="134">
        <f>Table2[[#This Row],[Coating defect survey10]]</f>
        <v>5</v>
      </c>
      <c r="AH91" s="134">
        <f>Table2[[#This Row],[CP Level within NACE Criteria4]]</f>
        <v>1</v>
      </c>
      <c r="AI91" s="135">
        <f>IF(Table2[[#This Row],[CP level]]&gt;9.9,1,0)</f>
        <v>0</v>
      </c>
      <c r="AJ91" s="135">
        <f>Table2[[#This Row],[Column3]]*Table2[[#This Row],[Coating defect survey2]]</f>
        <v>0</v>
      </c>
      <c r="AK91" s="170">
        <v>19.493670000000002</v>
      </c>
    </row>
    <row r="92" spans="1:37" s="100" customFormat="1">
      <c r="A92" s="94">
        <v>2</v>
      </c>
      <c r="B92" s="95" t="s">
        <v>385</v>
      </c>
      <c r="C92" s="96">
        <v>67121</v>
      </c>
      <c r="D92" s="97" t="s">
        <v>669</v>
      </c>
      <c r="E92" s="130"/>
      <c r="F92" s="130">
        <v>2000</v>
      </c>
      <c r="G92" s="130">
        <f>2013-Table2[[#This Row],[Startup Year]]</f>
        <v>13</v>
      </c>
      <c r="H92" s="130" t="s">
        <v>101</v>
      </c>
      <c r="I92" s="130" t="s">
        <v>108</v>
      </c>
      <c r="J92" s="130" t="s">
        <v>113</v>
      </c>
      <c r="K92" s="98">
        <v>0</v>
      </c>
      <c r="L92" s="130" t="s">
        <v>105</v>
      </c>
      <c r="M92" s="130" t="s">
        <v>105</v>
      </c>
      <c r="N92" s="130" t="s">
        <v>105</v>
      </c>
      <c r="O92" s="130" t="s">
        <v>144</v>
      </c>
      <c r="P92" s="130" t="s">
        <v>105</v>
      </c>
      <c r="Q92" s="130" t="s">
        <v>66</v>
      </c>
      <c r="R92" s="130" t="s">
        <v>72</v>
      </c>
      <c r="S9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2" s="131">
        <v>19.493670000000002</v>
      </c>
      <c r="U92" s="130"/>
      <c r="V92" s="131">
        <f>VLOOKUP(H92,'Ext. Pa'!$B$3:$C$77,2,FALSE)</f>
        <v>1</v>
      </c>
      <c r="W92" s="130">
        <f>VLOOKUP(I92,'Ext. Pa'!$B$3:$C$77,2,FALSE)</f>
        <v>1</v>
      </c>
      <c r="X92" s="130">
        <f>VLOOKUP(J92,'Ext. Pa'!$B$3:$C$77,2,FALSE)</f>
        <v>4</v>
      </c>
      <c r="Y92" s="130">
        <f>VLOOKUP(K92,'Ext. Pa'!$B$3:$C$77,2,FALSE)</f>
        <v>0</v>
      </c>
      <c r="Z92" s="130">
        <f>VLOOKUP(L92,'Ext. Pa'!$B$3:$C$77,2,FALSE)</f>
        <v>5</v>
      </c>
      <c r="AA92" s="130">
        <f>VLOOKUP(M92,'Ext. Pa'!$B$3:$C$77,2,FALSE)</f>
        <v>5</v>
      </c>
      <c r="AB92" s="130">
        <f>VLOOKUP(N92,'Ext. Pa'!$B$3:$C$77,2,FALSE)</f>
        <v>5</v>
      </c>
      <c r="AC92" s="130">
        <f>VLOOKUP(O92,'Ext. Pa'!$B$3:$C$77,2,FALSE)</f>
        <v>3</v>
      </c>
      <c r="AD92" s="130">
        <f>VLOOKUP(P92,'Ext. Pa'!$B$3:$C$77,2,FALSE)</f>
        <v>5</v>
      </c>
      <c r="AE92" s="130">
        <f>VLOOKUP(Q92,'Ext. Pa'!$B$3:$C$77,2,FALSE)</f>
        <v>6</v>
      </c>
      <c r="AF92" s="132">
        <f t="shared" ref="AF92:AF105" si="7">IF(G92&lt;40,(G92)/4,40)</f>
        <v>3.25</v>
      </c>
      <c r="AG92" s="134">
        <f>Table2[[#This Row],[Coating defect survey10]]</f>
        <v>3</v>
      </c>
      <c r="AH92" s="134">
        <f>Table2[[#This Row],[CP Level within NACE Criteria4]]</f>
        <v>1</v>
      </c>
      <c r="AI92" s="135">
        <f>IF(Table2[[#This Row],[CP level]]&gt;9.9,1,0)</f>
        <v>0</v>
      </c>
      <c r="AJ92" s="135">
        <f>Table2[[#This Row],[Column3]]*Table2[[#This Row],[Coating defect survey2]]</f>
        <v>0</v>
      </c>
      <c r="AK92" s="170">
        <v>19.493670000000002</v>
      </c>
    </row>
    <row r="93" spans="1:37" s="100" customFormat="1">
      <c r="A93" s="94">
        <v>2</v>
      </c>
      <c r="B93" s="95" t="s">
        <v>385</v>
      </c>
      <c r="C93" s="96">
        <v>67121</v>
      </c>
      <c r="D93" s="97" t="s">
        <v>670</v>
      </c>
      <c r="E93" s="130"/>
      <c r="F93" s="130">
        <v>2000</v>
      </c>
      <c r="G93" s="130">
        <f>2013-Table2[[#This Row],[Startup Year]]</f>
        <v>13</v>
      </c>
      <c r="H93" s="130" t="s">
        <v>101</v>
      </c>
      <c r="I93" s="130" t="s">
        <v>108</v>
      </c>
      <c r="J93" s="130" t="s">
        <v>113</v>
      </c>
      <c r="K93" s="98">
        <v>0</v>
      </c>
      <c r="L93" s="130" t="s">
        <v>105</v>
      </c>
      <c r="M93" s="130" t="s">
        <v>105</v>
      </c>
      <c r="N93" s="130" t="s">
        <v>105</v>
      </c>
      <c r="O93" s="130" t="s">
        <v>147</v>
      </c>
      <c r="P93" s="130" t="s">
        <v>105</v>
      </c>
      <c r="Q93" s="130" t="s">
        <v>66</v>
      </c>
      <c r="R93" s="130" t="s">
        <v>72</v>
      </c>
      <c r="S9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3" s="131">
        <v>19.493670000000002</v>
      </c>
      <c r="U93" s="130"/>
      <c r="V93" s="131">
        <f>VLOOKUP(H93,'Ext. Pa'!$B$3:$C$77,2,FALSE)</f>
        <v>1</v>
      </c>
      <c r="W93" s="130">
        <f>VLOOKUP(I93,'Ext. Pa'!$B$3:$C$77,2,FALSE)</f>
        <v>1</v>
      </c>
      <c r="X93" s="130">
        <f>VLOOKUP(J93,'Ext. Pa'!$B$3:$C$77,2,FALSE)</f>
        <v>4</v>
      </c>
      <c r="Y93" s="130">
        <f>VLOOKUP(K93,'Ext. Pa'!$B$3:$C$77,2,FALSE)</f>
        <v>0</v>
      </c>
      <c r="Z93" s="130">
        <f>VLOOKUP(L93,'Ext. Pa'!$B$3:$C$77,2,FALSE)</f>
        <v>5</v>
      </c>
      <c r="AA93" s="130">
        <f>VLOOKUP(M93,'Ext. Pa'!$B$3:$C$77,2,FALSE)</f>
        <v>5</v>
      </c>
      <c r="AB93" s="130">
        <f>VLOOKUP(N93,'Ext. Pa'!$B$3:$C$77,2,FALSE)</f>
        <v>5</v>
      </c>
      <c r="AC93" s="130">
        <f>VLOOKUP(O93,'Ext. Pa'!$B$3:$C$77,2,FALSE)</f>
        <v>7</v>
      </c>
      <c r="AD93" s="130">
        <f>VLOOKUP(P93,'Ext. Pa'!$B$3:$C$77,2,FALSE)</f>
        <v>5</v>
      </c>
      <c r="AE93" s="130">
        <f>VLOOKUP(Q93,'Ext. Pa'!$B$3:$C$77,2,FALSE)</f>
        <v>6</v>
      </c>
      <c r="AF93" s="132">
        <f t="shared" si="7"/>
        <v>3.25</v>
      </c>
      <c r="AG93" s="134">
        <f>Table2[[#This Row],[Coating defect survey10]]</f>
        <v>7</v>
      </c>
      <c r="AH93" s="134">
        <f>Table2[[#This Row],[CP Level within NACE Criteria4]]</f>
        <v>1</v>
      </c>
      <c r="AI93" s="135">
        <f>IF(Table2[[#This Row],[CP level]]&gt;9.9,1,0)</f>
        <v>0</v>
      </c>
      <c r="AJ93" s="135">
        <f>Table2[[#This Row],[Column3]]*Table2[[#This Row],[Coating defect survey2]]</f>
        <v>0</v>
      </c>
      <c r="AK93" s="170">
        <v>19.493670000000002</v>
      </c>
    </row>
    <row r="94" spans="1:37" s="100" customFormat="1">
      <c r="A94" s="128">
        <v>2</v>
      </c>
      <c r="B94" s="129" t="s">
        <v>673</v>
      </c>
      <c r="C94" s="96">
        <v>6712101</v>
      </c>
      <c r="D94" s="97" t="s">
        <v>674</v>
      </c>
      <c r="E94" s="130"/>
      <c r="F94" s="130">
        <v>2000</v>
      </c>
      <c r="G94" s="130">
        <f>2013-Table2[[#This Row],[Startup Year]]</f>
        <v>13</v>
      </c>
      <c r="H94" s="130" t="s">
        <v>101</v>
      </c>
      <c r="I94" s="130" t="s">
        <v>108</v>
      </c>
      <c r="J94" s="130" t="s">
        <v>113</v>
      </c>
      <c r="K94" s="98">
        <v>0</v>
      </c>
      <c r="L94" s="130" t="s">
        <v>105</v>
      </c>
      <c r="M94" s="130" t="s">
        <v>105</v>
      </c>
      <c r="N94" s="130" t="s">
        <v>105</v>
      </c>
      <c r="O94" s="130" t="s">
        <v>143</v>
      </c>
      <c r="P94" s="130" t="s">
        <v>105</v>
      </c>
      <c r="Q94" s="130" t="s">
        <v>66</v>
      </c>
      <c r="R94" s="130" t="s">
        <v>72</v>
      </c>
      <c r="S9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4" s="131">
        <v>19.493670000000002</v>
      </c>
      <c r="U94" s="130"/>
      <c r="V94" s="131">
        <f>VLOOKUP(H94,'Ext. Pa'!$B$3:$C$77,2,FALSE)</f>
        <v>1</v>
      </c>
      <c r="W94" s="130">
        <f>VLOOKUP(I94,'Ext. Pa'!$B$3:$C$77,2,FALSE)</f>
        <v>1</v>
      </c>
      <c r="X94" s="130">
        <f>VLOOKUP(J94,'Ext. Pa'!$B$3:$C$77,2,FALSE)</f>
        <v>4</v>
      </c>
      <c r="Y94" s="130">
        <f>VLOOKUP(K94,'Ext. Pa'!$B$3:$C$77,2,FALSE)</f>
        <v>0</v>
      </c>
      <c r="Z94" s="130">
        <f>VLOOKUP(L94,'Ext. Pa'!$B$3:$C$77,2,FALSE)</f>
        <v>5</v>
      </c>
      <c r="AA94" s="130">
        <f>VLOOKUP(M94,'Ext. Pa'!$B$3:$C$77,2,FALSE)</f>
        <v>5</v>
      </c>
      <c r="AB94" s="130">
        <f>VLOOKUP(N94,'Ext. Pa'!$B$3:$C$77,2,FALSE)</f>
        <v>5</v>
      </c>
      <c r="AC94" s="130">
        <f>VLOOKUP(O94,'Ext. Pa'!$B$3:$C$77,2,FALSE)</f>
        <v>1</v>
      </c>
      <c r="AD94" s="130">
        <f>VLOOKUP(P94,'Ext. Pa'!$B$3:$C$77,2,FALSE)</f>
        <v>5</v>
      </c>
      <c r="AE94" s="130">
        <f>VLOOKUP(Q94,'Ext. Pa'!$B$3:$C$77,2,FALSE)</f>
        <v>6</v>
      </c>
      <c r="AF94" s="132">
        <f t="shared" si="7"/>
        <v>3.25</v>
      </c>
      <c r="AG94" s="134">
        <f>Table2[[#This Row],[Coating defect survey10]]</f>
        <v>1</v>
      </c>
      <c r="AH94" s="134">
        <f>Table2[[#This Row],[CP Level within NACE Criteria4]]</f>
        <v>1</v>
      </c>
      <c r="AI94" s="135">
        <f>IF(Table2[[#This Row],[CP level]]&gt;9.9,1,0)</f>
        <v>0</v>
      </c>
      <c r="AJ94" s="135">
        <f>Table2[[#This Row],[Column3]]*Table2[[#This Row],[Coating defect survey2]]</f>
        <v>0</v>
      </c>
      <c r="AK94" s="170">
        <v>19.493670000000002</v>
      </c>
    </row>
    <row r="95" spans="1:37" s="100" customFormat="1">
      <c r="A95" s="128">
        <v>2</v>
      </c>
      <c r="B95" s="129" t="s">
        <v>693</v>
      </c>
      <c r="C95" s="96">
        <v>671210103</v>
      </c>
      <c r="D95" s="97" t="s">
        <v>694</v>
      </c>
      <c r="E95" s="130"/>
      <c r="F95" s="130">
        <v>2000</v>
      </c>
      <c r="G95" s="130">
        <f>2013-Table2[[#This Row],[Startup Year]]</f>
        <v>13</v>
      </c>
      <c r="H95" s="130" t="s">
        <v>101</v>
      </c>
      <c r="I95" s="130" t="s">
        <v>108</v>
      </c>
      <c r="J95" s="130" t="s">
        <v>113</v>
      </c>
      <c r="K95" s="98">
        <v>0</v>
      </c>
      <c r="L95" s="130" t="s">
        <v>105</v>
      </c>
      <c r="M95" s="130" t="s">
        <v>105</v>
      </c>
      <c r="N95" s="130" t="s">
        <v>105</v>
      </c>
      <c r="O95" s="130" t="s">
        <v>143</v>
      </c>
      <c r="P95" s="130" t="s">
        <v>105</v>
      </c>
      <c r="Q95" s="130" t="s">
        <v>66</v>
      </c>
      <c r="R95" s="130" t="s">
        <v>72</v>
      </c>
      <c r="S9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5" s="131">
        <v>19.493670000000002</v>
      </c>
      <c r="U95" s="130"/>
      <c r="V95" s="131">
        <f>VLOOKUP(H95,'Ext. Pa'!$B$3:$C$77,2,FALSE)</f>
        <v>1</v>
      </c>
      <c r="W95" s="130">
        <f>VLOOKUP(I95,'Ext. Pa'!$B$3:$C$77,2,FALSE)</f>
        <v>1</v>
      </c>
      <c r="X95" s="130">
        <f>VLOOKUP(J95,'Ext. Pa'!$B$3:$C$77,2,FALSE)</f>
        <v>4</v>
      </c>
      <c r="Y95" s="130">
        <f>VLOOKUP(K95,'Ext. Pa'!$B$3:$C$77,2,FALSE)</f>
        <v>0</v>
      </c>
      <c r="Z95" s="130">
        <f>VLOOKUP(L95,'Ext. Pa'!$B$3:$C$77,2,FALSE)</f>
        <v>5</v>
      </c>
      <c r="AA95" s="130">
        <f>VLOOKUP(M95,'Ext. Pa'!$B$3:$C$77,2,FALSE)</f>
        <v>5</v>
      </c>
      <c r="AB95" s="130">
        <f>VLOOKUP(N95,'Ext. Pa'!$B$3:$C$77,2,FALSE)</f>
        <v>5</v>
      </c>
      <c r="AC95" s="130">
        <f>VLOOKUP(O95,'Ext. Pa'!$B$3:$C$77,2,FALSE)</f>
        <v>1</v>
      </c>
      <c r="AD95" s="130">
        <f>VLOOKUP(P95,'Ext. Pa'!$B$3:$C$77,2,FALSE)</f>
        <v>5</v>
      </c>
      <c r="AE95" s="130">
        <f>VLOOKUP(Q95,'Ext. Pa'!$B$3:$C$77,2,FALSE)</f>
        <v>6</v>
      </c>
      <c r="AF95" s="132">
        <f t="shared" si="7"/>
        <v>3.25</v>
      </c>
      <c r="AG95" s="134">
        <f>Table2[[#This Row],[Coating defect survey10]]</f>
        <v>1</v>
      </c>
      <c r="AH95" s="134">
        <f>Table2[[#This Row],[CP Level within NACE Criteria4]]</f>
        <v>1</v>
      </c>
      <c r="AI95" s="135">
        <f>IF(Table2[[#This Row],[CP level]]&gt;9.9,1,0)</f>
        <v>0</v>
      </c>
      <c r="AJ95" s="135">
        <f>Table2[[#This Row],[Column3]]*Table2[[#This Row],[Coating defect survey2]]</f>
        <v>0</v>
      </c>
      <c r="AK95" s="170">
        <v>19.493670000000002</v>
      </c>
    </row>
    <row r="96" spans="1:37" s="100" customFormat="1">
      <c r="A96" s="128">
        <v>2</v>
      </c>
      <c r="B96" s="129" t="s">
        <v>695</v>
      </c>
      <c r="C96" s="96">
        <v>671210104</v>
      </c>
      <c r="D96" s="97" t="s">
        <v>696</v>
      </c>
      <c r="E96" s="130"/>
      <c r="F96" s="130">
        <v>2000</v>
      </c>
      <c r="G96" s="130">
        <f>2013-Table2[[#This Row],[Startup Year]]</f>
        <v>13</v>
      </c>
      <c r="H96" s="130" t="s">
        <v>101</v>
      </c>
      <c r="I96" s="130" t="s">
        <v>108</v>
      </c>
      <c r="J96" s="130" t="s">
        <v>113</v>
      </c>
      <c r="K96" s="98">
        <v>0</v>
      </c>
      <c r="L96" s="130" t="s">
        <v>105</v>
      </c>
      <c r="M96" s="130" t="s">
        <v>105</v>
      </c>
      <c r="N96" s="130" t="s">
        <v>105</v>
      </c>
      <c r="O96" s="130" t="s">
        <v>143</v>
      </c>
      <c r="P96" s="130" t="s">
        <v>105</v>
      </c>
      <c r="Q96" s="130" t="s">
        <v>66</v>
      </c>
      <c r="R96" s="130" t="s">
        <v>72</v>
      </c>
      <c r="S9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6" s="131">
        <v>19.493670000000002</v>
      </c>
      <c r="U96" s="130"/>
      <c r="V96" s="131">
        <f>VLOOKUP(H96,'Ext. Pa'!$B$3:$C$77,2,FALSE)</f>
        <v>1</v>
      </c>
      <c r="W96" s="130">
        <f>VLOOKUP(I96,'Ext. Pa'!$B$3:$C$77,2,FALSE)</f>
        <v>1</v>
      </c>
      <c r="X96" s="130">
        <f>VLOOKUP(J96,'Ext. Pa'!$B$3:$C$77,2,FALSE)</f>
        <v>4</v>
      </c>
      <c r="Y96" s="130">
        <f>VLOOKUP(K96,'Ext. Pa'!$B$3:$C$77,2,FALSE)</f>
        <v>0</v>
      </c>
      <c r="Z96" s="130">
        <f>VLOOKUP(L96,'Ext. Pa'!$B$3:$C$77,2,FALSE)</f>
        <v>5</v>
      </c>
      <c r="AA96" s="130">
        <f>VLOOKUP(M96,'Ext. Pa'!$B$3:$C$77,2,FALSE)</f>
        <v>5</v>
      </c>
      <c r="AB96" s="130">
        <f>VLOOKUP(N96,'Ext. Pa'!$B$3:$C$77,2,FALSE)</f>
        <v>5</v>
      </c>
      <c r="AC96" s="130">
        <f>VLOOKUP(O96,'Ext. Pa'!$B$3:$C$77,2,FALSE)</f>
        <v>1</v>
      </c>
      <c r="AD96" s="130">
        <f>VLOOKUP(P96,'Ext. Pa'!$B$3:$C$77,2,FALSE)</f>
        <v>5</v>
      </c>
      <c r="AE96" s="130">
        <f>VLOOKUP(Q96,'Ext. Pa'!$B$3:$C$77,2,FALSE)</f>
        <v>6</v>
      </c>
      <c r="AF96" s="132">
        <f t="shared" si="7"/>
        <v>3.25</v>
      </c>
      <c r="AG96" s="134">
        <f>Table2[[#This Row],[Coating defect survey10]]</f>
        <v>1</v>
      </c>
      <c r="AH96" s="134">
        <f>Table2[[#This Row],[CP Level within NACE Criteria4]]</f>
        <v>1</v>
      </c>
      <c r="AI96" s="135">
        <f>IF(Table2[[#This Row],[CP level]]&gt;9.9,1,0)</f>
        <v>0</v>
      </c>
      <c r="AJ96" s="135">
        <f>Table2[[#This Row],[Column3]]*Table2[[#This Row],[Coating defect survey2]]</f>
        <v>0</v>
      </c>
      <c r="AK96" s="170">
        <v>19.493670000000002</v>
      </c>
    </row>
    <row r="97" spans="1:37" s="100" customFormat="1">
      <c r="A97" s="128">
        <v>2</v>
      </c>
      <c r="B97" s="129" t="s">
        <v>675</v>
      </c>
      <c r="C97" s="96">
        <v>6712102</v>
      </c>
      <c r="D97" s="97"/>
      <c r="E97" s="130"/>
      <c r="F97" s="130">
        <v>2000</v>
      </c>
      <c r="G97" s="130">
        <f>2013-Table2[[#This Row],[Startup Year]]</f>
        <v>13</v>
      </c>
      <c r="H97" s="130" t="s">
        <v>101</v>
      </c>
      <c r="I97" s="130" t="s">
        <v>108</v>
      </c>
      <c r="J97" s="130" t="s">
        <v>113</v>
      </c>
      <c r="K97" s="98">
        <v>0</v>
      </c>
      <c r="L97" s="130" t="s">
        <v>105</v>
      </c>
      <c r="M97" s="130" t="s">
        <v>105</v>
      </c>
      <c r="N97" s="130" t="s">
        <v>105</v>
      </c>
      <c r="O97" s="130" t="s">
        <v>143</v>
      </c>
      <c r="P97" s="130" t="s">
        <v>105</v>
      </c>
      <c r="Q97" s="130" t="s">
        <v>66</v>
      </c>
      <c r="R97" s="130" t="s">
        <v>72</v>
      </c>
      <c r="S9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7" s="131">
        <v>19.493670000000002</v>
      </c>
      <c r="U97" s="130"/>
      <c r="V97" s="131">
        <f>VLOOKUP(H97,'Ext. Pa'!$B$3:$C$77,2,FALSE)</f>
        <v>1</v>
      </c>
      <c r="W97" s="130">
        <f>VLOOKUP(I97,'Ext. Pa'!$B$3:$C$77,2,FALSE)</f>
        <v>1</v>
      </c>
      <c r="X97" s="130">
        <f>VLOOKUP(J97,'Ext. Pa'!$B$3:$C$77,2,FALSE)</f>
        <v>4</v>
      </c>
      <c r="Y97" s="130">
        <f>VLOOKUP(K97,'Ext. Pa'!$B$3:$C$77,2,FALSE)</f>
        <v>0</v>
      </c>
      <c r="Z97" s="130">
        <f>VLOOKUP(L97,'Ext. Pa'!$B$3:$C$77,2,FALSE)</f>
        <v>5</v>
      </c>
      <c r="AA97" s="130">
        <f>VLOOKUP(M97,'Ext. Pa'!$B$3:$C$77,2,FALSE)</f>
        <v>5</v>
      </c>
      <c r="AB97" s="130">
        <f>VLOOKUP(N97,'Ext. Pa'!$B$3:$C$77,2,FALSE)</f>
        <v>5</v>
      </c>
      <c r="AC97" s="130">
        <f>VLOOKUP(O97,'Ext. Pa'!$B$3:$C$77,2,FALSE)</f>
        <v>1</v>
      </c>
      <c r="AD97" s="130">
        <f>VLOOKUP(P97,'Ext. Pa'!$B$3:$C$77,2,FALSE)</f>
        <v>5</v>
      </c>
      <c r="AE97" s="130">
        <f>VLOOKUP(Q97,'Ext. Pa'!$B$3:$C$77,2,FALSE)</f>
        <v>6</v>
      </c>
      <c r="AF97" s="132">
        <f t="shared" si="7"/>
        <v>3.25</v>
      </c>
      <c r="AG97" s="134">
        <f>Table2[[#This Row],[Coating defect survey10]]</f>
        <v>1</v>
      </c>
      <c r="AH97" s="134">
        <f>Table2[[#This Row],[CP Level within NACE Criteria4]]</f>
        <v>1</v>
      </c>
      <c r="AI97" s="135">
        <f>IF(Table2[[#This Row],[CP level]]&gt;9.9,1,0)</f>
        <v>0</v>
      </c>
      <c r="AJ97" s="135">
        <f>Table2[[#This Row],[Column3]]*Table2[[#This Row],[Coating defect survey2]]</f>
        <v>0</v>
      </c>
      <c r="AK97" s="170">
        <v>19.493670000000002</v>
      </c>
    </row>
    <row r="98" spans="1:37" s="100" customFormat="1">
      <c r="A98" s="128">
        <v>2</v>
      </c>
      <c r="B98" s="129" t="s">
        <v>697</v>
      </c>
      <c r="C98" s="96">
        <v>671210201</v>
      </c>
      <c r="D98" s="97" t="s">
        <v>698</v>
      </c>
      <c r="E98" s="130"/>
      <c r="F98" s="130">
        <v>2000</v>
      </c>
      <c r="G98" s="130">
        <f>2013-Table2[[#This Row],[Startup Year]]</f>
        <v>13</v>
      </c>
      <c r="H98" s="130" t="s">
        <v>101</v>
      </c>
      <c r="I98" s="130" t="s">
        <v>108</v>
      </c>
      <c r="J98" s="130" t="s">
        <v>113</v>
      </c>
      <c r="K98" s="98">
        <v>0</v>
      </c>
      <c r="L98" s="130" t="s">
        <v>105</v>
      </c>
      <c r="M98" s="130" t="s">
        <v>105</v>
      </c>
      <c r="N98" s="130" t="s">
        <v>105</v>
      </c>
      <c r="O98" s="130" t="s">
        <v>143</v>
      </c>
      <c r="P98" s="130" t="s">
        <v>105</v>
      </c>
      <c r="Q98" s="130" t="s">
        <v>66</v>
      </c>
      <c r="R98" s="130" t="s">
        <v>72</v>
      </c>
      <c r="S9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8" s="131">
        <v>19.493670000000002</v>
      </c>
      <c r="U98" s="130"/>
      <c r="V98" s="131">
        <f>VLOOKUP(H98,'Ext. Pa'!$B$3:$C$77,2,FALSE)</f>
        <v>1</v>
      </c>
      <c r="W98" s="130">
        <f>VLOOKUP(I98,'Ext. Pa'!$B$3:$C$77,2,FALSE)</f>
        <v>1</v>
      </c>
      <c r="X98" s="130">
        <f>VLOOKUP(J98,'Ext. Pa'!$B$3:$C$77,2,FALSE)</f>
        <v>4</v>
      </c>
      <c r="Y98" s="130">
        <f>VLOOKUP(K98,'Ext. Pa'!$B$3:$C$77,2,FALSE)</f>
        <v>0</v>
      </c>
      <c r="Z98" s="130">
        <f>VLOOKUP(L98,'Ext. Pa'!$B$3:$C$77,2,FALSE)</f>
        <v>5</v>
      </c>
      <c r="AA98" s="130">
        <f>VLOOKUP(M98,'Ext. Pa'!$B$3:$C$77,2,FALSE)</f>
        <v>5</v>
      </c>
      <c r="AB98" s="130">
        <f>VLOOKUP(N98,'Ext. Pa'!$B$3:$C$77,2,FALSE)</f>
        <v>5</v>
      </c>
      <c r="AC98" s="130">
        <f>VLOOKUP(O98,'Ext. Pa'!$B$3:$C$77,2,FALSE)</f>
        <v>1</v>
      </c>
      <c r="AD98" s="130">
        <f>VLOOKUP(P98,'Ext. Pa'!$B$3:$C$77,2,FALSE)</f>
        <v>5</v>
      </c>
      <c r="AE98" s="130">
        <f>VLOOKUP(Q98,'Ext. Pa'!$B$3:$C$77,2,FALSE)</f>
        <v>6</v>
      </c>
      <c r="AF98" s="132">
        <f t="shared" si="7"/>
        <v>3.25</v>
      </c>
      <c r="AG98" s="134">
        <f>Table2[[#This Row],[Coating defect survey10]]</f>
        <v>1</v>
      </c>
      <c r="AH98" s="134">
        <f>Table2[[#This Row],[CP Level within NACE Criteria4]]</f>
        <v>1</v>
      </c>
      <c r="AI98" s="135">
        <f>IF(Table2[[#This Row],[CP level]]&gt;9.9,1,0)</f>
        <v>0</v>
      </c>
      <c r="AJ98" s="135">
        <f>Table2[[#This Row],[Column3]]*Table2[[#This Row],[Coating defect survey2]]</f>
        <v>0</v>
      </c>
      <c r="AK98" s="170">
        <v>19.493670000000002</v>
      </c>
    </row>
    <row r="99" spans="1:37" s="100" customFormat="1">
      <c r="A99" s="128">
        <v>2</v>
      </c>
      <c r="B99" s="129" t="s">
        <v>699</v>
      </c>
      <c r="C99" s="96">
        <v>671210202</v>
      </c>
      <c r="D99" s="97" t="s">
        <v>700</v>
      </c>
      <c r="E99" s="130"/>
      <c r="F99" s="130">
        <v>2000</v>
      </c>
      <c r="G99" s="130">
        <f>2013-Table2[[#This Row],[Startup Year]]</f>
        <v>13</v>
      </c>
      <c r="H99" s="130" t="s">
        <v>101</v>
      </c>
      <c r="I99" s="130" t="s">
        <v>108</v>
      </c>
      <c r="J99" s="130" t="s">
        <v>113</v>
      </c>
      <c r="K99" s="98">
        <v>0</v>
      </c>
      <c r="L99" s="130" t="s">
        <v>105</v>
      </c>
      <c r="M99" s="130" t="s">
        <v>105</v>
      </c>
      <c r="N99" s="130" t="s">
        <v>105</v>
      </c>
      <c r="O99" s="130" t="s">
        <v>143</v>
      </c>
      <c r="P99" s="130" t="s">
        <v>105</v>
      </c>
      <c r="Q99" s="130" t="s">
        <v>66</v>
      </c>
      <c r="R99" s="130" t="s">
        <v>72</v>
      </c>
      <c r="S9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99" s="131">
        <v>19.493670000000002</v>
      </c>
      <c r="U99" s="130"/>
      <c r="V99" s="131">
        <f>VLOOKUP(H99,'Ext. Pa'!$B$3:$C$77,2,FALSE)</f>
        <v>1</v>
      </c>
      <c r="W99" s="130">
        <f>VLOOKUP(I99,'Ext. Pa'!$B$3:$C$77,2,FALSE)</f>
        <v>1</v>
      </c>
      <c r="X99" s="130">
        <f>VLOOKUP(J99,'Ext. Pa'!$B$3:$C$77,2,FALSE)</f>
        <v>4</v>
      </c>
      <c r="Y99" s="130">
        <f>VLOOKUP(K99,'Ext. Pa'!$B$3:$C$77,2,FALSE)</f>
        <v>0</v>
      </c>
      <c r="Z99" s="130">
        <f>VLOOKUP(L99,'Ext. Pa'!$B$3:$C$77,2,FALSE)</f>
        <v>5</v>
      </c>
      <c r="AA99" s="130">
        <f>VLOOKUP(M99,'Ext. Pa'!$B$3:$C$77,2,FALSE)</f>
        <v>5</v>
      </c>
      <c r="AB99" s="130">
        <f>VLOOKUP(N99,'Ext. Pa'!$B$3:$C$77,2,FALSE)</f>
        <v>5</v>
      </c>
      <c r="AC99" s="130">
        <f>VLOOKUP(O99,'Ext. Pa'!$B$3:$C$77,2,FALSE)</f>
        <v>1</v>
      </c>
      <c r="AD99" s="130">
        <f>VLOOKUP(P99,'Ext. Pa'!$B$3:$C$77,2,FALSE)</f>
        <v>5</v>
      </c>
      <c r="AE99" s="130">
        <f>VLOOKUP(Q99,'Ext. Pa'!$B$3:$C$77,2,FALSE)</f>
        <v>6</v>
      </c>
      <c r="AF99" s="132">
        <f t="shared" si="7"/>
        <v>3.25</v>
      </c>
      <c r="AG99" s="134">
        <f>Table2[[#This Row],[Coating defect survey10]]</f>
        <v>1</v>
      </c>
      <c r="AH99" s="134">
        <f>Table2[[#This Row],[CP Level within NACE Criteria4]]</f>
        <v>1</v>
      </c>
      <c r="AI99" s="135">
        <f>IF(Table2[[#This Row],[CP level]]&gt;9.9,1,0)</f>
        <v>0</v>
      </c>
      <c r="AJ99" s="135">
        <f>Table2[[#This Row],[Column3]]*Table2[[#This Row],[Coating defect survey2]]</f>
        <v>0</v>
      </c>
      <c r="AK99" s="170">
        <v>19.493670000000002</v>
      </c>
    </row>
    <row r="100" spans="1:37" s="100" customFormat="1">
      <c r="A100" s="128">
        <v>2</v>
      </c>
      <c r="B100" s="129" t="s">
        <v>676</v>
      </c>
      <c r="C100" s="96">
        <v>6712103</v>
      </c>
      <c r="D100" s="97"/>
      <c r="E100" s="130"/>
      <c r="F100" s="130">
        <v>2000</v>
      </c>
      <c r="G100" s="130">
        <f>2013-Table2[[#This Row],[Startup Year]]</f>
        <v>13</v>
      </c>
      <c r="H100" s="130" t="s">
        <v>101</v>
      </c>
      <c r="I100" s="130" t="s">
        <v>108</v>
      </c>
      <c r="J100" s="130" t="s">
        <v>113</v>
      </c>
      <c r="K100" s="98">
        <v>0</v>
      </c>
      <c r="L100" s="130" t="s">
        <v>105</v>
      </c>
      <c r="M100" s="130" t="s">
        <v>105</v>
      </c>
      <c r="N100" s="130" t="s">
        <v>105</v>
      </c>
      <c r="O100" s="130" t="s">
        <v>143</v>
      </c>
      <c r="P100" s="130" t="s">
        <v>105</v>
      </c>
      <c r="Q100" s="130" t="s">
        <v>66</v>
      </c>
      <c r="R100" s="130" t="s">
        <v>72</v>
      </c>
      <c r="S10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0" s="131">
        <v>19.493670000000002</v>
      </c>
      <c r="U100" s="130"/>
      <c r="V100" s="131">
        <f>VLOOKUP(H100,'Ext. Pa'!$B$3:$C$77,2,FALSE)</f>
        <v>1</v>
      </c>
      <c r="W100" s="130">
        <f>VLOOKUP(I100,'Ext. Pa'!$B$3:$C$77,2,FALSE)</f>
        <v>1</v>
      </c>
      <c r="X100" s="130">
        <f>VLOOKUP(J100,'Ext. Pa'!$B$3:$C$77,2,FALSE)</f>
        <v>4</v>
      </c>
      <c r="Y100" s="130">
        <f>VLOOKUP(K100,'Ext. Pa'!$B$3:$C$77,2,FALSE)</f>
        <v>0</v>
      </c>
      <c r="Z100" s="130">
        <f>VLOOKUP(L100,'Ext. Pa'!$B$3:$C$77,2,FALSE)</f>
        <v>5</v>
      </c>
      <c r="AA100" s="130">
        <f>VLOOKUP(M100,'Ext. Pa'!$B$3:$C$77,2,FALSE)</f>
        <v>5</v>
      </c>
      <c r="AB100" s="130">
        <f>VLOOKUP(N100,'Ext. Pa'!$B$3:$C$77,2,FALSE)</f>
        <v>5</v>
      </c>
      <c r="AC100" s="130">
        <f>VLOOKUP(O100,'Ext. Pa'!$B$3:$C$77,2,FALSE)</f>
        <v>1</v>
      </c>
      <c r="AD100" s="130">
        <f>VLOOKUP(P100,'Ext. Pa'!$B$3:$C$77,2,FALSE)</f>
        <v>5</v>
      </c>
      <c r="AE100" s="130">
        <f>VLOOKUP(Q100,'Ext. Pa'!$B$3:$C$77,2,FALSE)</f>
        <v>6</v>
      </c>
      <c r="AF100" s="132">
        <f t="shared" si="7"/>
        <v>3.25</v>
      </c>
      <c r="AG100" s="134">
        <f>Table2[[#This Row],[Coating defect survey10]]</f>
        <v>1</v>
      </c>
      <c r="AH100" s="134">
        <f>Table2[[#This Row],[CP Level within NACE Criteria4]]</f>
        <v>1</v>
      </c>
      <c r="AI100" s="135">
        <f>IF(Table2[[#This Row],[CP level]]&gt;9.9,1,0)</f>
        <v>0</v>
      </c>
      <c r="AJ100" s="135">
        <f>Table2[[#This Row],[Column3]]*Table2[[#This Row],[Coating defect survey2]]</f>
        <v>0</v>
      </c>
      <c r="AK100" s="170">
        <v>19.493670000000002</v>
      </c>
    </row>
    <row r="101" spans="1:37" s="100" customFormat="1">
      <c r="A101" s="128">
        <v>2</v>
      </c>
      <c r="B101" s="129" t="s">
        <v>701</v>
      </c>
      <c r="C101" s="96">
        <v>671210301</v>
      </c>
      <c r="D101" s="97" t="s">
        <v>702</v>
      </c>
      <c r="E101" s="130"/>
      <c r="F101" s="130">
        <v>2000</v>
      </c>
      <c r="G101" s="130">
        <f>2013-Table2[[#This Row],[Startup Year]]</f>
        <v>13</v>
      </c>
      <c r="H101" s="130" t="s">
        <v>101</v>
      </c>
      <c r="I101" s="130" t="s">
        <v>108</v>
      </c>
      <c r="J101" s="130" t="s">
        <v>113</v>
      </c>
      <c r="K101" s="98">
        <v>0</v>
      </c>
      <c r="L101" s="130" t="s">
        <v>105</v>
      </c>
      <c r="M101" s="130" t="s">
        <v>105</v>
      </c>
      <c r="N101" s="130" t="s">
        <v>105</v>
      </c>
      <c r="O101" s="130" t="s">
        <v>143</v>
      </c>
      <c r="P101" s="130" t="s">
        <v>105</v>
      </c>
      <c r="Q101" s="130" t="s">
        <v>66</v>
      </c>
      <c r="R101" s="130" t="s">
        <v>72</v>
      </c>
      <c r="S10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1" s="131">
        <v>19.493670000000002</v>
      </c>
      <c r="U101" s="130"/>
      <c r="V101" s="131">
        <f>VLOOKUP(H101,'Ext. Pa'!$B$3:$C$77,2,FALSE)</f>
        <v>1</v>
      </c>
      <c r="W101" s="130">
        <f>VLOOKUP(I101,'Ext. Pa'!$B$3:$C$77,2,FALSE)</f>
        <v>1</v>
      </c>
      <c r="X101" s="130">
        <f>VLOOKUP(J101,'Ext. Pa'!$B$3:$C$77,2,FALSE)</f>
        <v>4</v>
      </c>
      <c r="Y101" s="130">
        <f>VLOOKUP(K101,'Ext. Pa'!$B$3:$C$77,2,FALSE)</f>
        <v>0</v>
      </c>
      <c r="Z101" s="130">
        <f>VLOOKUP(L101,'Ext. Pa'!$B$3:$C$77,2,FALSE)</f>
        <v>5</v>
      </c>
      <c r="AA101" s="130">
        <f>VLOOKUP(M101,'Ext. Pa'!$B$3:$C$77,2,FALSE)</f>
        <v>5</v>
      </c>
      <c r="AB101" s="130">
        <f>VLOOKUP(N101,'Ext. Pa'!$B$3:$C$77,2,FALSE)</f>
        <v>5</v>
      </c>
      <c r="AC101" s="130">
        <f>VLOOKUP(O101,'Ext. Pa'!$B$3:$C$77,2,FALSE)</f>
        <v>1</v>
      </c>
      <c r="AD101" s="130">
        <f>VLOOKUP(P101,'Ext. Pa'!$B$3:$C$77,2,FALSE)</f>
        <v>5</v>
      </c>
      <c r="AE101" s="130">
        <f>VLOOKUP(Q101,'Ext. Pa'!$B$3:$C$77,2,FALSE)</f>
        <v>6</v>
      </c>
      <c r="AF101" s="132">
        <f t="shared" si="7"/>
        <v>3.25</v>
      </c>
      <c r="AG101" s="134">
        <f>Table2[[#This Row],[Coating defect survey10]]</f>
        <v>1</v>
      </c>
      <c r="AH101" s="134">
        <f>Table2[[#This Row],[CP Level within NACE Criteria4]]</f>
        <v>1</v>
      </c>
      <c r="AI101" s="135">
        <f>IF(Table2[[#This Row],[CP level]]&gt;9.9,1,0)</f>
        <v>0</v>
      </c>
      <c r="AJ101" s="135">
        <f>Table2[[#This Row],[Column3]]*Table2[[#This Row],[Coating defect survey2]]</f>
        <v>0</v>
      </c>
      <c r="AK101" s="170">
        <v>19.493670000000002</v>
      </c>
    </row>
    <row r="102" spans="1:37" s="100" customFormat="1">
      <c r="A102" s="128">
        <v>2</v>
      </c>
      <c r="B102" s="129" t="s">
        <v>703</v>
      </c>
      <c r="C102" s="96">
        <v>671210401</v>
      </c>
      <c r="D102" s="97" t="s">
        <v>704</v>
      </c>
      <c r="E102" s="130"/>
      <c r="F102" s="130">
        <v>2000</v>
      </c>
      <c r="G102" s="130">
        <f>2013-Table2[[#This Row],[Startup Year]]</f>
        <v>13</v>
      </c>
      <c r="H102" s="130" t="s">
        <v>101</v>
      </c>
      <c r="I102" s="130" t="s">
        <v>108</v>
      </c>
      <c r="J102" s="130" t="s">
        <v>113</v>
      </c>
      <c r="K102" s="98">
        <v>0</v>
      </c>
      <c r="L102" s="130" t="s">
        <v>105</v>
      </c>
      <c r="M102" s="130" t="s">
        <v>105</v>
      </c>
      <c r="N102" s="130" t="s">
        <v>105</v>
      </c>
      <c r="O102" s="130" t="s">
        <v>143</v>
      </c>
      <c r="P102" s="130" t="s">
        <v>105</v>
      </c>
      <c r="Q102" s="130" t="s">
        <v>66</v>
      </c>
      <c r="R102" s="130" t="s">
        <v>72</v>
      </c>
      <c r="S10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2" s="131">
        <v>19.493670000000002</v>
      </c>
      <c r="U102" s="130"/>
      <c r="V102" s="131">
        <f>VLOOKUP(H102,'Ext. Pa'!$B$3:$C$77,2,FALSE)</f>
        <v>1</v>
      </c>
      <c r="W102" s="130">
        <f>VLOOKUP(I102,'Ext. Pa'!$B$3:$C$77,2,FALSE)</f>
        <v>1</v>
      </c>
      <c r="X102" s="130">
        <f>VLOOKUP(J102,'Ext. Pa'!$B$3:$C$77,2,FALSE)</f>
        <v>4</v>
      </c>
      <c r="Y102" s="130">
        <f>VLOOKUP(K102,'Ext. Pa'!$B$3:$C$77,2,FALSE)</f>
        <v>0</v>
      </c>
      <c r="Z102" s="130">
        <f>VLOOKUP(L102,'Ext. Pa'!$B$3:$C$77,2,FALSE)</f>
        <v>5</v>
      </c>
      <c r="AA102" s="130">
        <f>VLOOKUP(M102,'Ext. Pa'!$B$3:$C$77,2,FALSE)</f>
        <v>5</v>
      </c>
      <c r="AB102" s="130">
        <f>VLOOKUP(N102,'Ext. Pa'!$B$3:$C$77,2,FALSE)</f>
        <v>5</v>
      </c>
      <c r="AC102" s="130">
        <f>VLOOKUP(O102,'Ext. Pa'!$B$3:$C$77,2,FALSE)</f>
        <v>1</v>
      </c>
      <c r="AD102" s="130">
        <f>VLOOKUP(P102,'Ext. Pa'!$B$3:$C$77,2,FALSE)</f>
        <v>5</v>
      </c>
      <c r="AE102" s="130">
        <f>VLOOKUP(Q102,'Ext. Pa'!$B$3:$C$77,2,FALSE)</f>
        <v>6</v>
      </c>
      <c r="AF102" s="132">
        <f t="shared" si="7"/>
        <v>3.25</v>
      </c>
      <c r="AG102" s="134">
        <f>Table2[[#This Row],[Coating defect survey10]]</f>
        <v>1</v>
      </c>
      <c r="AH102" s="134">
        <f>Table2[[#This Row],[CP Level within NACE Criteria4]]</f>
        <v>1</v>
      </c>
      <c r="AI102" s="135">
        <f>IF(Table2[[#This Row],[CP level]]&gt;9.9,1,0)</f>
        <v>0</v>
      </c>
      <c r="AJ102" s="135">
        <f>Table2[[#This Row],[Column3]]*Table2[[#This Row],[Coating defect survey2]]</f>
        <v>0</v>
      </c>
      <c r="AK102" s="170">
        <v>19.493670000000002</v>
      </c>
    </row>
    <row r="103" spans="1:37" s="100" customFormat="1">
      <c r="A103" s="128">
        <v>2</v>
      </c>
      <c r="B103" s="129" t="s">
        <v>677</v>
      </c>
      <c r="C103" s="96">
        <v>6712104</v>
      </c>
      <c r="D103" s="97" t="s">
        <v>678</v>
      </c>
      <c r="E103" s="130"/>
      <c r="F103" s="130">
        <v>2000</v>
      </c>
      <c r="G103" s="130">
        <f>2013-Table2[[#This Row],[Startup Year]]</f>
        <v>13</v>
      </c>
      <c r="H103" s="130" t="s">
        <v>101</v>
      </c>
      <c r="I103" s="130" t="s">
        <v>108</v>
      </c>
      <c r="J103" s="130" t="s">
        <v>113</v>
      </c>
      <c r="K103" s="98">
        <v>0</v>
      </c>
      <c r="L103" s="130" t="s">
        <v>105</v>
      </c>
      <c r="M103" s="130" t="s">
        <v>105</v>
      </c>
      <c r="N103" s="130" t="s">
        <v>105</v>
      </c>
      <c r="O103" s="130" t="s">
        <v>143</v>
      </c>
      <c r="P103" s="130" t="s">
        <v>105</v>
      </c>
      <c r="Q103" s="130" t="s">
        <v>66</v>
      </c>
      <c r="R103" s="130" t="s">
        <v>72</v>
      </c>
      <c r="S10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3" s="131">
        <v>19.493670000000002</v>
      </c>
      <c r="U103" s="130"/>
      <c r="V103" s="131">
        <f>VLOOKUP(H103,'Ext. Pa'!$B$3:$C$77,2,FALSE)</f>
        <v>1</v>
      </c>
      <c r="W103" s="130">
        <f>VLOOKUP(I103,'Ext. Pa'!$B$3:$C$77,2,FALSE)</f>
        <v>1</v>
      </c>
      <c r="X103" s="130">
        <f>VLOOKUP(J103,'Ext. Pa'!$B$3:$C$77,2,FALSE)</f>
        <v>4</v>
      </c>
      <c r="Y103" s="130">
        <f>VLOOKUP(K103,'Ext. Pa'!$B$3:$C$77,2,FALSE)</f>
        <v>0</v>
      </c>
      <c r="Z103" s="130">
        <f>VLOOKUP(L103,'Ext. Pa'!$B$3:$C$77,2,FALSE)</f>
        <v>5</v>
      </c>
      <c r="AA103" s="130">
        <f>VLOOKUP(M103,'Ext. Pa'!$B$3:$C$77,2,FALSE)</f>
        <v>5</v>
      </c>
      <c r="AB103" s="130">
        <f>VLOOKUP(N103,'Ext. Pa'!$B$3:$C$77,2,FALSE)</f>
        <v>5</v>
      </c>
      <c r="AC103" s="130">
        <f>VLOOKUP(O103,'Ext. Pa'!$B$3:$C$77,2,FALSE)</f>
        <v>1</v>
      </c>
      <c r="AD103" s="130">
        <f>VLOOKUP(P103,'Ext. Pa'!$B$3:$C$77,2,FALSE)</f>
        <v>5</v>
      </c>
      <c r="AE103" s="130">
        <f>VLOOKUP(Q103,'Ext. Pa'!$B$3:$C$77,2,FALSE)</f>
        <v>6</v>
      </c>
      <c r="AF103" s="132">
        <f t="shared" si="7"/>
        <v>3.25</v>
      </c>
      <c r="AG103" s="134">
        <f>Table2[[#This Row],[Coating defect survey10]]</f>
        <v>1</v>
      </c>
      <c r="AH103" s="134">
        <f>Table2[[#This Row],[CP Level within NACE Criteria4]]</f>
        <v>1</v>
      </c>
      <c r="AI103" s="135">
        <f>IF(Table2[[#This Row],[CP level]]&gt;9.9,1,0)</f>
        <v>0</v>
      </c>
      <c r="AJ103" s="135">
        <f>Table2[[#This Row],[Column3]]*Table2[[#This Row],[Coating defect survey2]]</f>
        <v>0</v>
      </c>
      <c r="AK103" s="170">
        <v>19.493670000000002</v>
      </c>
    </row>
    <row r="104" spans="1:37" s="100" customFormat="1">
      <c r="A104" s="128">
        <v>2</v>
      </c>
      <c r="B104" s="129" t="s">
        <v>392</v>
      </c>
      <c r="C104" s="96">
        <v>6712105</v>
      </c>
      <c r="D104" s="97" t="s">
        <v>267</v>
      </c>
      <c r="E104" s="130"/>
      <c r="F104" s="130">
        <v>2000</v>
      </c>
      <c r="G104" s="130">
        <f>2013-Table2[[#This Row],[Startup Year]]</f>
        <v>13</v>
      </c>
      <c r="H104" s="130" t="s">
        <v>101</v>
      </c>
      <c r="I104" s="130" t="s">
        <v>108</v>
      </c>
      <c r="J104" s="130" t="s">
        <v>113</v>
      </c>
      <c r="K104" s="98">
        <v>0</v>
      </c>
      <c r="L104" s="130" t="s">
        <v>105</v>
      </c>
      <c r="M104" s="130" t="s">
        <v>105</v>
      </c>
      <c r="N104" s="130" t="s">
        <v>105</v>
      </c>
      <c r="O104" s="130" t="s">
        <v>144</v>
      </c>
      <c r="P104" s="130" t="s">
        <v>105</v>
      </c>
      <c r="Q104" s="130" t="s">
        <v>66</v>
      </c>
      <c r="R104" s="130" t="s">
        <v>72</v>
      </c>
      <c r="S10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4" s="131">
        <v>19.493670000000002</v>
      </c>
      <c r="U104" s="130"/>
      <c r="V104" s="131">
        <f>VLOOKUP(H104,'Ext. Pa'!$B$3:$C$77,2,FALSE)</f>
        <v>1</v>
      </c>
      <c r="W104" s="130">
        <f>VLOOKUP(I104,'Ext. Pa'!$B$3:$C$77,2,FALSE)</f>
        <v>1</v>
      </c>
      <c r="X104" s="130">
        <f>VLOOKUP(J104,'Ext. Pa'!$B$3:$C$77,2,FALSE)</f>
        <v>4</v>
      </c>
      <c r="Y104" s="130">
        <f>VLOOKUP(K104,'Ext. Pa'!$B$3:$C$77,2,FALSE)</f>
        <v>0</v>
      </c>
      <c r="Z104" s="130">
        <f>VLOOKUP(L104,'Ext. Pa'!$B$3:$C$77,2,FALSE)</f>
        <v>5</v>
      </c>
      <c r="AA104" s="130">
        <f>VLOOKUP(M104,'Ext. Pa'!$B$3:$C$77,2,FALSE)</f>
        <v>5</v>
      </c>
      <c r="AB104" s="130">
        <f>VLOOKUP(N104,'Ext. Pa'!$B$3:$C$77,2,FALSE)</f>
        <v>5</v>
      </c>
      <c r="AC104" s="130">
        <f>VLOOKUP(O104,'Ext. Pa'!$B$3:$C$77,2,FALSE)</f>
        <v>3</v>
      </c>
      <c r="AD104" s="130">
        <f>VLOOKUP(P104,'Ext. Pa'!$B$3:$C$77,2,FALSE)</f>
        <v>5</v>
      </c>
      <c r="AE104" s="130">
        <f>VLOOKUP(Q104,'Ext. Pa'!$B$3:$C$77,2,FALSE)</f>
        <v>6</v>
      </c>
      <c r="AF104" s="132">
        <f t="shared" si="7"/>
        <v>3.25</v>
      </c>
      <c r="AG104" s="134">
        <f>Table2[[#This Row],[Coating defect survey10]]</f>
        <v>3</v>
      </c>
      <c r="AH104" s="134">
        <f>Table2[[#This Row],[CP Level within NACE Criteria4]]</f>
        <v>1</v>
      </c>
      <c r="AI104" s="135">
        <f>IF(Table2[[#This Row],[CP level]]&gt;9.9,1,0)</f>
        <v>0</v>
      </c>
      <c r="AJ104" s="135">
        <f>Table2[[#This Row],[Column3]]*Table2[[#This Row],[Coating defect survey2]]</f>
        <v>0</v>
      </c>
      <c r="AK104" s="170">
        <v>19.493670000000002</v>
      </c>
    </row>
    <row r="105" spans="1:37" s="100" customFormat="1">
      <c r="A105" s="128">
        <v>2</v>
      </c>
      <c r="B105" s="129" t="s">
        <v>671</v>
      </c>
      <c r="C105" s="96">
        <v>67122</v>
      </c>
      <c r="D105" s="97" t="s">
        <v>672</v>
      </c>
      <c r="E105" s="130"/>
      <c r="F105" s="130">
        <v>2000</v>
      </c>
      <c r="G105" s="130">
        <f>2013-Table2[[#This Row],[Startup Year]]</f>
        <v>13</v>
      </c>
      <c r="H105" s="130" t="s">
        <v>101</v>
      </c>
      <c r="I105" s="130" t="s">
        <v>108</v>
      </c>
      <c r="J105" s="130" t="s">
        <v>113</v>
      </c>
      <c r="K105" s="98">
        <v>0</v>
      </c>
      <c r="L105" s="130" t="s">
        <v>105</v>
      </c>
      <c r="M105" s="130" t="s">
        <v>105</v>
      </c>
      <c r="N105" s="130" t="s">
        <v>105</v>
      </c>
      <c r="O105" s="130" t="s">
        <v>144</v>
      </c>
      <c r="P105" s="130" t="s">
        <v>105</v>
      </c>
      <c r="Q105" s="130" t="s">
        <v>66</v>
      </c>
      <c r="R105" s="130" t="s">
        <v>72</v>
      </c>
      <c r="S10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5" s="131">
        <v>19.493670000000002</v>
      </c>
      <c r="U105" s="130"/>
      <c r="V105" s="131">
        <f>VLOOKUP(H105,'Ext. Pa'!$B$3:$C$77,2,FALSE)</f>
        <v>1</v>
      </c>
      <c r="W105" s="130">
        <f>VLOOKUP(I105,'Ext. Pa'!$B$3:$C$77,2,FALSE)</f>
        <v>1</v>
      </c>
      <c r="X105" s="130">
        <f>VLOOKUP(J105,'Ext. Pa'!$B$3:$C$77,2,FALSE)</f>
        <v>4</v>
      </c>
      <c r="Y105" s="130">
        <f>VLOOKUP(K105,'Ext. Pa'!$B$3:$C$77,2,FALSE)</f>
        <v>0</v>
      </c>
      <c r="Z105" s="130">
        <f>VLOOKUP(L105,'Ext. Pa'!$B$3:$C$77,2,FALSE)</f>
        <v>5</v>
      </c>
      <c r="AA105" s="130">
        <f>VLOOKUP(M105,'Ext. Pa'!$B$3:$C$77,2,FALSE)</f>
        <v>5</v>
      </c>
      <c r="AB105" s="130">
        <f>VLOOKUP(N105,'Ext. Pa'!$B$3:$C$77,2,FALSE)</f>
        <v>5</v>
      </c>
      <c r="AC105" s="130">
        <f>VLOOKUP(O105,'Ext. Pa'!$B$3:$C$77,2,FALSE)</f>
        <v>3</v>
      </c>
      <c r="AD105" s="130">
        <f>VLOOKUP(P105,'Ext. Pa'!$B$3:$C$77,2,FALSE)</f>
        <v>5</v>
      </c>
      <c r="AE105" s="130">
        <f>VLOOKUP(Q105,'Ext. Pa'!$B$3:$C$77,2,FALSE)</f>
        <v>6</v>
      </c>
      <c r="AF105" s="132">
        <f t="shared" si="7"/>
        <v>3.25</v>
      </c>
      <c r="AG105" s="134">
        <f>Table2[[#This Row],[Coating defect survey10]]</f>
        <v>3</v>
      </c>
      <c r="AH105" s="134">
        <f>Table2[[#This Row],[CP Level within NACE Criteria4]]</f>
        <v>1</v>
      </c>
      <c r="AI105" s="135">
        <f>IF(Table2[[#This Row],[CP level]]&gt;9.9,1,0)</f>
        <v>0</v>
      </c>
      <c r="AJ105" s="135">
        <f>Table2[[#This Row],[Column3]]*Table2[[#This Row],[Coating defect survey2]]</f>
        <v>0</v>
      </c>
      <c r="AK105" s="170">
        <v>19.493670000000002</v>
      </c>
    </row>
    <row r="106" spans="1:37" s="100" customFormat="1">
      <c r="A106" s="179">
        <v>2</v>
      </c>
      <c r="B106" s="180" t="s">
        <v>717</v>
      </c>
      <c r="C106" s="181">
        <v>673010101</v>
      </c>
      <c r="D106" s="182" t="s">
        <v>718</v>
      </c>
      <c r="E106" s="183"/>
      <c r="F106" s="183">
        <v>2000</v>
      </c>
      <c r="G106" s="183">
        <f>2013-Table2[[#This Row],[Startup Year]]</f>
        <v>13</v>
      </c>
      <c r="H106" s="183" t="s">
        <v>101</v>
      </c>
      <c r="I106" s="183" t="s">
        <v>108</v>
      </c>
      <c r="J106" s="183" t="s">
        <v>113</v>
      </c>
      <c r="K106" s="98">
        <v>0</v>
      </c>
      <c r="L106" s="183" t="s">
        <v>105</v>
      </c>
      <c r="M106" s="183" t="s">
        <v>105</v>
      </c>
      <c r="N106" s="183" t="s">
        <v>105</v>
      </c>
      <c r="O106" s="183" t="s">
        <v>105</v>
      </c>
      <c r="P106" s="183" t="s">
        <v>105</v>
      </c>
      <c r="Q106" s="183" t="s">
        <v>66</v>
      </c>
      <c r="R106" s="183" t="s">
        <v>72</v>
      </c>
      <c r="S106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6" s="184">
        <v>19.493670000000002</v>
      </c>
      <c r="U106" s="183"/>
      <c r="V106" s="184">
        <f>VLOOKUP(H106,'Ext. Pa'!$B$3:$C$77,2,FALSE)</f>
        <v>1</v>
      </c>
      <c r="W106" s="183">
        <f>VLOOKUP(I106,'Ext. Pa'!$B$3:$C$77,2,FALSE)</f>
        <v>1</v>
      </c>
      <c r="X106" s="183">
        <f>VLOOKUP(J106,'Ext. Pa'!$B$3:$C$77,2,FALSE)</f>
        <v>4</v>
      </c>
      <c r="Y106" s="183">
        <f>VLOOKUP(K106,'Ext. Pa'!$B$3:$C$77,2,FALSE)</f>
        <v>0</v>
      </c>
      <c r="Z106" s="183">
        <f>VLOOKUP(L106,'Ext. Pa'!$B$3:$C$77,2,FALSE)</f>
        <v>5</v>
      </c>
      <c r="AA106" s="183">
        <f>VLOOKUP(M106,'Ext. Pa'!$B$3:$C$77,2,FALSE)</f>
        <v>5</v>
      </c>
      <c r="AB106" s="183">
        <f>VLOOKUP(N106,'Ext. Pa'!$B$3:$C$77,2,FALSE)</f>
        <v>5</v>
      </c>
      <c r="AC106" s="183">
        <f>VLOOKUP(O106,'Ext. Pa'!$B$3:$C$77,2,FALSE)</f>
        <v>5</v>
      </c>
      <c r="AD106" s="183">
        <f>VLOOKUP(P106,'Ext. Pa'!$B$3:$C$77,2,FALSE)</f>
        <v>5</v>
      </c>
      <c r="AE106" s="183">
        <f>VLOOKUP(Q106,'Ext. Pa'!$B$3:$C$77,2,FALSE)</f>
        <v>6</v>
      </c>
      <c r="AF106" s="185">
        <f t="shared" ref="AF106:AF112" si="8">IF(G106&lt;40,(G106)/4,40)</f>
        <v>3.25</v>
      </c>
      <c r="AG106" s="134">
        <f>Table2[[#This Row],[Coating defect survey10]]</f>
        <v>5</v>
      </c>
      <c r="AH106" s="134">
        <f>Table2[[#This Row],[CP Level within NACE Criteria4]]</f>
        <v>1</v>
      </c>
      <c r="AI106" s="135">
        <f>IF(Table2[[#This Row],[CP level]]&gt;9.9,1,0)</f>
        <v>0</v>
      </c>
      <c r="AJ106" s="135">
        <f>Table2[[#This Row],[Column3]]*Table2[[#This Row],[Coating defect survey2]]</f>
        <v>0</v>
      </c>
      <c r="AK106" s="170">
        <v>19.493670000000002</v>
      </c>
    </row>
    <row r="107" spans="1:37" s="100" customFormat="1">
      <c r="A107" s="179">
        <v>2</v>
      </c>
      <c r="B107" s="180" t="s">
        <v>713</v>
      </c>
      <c r="C107" s="181">
        <v>67303</v>
      </c>
      <c r="D107" s="182" t="s">
        <v>714</v>
      </c>
      <c r="E107" s="183"/>
      <c r="F107" s="183">
        <v>2000</v>
      </c>
      <c r="G107" s="183">
        <f>2013-Table2[[#This Row],[Startup Year]]</f>
        <v>13</v>
      </c>
      <c r="H107" s="183" t="s">
        <v>101</v>
      </c>
      <c r="I107" s="183" t="s">
        <v>108</v>
      </c>
      <c r="J107" s="183" t="s">
        <v>113</v>
      </c>
      <c r="K107" s="98">
        <v>0</v>
      </c>
      <c r="L107" s="183" t="s">
        <v>105</v>
      </c>
      <c r="M107" s="183" t="s">
        <v>105</v>
      </c>
      <c r="N107" s="183" t="s">
        <v>105</v>
      </c>
      <c r="O107" s="183" t="s">
        <v>105</v>
      </c>
      <c r="P107" s="183" t="s">
        <v>105</v>
      </c>
      <c r="Q107" s="183" t="s">
        <v>66</v>
      </c>
      <c r="R107" s="183" t="s">
        <v>72</v>
      </c>
      <c r="S107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07" s="184">
        <v>19.493670000000002</v>
      </c>
      <c r="U107" s="183"/>
      <c r="V107" s="184">
        <f>VLOOKUP(H107,'Ext. Pa'!$B$3:$C$77,2,FALSE)</f>
        <v>1</v>
      </c>
      <c r="W107" s="183">
        <f>VLOOKUP(I107,'Ext. Pa'!$B$3:$C$77,2,FALSE)</f>
        <v>1</v>
      </c>
      <c r="X107" s="183">
        <f>VLOOKUP(J107,'Ext. Pa'!$B$3:$C$77,2,FALSE)</f>
        <v>4</v>
      </c>
      <c r="Y107" s="183">
        <f>VLOOKUP(K107,'Ext. Pa'!$B$3:$C$77,2,FALSE)</f>
        <v>0</v>
      </c>
      <c r="Z107" s="183">
        <f>VLOOKUP(L107,'Ext. Pa'!$B$3:$C$77,2,FALSE)</f>
        <v>5</v>
      </c>
      <c r="AA107" s="183">
        <f>VLOOKUP(M107,'Ext. Pa'!$B$3:$C$77,2,FALSE)</f>
        <v>5</v>
      </c>
      <c r="AB107" s="183">
        <f>VLOOKUP(N107,'Ext. Pa'!$B$3:$C$77,2,FALSE)</f>
        <v>5</v>
      </c>
      <c r="AC107" s="183">
        <f>VLOOKUP(O107,'Ext. Pa'!$B$3:$C$77,2,FALSE)</f>
        <v>5</v>
      </c>
      <c r="AD107" s="183">
        <f>VLOOKUP(P107,'Ext. Pa'!$B$3:$C$77,2,FALSE)</f>
        <v>5</v>
      </c>
      <c r="AE107" s="183">
        <f>VLOOKUP(Q107,'Ext. Pa'!$B$3:$C$77,2,FALSE)</f>
        <v>6</v>
      </c>
      <c r="AF107" s="185">
        <f t="shared" si="8"/>
        <v>3.25</v>
      </c>
      <c r="AG107" s="134">
        <f>Table2[[#This Row],[Coating defect survey10]]</f>
        <v>5</v>
      </c>
      <c r="AH107" s="134">
        <f>Table2[[#This Row],[CP Level within NACE Criteria4]]</f>
        <v>1</v>
      </c>
      <c r="AI107" s="135">
        <f>IF(Table2[[#This Row],[CP level]]&gt;9.9,1,0)</f>
        <v>0</v>
      </c>
      <c r="AJ107" s="135">
        <f>Table2[[#This Row],[Column3]]*Table2[[#This Row],[Coating defect survey2]]</f>
        <v>0</v>
      </c>
      <c r="AK107" s="170">
        <v>19.493670000000002</v>
      </c>
    </row>
    <row r="108" spans="1:37" s="100" customFormat="1">
      <c r="A108" s="94">
        <v>2</v>
      </c>
      <c r="B108" s="95" t="s">
        <v>386</v>
      </c>
      <c r="C108" s="96">
        <v>67311</v>
      </c>
      <c r="D108" s="97" t="s">
        <v>261</v>
      </c>
      <c r="E108" s="98"/>
      <c r="F108" s="98">
        <v>2013</v>
      </c>
      <c r="G108" s="98">
        <f>2013-Table2[[#This Row],[Startup Year]]</f>
        <v>0</v>
      </c>
      <c r="H108" s="98" t="s">
        <v>101</v>
      </c>
      <c r="I108" s="98" t="s">
        <v>108</v>
      </c>
      <c r="J108" s="98" t="s">
        <v>113</v>
      </c>
      <c r="K108" s="98">
        <v>0</v>
      </c>
      <c r="L108" s="98" t="s">
        <v>105</v>
      </c>
      <c r="M108" s="98" t="s">
        <v>129</v>
      </c>
      <c r="N108" s="98" t="s">
        <v>129</v>
      </c>
      <c r="O108" s="98" t="s">
        <v>105</v>
      </c>
      <c r="P108" s="98" t="s">
        <v>105</v>
      </c>
      <c r="Q108" s="98" t="s">
        <v>66</v>
      </c>
      <c r="R108" s="98" t="s">
        <v>72</v>
      </c>
      <c r="S10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08" s="98">
        <v>19.493670000000002</v>
      </c>
      <c r="U108" s="98"/>
      <c r="V108" s="98">
        <f>VLOOKUP(H108,'Ext. Pa'!$B$3:$C$77,2,FALSE)</f>
        <v>1</v>
      </c>
      <c r="W108" s="98">
        <f>VLOOKUP(I108,'Ext. Pa'!$B$3:$C$77,2,FALSE)</f>
        <v>1</v>
      </c>
      <c r="X108" s="98">
        <f>VLOOKUP(J108,'Ext. Pa'!$B$3:$C$77,2,FALSE)</f>
        <v>4</v>
      </c>
      <c r="Y108" s="98">
        <f>VLOOKUP(K108,'Ext. Pa'!$B$3:$C$77,2,FALSE)</f>
        <v>0</v>
      </c>
      <c r="Z108" s="98">
        <f>VLOOKUP(L108,'Ext. Pa'!$B$3:$C$77,2,FALSE)</f>
        <v>5</v>
      </c>
      <c r="AA108" s="98">
        <f>VLOOKUP(M108,'Ext. Pa'!$B$3:$C$77,2,FALSE)</f>
        <v>1</v>
      </c>
      <c r="AB108" s="98">
        <f>VLOOKUP(N108,'Ext. Pa'!$B$3:$C$77,2,FALSE)</f>
        <v>1</v>
      </c>
      <c r="AC108" s="98">
        <f>VLOOKUP(O108,'Ext. Pa'!$B$3:$C$77,2,FALSE)</f>
        <v>5</v>
      </c>
      <c r="AD108" s="98">
        <f>VLOOKUP(P108,'Ext. Pa'!$B$3:$C$77,2,FALSE)</f>
        <v>5</v>
      </c>
      <c r="AE108" s="98">
        <f>VLOOKUP(Q108,'Ext. Pa'!$B$3:$C$77,2,FALSE)</f>
        <v>6</v>
      </c>
      <c r="AF108" s="99">
        <f t="shared" si="8"/>
        <v>0</v>
      </c>
      <c r="AG108" s="134">
        <f>Table2[[#This Row],[Coating defect survey10]]</f>
        <v>5</v>
      </c>
      <c r="AH108" s="134">
        <f>Table2[[#This Row],[CP Level within NACE Criteria4]]</f>
        <v>1</v>
      </c>
      <c r="AI108" s="135">
        <f>IF(Table2[[#This Row],[CP level]]&gt;9.9,1,0)</f>
        <v>0</v>
      </c>
      <c r="AJ108" s="135">
        <f>Table2[[#This Row],[Column3]]*Table2[[#This Row],[Coating defect survey2]]</f>
        <v>0</v>
      </c>
      <c r="AK108" s="170">
        <v>19.493670000000002</v>
      </c>
    </row>
    <row r="109" spans="1:37" s="100" customFormat="1">
      <c r="A109" s="94">
        <v>2</v>
      </c>
      <c r="B109" s="95" t="s">
        <v>387</v>
      </c>
      <c r="C109" s="96">
        <v>69211</v>
      </c>
      <c r="D109" s="97" t="s">
        <v>262</v>
      </c>
      <c r="E109" s="98"/>
      <c r="F109" s="98">
        <v>2013</v>
      </c>
      <c r="G109" s="98">
        <f>2013-Table2[[#This Row],[Startup Year]]</f>
        <v>0</v>
      </c>
      <c r="H109" s="98" t="s">
        <v>101</v>
      </c>
      <c r="I109" s="98" t="s">
        <v>108</v>
      </c>
      <c r="J109" s="98" t="s">
        <v>113</v>
      </c>
      <c r="K109" s="98">
        <v>0</v>
      </c>
      <c r="L109" s="98" t="s">
        <v>105</v>
      </c>
      <c r="M109" s="98" t="s">
        <v>129</v>
      </c>
      <c r="N109" s="98" t="s">
        <v>129</v>
      </c>
      <c r="O109" s="98" t="s">
        <v>105</v>
      </c>
      <c r="P109" s="98" t="s">
        <v>105</v>
      </c>
      <c r="Q109" s="98" t="s">
        <v>66</v>
      </c>
      <c r="R109" s="98" t="s">
        <v>72</v>
      </c>
      <c r="S10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09" s="98">
        <v>19.493670000000002</v>
      </c>
      <c r="U109" s="98"/>
      <c r="V109" s="98">
        <f>VLOOKUP(H109,'Ext. Pa'!$B$3:$C$77,2,FALSE)</f>
        <v>1</v>
      </c>
      <c r="W109" s="98">
        <f>VLOOKUP(I109,'Ext. Pa'!$B$3:$C$77,2,FALSE)</f>
        <v>1</v>
      </c>
      <c r="X109" s="98">
        <f>VLOOKUP(J109,'Ext. Pa'!$B$3:$C$77,2,FALSE)</f>
        <v>4</v>
      </c>
      <c r="Y109" s="98">
        <f>VLOOKUP(K109,'Ext. Pa'!$B$3:$C$77,2,FALSE)</f>
        <v>0</v>
      </c>
      <c r="Z109" s="98">
        <f>VLOOKUP(L109,'Ext. Pa'!$B$3:$C$77,2,FALSE)</f>
        <v>5</v>
      </c>
      <c r="AA109" s="98">
        <f>VLOOKUP(M109,'Ext. Pa'!$B$3:$C$77,2,FALSE)</f>
        <v>1</v>
      </c>
      <c r="AB109" s="98">
        <f>VLOOKUP(N109,'Ext. Pa'!$B$3:$C$77,2,FALSE)</f>
        <v>1</v>
      </c>
      <c r="AC109" s="98">
        <f>VLOOKUP(O109,'Ext. Pa'!$B$3:$C$77,2,FALSE)</f>
        <v>5</v>
      </c>
      <c r="AD109" s="98">
        <f>VLOOKUP(P109,'Ext. Pa'!$B$3:$C$77,2,FALSE)</f>
        <v>5</v>
      </c>
      <c r="AE109" s="98">
        <f>VLOOKUP(Q109,'Ext. Pa'!$B$3:$C$77,2,FALSE)</f>
        <v>6</v>
      </c>
      <c r="AF109" s="99">
        <f t="shared" si="8"/>
        <v>0</v>
      </c>
      <c r="AG109" s="134">
        <f>Table2[[#This Row],[Coating defect survey10]]</f>
        <v>5</v>
      </c>
      <c r="AH109" s="134">
        <f>Table2[[#This Row],[CP Level within NACE Criteria4]]</f>
        <v>1</v>
      </c>
      <c r="AI109" s="135">
        <f>IF(Table2[[#This Row],[CP level]]&gt;9.9,1,0)</f>
        <v>0</v>
      </c>
      <c r="AJ109" s="135">
        <f>Table2[[#This Row],[Column3]]*Table2[[#This Row],[Coating defect survey2]]</f>
        <v>0</v>
      </c>
      <c r="AK109" s="170">
        <v>19.493670000000002</v>
      </c>
    </row>
    <row r="110" spans="1:37" s="100" customFormat="1">
      <c r="A110" s="94">
        <v>2</v>
      </c>
      <c r="B110" s="95" t="s">
        <v>388</v>
      </c>
      <c r="C110" s="96">
        <v>671111</v>
      </c>
      <c r="D110" s="97" t="s">
        <v>263</v>
      </c>
      <c r="E110" s="98"/>
      <c r="F110" s="98">
        <v>2013</v>
      </c>
      <c r="G110" s="98">
        <f>2013-Table2[[#This Row],[Startup Year]]</f>
        <v>0</v>
      </c>
      <c r="H110" s="98" t="s">
        <v>101</v>
      </c>
      <c r="I110" s="98" t="s">
        <v>108</v>
      </c>
      <c r="J110" s="98" t="s">
        <v>113</v>
      </c>
      <c r="K110" s="98">
        <v>0</v>
      </c>
      <c r="L110" s="98" t="s">
        <v>105</v>
      </c>
      <c r="M110" s="98" t="s">
        <v>129</v>
      </c>
      <c r="N110" s="98" t="s">
        <v>129</v>
      </c>
      <c r="O110" s="98" t="s">
        <v>105</v>
      </c>
      <c r="P110" s="98" t="s">
        <v>105</v>
      </c>
      <c r="Q110" s="98" t="s">
        <v>66</v>
      </c>
      <c r="R110" s="98" t="s">
        <v>72</v>
      </c>
      <c r="S11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10" s="98">
        <v>19.493670000000002</v>
      </c>
      <c r="U110" s="98"/>
      <c r="V110" s="98">
        <f>VLOOKUP(H110,'Ext. Pa'!$B$3:$C$77,2,FALSE)</f>
        <v>1</v>
      </c>
      <c r="W110" s="98">
        <f>VLOOKUP(I110,'Ext. Pa'!$B$3:$C$77,2,FALSE)</f>
        <v>1</v>
      </c>
      <c r="X110" s="98">
        <f>VLOOKUP(J110,'Ext. Pa'!$B$3:$C$77,2,FALSE)</f>
        <v>4</v>
      </c>
      <c r="Y110" s="98">
        <f>VLOOKUP(K110,'Ext. Pa'!$B$3:$C$77,2,FALSE)</f>
        <v>0</v>
      </c>
      <c r="Z110" s="98">
        <f>VLOOKUP(L110,'Ext. Pa'!$B$3:$C$77,2,FALSE)</f>
        <v>5</v>
      </c>
      <c r="AA110" s="98">
        <f>VLOOKUP(M110,'Ext. Pa'!$B$3:$C$77,2,FALSE)</f>
        <v>1</v>
      </c>
      <c r="AB110" s="98">
        <f>VLOOKUP(N110,'Ext. Pa'!$B$3:$C$77,2,FALSE)</f>
        <v>1</v>
      </c>
      <c r="AC110" s="98">
        <f>VLOOKUP(O110,'Ext. Pa'!$B$3:$C$77,2,FALSE)</f>
        <v>5</v>
      </c>
      <c r="AD110" s="98">
        <f>VLOOKUP(P110,'Ext. Pa'!$B$3:$C$77,2,FALSE)</f>
        <v>5</v>
      </c>
      <c r="AE110" s="98">
        <f>VLOOKUP(Q110,'Ext. Pa'!$B$3:$C$77,2,FALSE)</f>
        <v>6</v>
      </c>
      <c r="AF110" s="99">
        <f t="shared" si="8"/>
        <v>0</v>
      </c>
      <c r="AG110" s="134">
        <f>Table2[[#This Row],[Coating defect survey10]]</f>
        <v>5</v>
      </c>
      <c r="AH110" s="134">
        <f>Table2[[#This Row],[CP Level within NACE Criteria4]]</f>
        <v>1</v>
      </c>
      <c r="AI110" s="135">
        <f>IF(Table2[[#This Row],[CP level]]&gt;9.9,1,0)</f>
        <v>0</v>
      </c>
      <c r="AJ110" s="135">
        <f>Table2[[#This Row],[Column3]]*Table2[[#This Row],[Coating defect survey2]]</f>
        <v>0</v>
      </c>
      <c r="AK110" s="170">
        <v>19.493670000000002</v>
      </c>
    </row>
    <row r="111" spans="1:37" s="100" customFormat="1">
      <c r="A111" s="94">
        <v>2</v>
      </c>
      <c r="B111" s="95" t="s">
        <v>389</v>
      </c>
      <c r="C111" s="96">
        <v>6360106</v>
      </c>
      <c r="D111" s="97" t="s">
        <v>264</v>
      </c>
      <c r="E111" s="98"/>
      <c r="F111" s="98">
        <v>2011</v>
      </c>
      <c r="G111" s="98">
        <f>2013-Table2[[#This Row],[Startup Year]]</f>
        <v>2</v>
      </c>
      <c r="H111" s="98" t="s">
        <v>101</v>
      </c>
      <c r="I111" s="98" t="s">
        <v>108</v>
      </c>
      <c r="J111" s="98" t="s">
        <v>113</v>
      </c>
      <c r="K111" s="98">
        <v>0</v>
      </c>
      <c r="L111" s="98" t="s">
        <v>105</v>
      </c>
      <c r="M111" s="98" t="s">
        <v>129</v>
      </c>
      <c r="N111" s="98" t="s">
        <v>129</v>
      </c>
      <c r="O111" s="98" t="s">
        <v>105</v>
      </c>
      <c r="P111" s="98" t="s">
        <v>105</v>
      </c>
      <c r="Q111" s="98" t="s">
        <v>66</v>
      </c>
      <c r="R111" s="98" t="s">
        <v>72</v>
      </c>
      <c r="S11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16.0126582278481</v>
      </c>
      <c r="T111" s="98">
        <v>19.493670000000002</v>
      </c>
      <c r="U111" s="98"/>
      <c r="V111" s="98">
        <f>VLOOKUP(H111,'Ext. Pa'!$B$3:$C$77,2,FALSE)</f>
        <v>1</v>
      </c>
      <c r="W111" s="98">
        <f>VLOOKUP(I111,'Ext. Pa'!$B$3:$C$77,2,FALSE)</f>
        <v>1</v>
      </c>
      <c r="X111" s="98">
        <f>VLOOKUP(J111,'Ext. Pa'!$B$3:$C$77,2,FALSE)</f>
        <v>4</v>
      </c>
      <c r="Y111" s="98">
        <f>VLOOKUP(K111,'Ext. Pa'!$B$3:$C$77,2,FALSE)</f>
        <v>0</v>
      </c>
      <c r="Z111" s="98">
        <f>VLOOKUP(L111,'Ext. Pa'!$B$3:$C$77,2,FALSE)</f>
        <v>5</v>
      </c>
      <c r="AA111" s="98">
        <f>VLOOKUP(M111,'Ext. Pa'!$B$3:$C$77,2,FALSE)</f>
        <v>1</v>
      </c>
      <c r="AB111" s="98">
        <f>VLOOKUP(N111,'Ext. Pa'!$B$3:$C$77,2,FALSE)</f>
        <v>1</v>
      </c>
      <c r="AC111" s="98">
        <f>VLOOKUP(O111,'Ext. Pa'!$B$3:$C$77,2,FALSE)</f>
        <v>5</v>
      </c>
      <c r="AD111" s="98">
        <f>VLOOKUP(P111,'Ext. Pa'!$B$3:$C$77,2,FALSE)</f>
        <v>5</v>
      </c>
      <c r="AE111" s="98">
        <f>VLOOKUP(Q111,'Ext. Pa'!$B$3:$C$77,2,FALSE)</f>
        <v>6</v>
      </c>
      <c r="AF111" s="99">
        <f t="shared" si="8"/>
        <v>0.5</v>
      </c>
      <c r="AG111" s="134">
        <f>Table2[[#This Row],[Coating defect survey10]]</f>
        <v>5</v>
      </c>
      <c r="AH111" s="134">
        <f>Table2[[#This Row],[CP Level within NACE Criteria4]]</f>
        <v>1</v>
      </c>
      <c r="AI111" s="135">
        <f>IF(Table2[[#This Row],[CP level]]&gt;9.9,1,0)</f>
        <v>0</v>
      </c>
      <c r="AJ111" s="135">
        <f>Table2[[#This Row],[Column3]]*Table2[[#This Row],[Coating defect survey2]]</f>
        <v>0</v>
      </c>
      <c r="AK111" s="170">
        <v>19.493670000000002</v>
      </c>
    </row>
    <row r="112" spans="1:37" s="100" customFormat="1">
      <c r="A112" s="94">
        <v>2</v>
      </c>
      <c r="B112" s="95" t="s">
        <v>390</v>
      </c>
      <c r="C112" s="96">
        <v>6582101</v>
      </c>
      <c r="D112" s="97" t="s">
        <v>265</v>
      </c>
      <c r="E112" s="98"/>
      <c r="F112" s="98">
        <v>2006</v>
      </c>
      <c r="G112" s="98">
        <f>2013-Table2[[#This Row],[Startup Year]]</f>
        <v>7</v>
      </c>
      <c r="H112" s="98" t="s">
        <v>101</v>
      </c>
      <c r="I112" s="98" t="s">
        <v>108</v>
      </c>
      <c r="J112" s="98" t="s">
        <v>113</v>
      </c>
      <c r="K112" s="98">
        <v>0</v>
      </c>
      <c r="L112" s="98" t="s">
        <v>105</v>
      </c>
      <c r="M112" s="98" t="s">
        <v>105</v>
      </c>
      <c r="N112" s="98" t="s">
        <v>105</v>
      </c>
      <c r="O112" s="98" t="s">
        <v>105</v>
      </c>
      <c r="P112" s="98" t="s">
        <v>105</v>
      </c>
      <c r="Q112" s="98" t="s">
        <v>66</v>
      </c>
      <c r="R112" s="98" t="s">
        <v>72</v>
      </c>
      <c r="S11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16.803797468354428</v>
      </c>
      <c r="T112" s="98">
        <v>19.493670000000002</v>
      </c>
      <c r="U112" s="98"/>
      <c r="V112" s="98">
        <f>VLOOKUP(H112,'Ext. Pa'!$B$3:$C$77,2,FALSE)</f>
        <v>1</v>
      </c>
      <c r="W112" s="98">
        <f>VLOOKUP(I112,'Ext. Pa'!$B$3:$C$77,2,FALSE)</f>
        <v>1</v>
      </c>
      <c r="X112" s="98">
        <f>VLOOKUP(J112,'Ext. Pa'!$B$3:$C$77,2,FALSE)</f>
        <v>4</v>
      </c>
      <c r="Y112" s="98">
        <f>VLOOKUP(K112,'Ext. Pa'!$B$3:$C$77,2,FALSE)</f>
        <v>0</v>
      </c>
      <c r="Z112" s="98">
        <f>VLOOKUP(L112,'Ext. Pa'!$B$3:$C$77,2,FALSE)</f>
        <v>5</v>
      </c>
      <c r="AA112" s="98">
        <f>VLOOKUP(M112,'Ext. Pa'!$B$3:$C$77,2,FALSE)</f>
        <v>5</v>
      </c>
      <c r="AB112" s="98">
        <f>VLOOKUP(N112,'Ext. Pa'!$B$3:$C$77,2,FALSE)</f>
        <v>5</v>
      </c>
      <c r="AC112" s="98">
        <f>VLOOKUP(O112,'Ext. Pa'!$B$3:$C$77,2,FALSE)</f>
        <v>5</v>
      </c>
      <c r="AD112" s="98">
        <f>VLOOKUP(P112,'Ext. Pa'!$B$3:$C$77,2,FALSE)</f>
        <v>5</v>
      </c>
      <c r="AE112" s="98">
        <f>VLOOKUP(Q112,'Ext. Pa'!$B$3:$C$77,2,FALSE)</f>
        <v>6</v>
      </c>
      <c r="AF112" s="99">
        <f t="shared" si="8"/>
        <v>1.75</v>
      </c>
      <c r="AG112" s="133">
        <f>Table2[[#This Row],[Coating defect survey10]]</f>
        <v>5</v>
      </c>
      <c r="AH112" s="134">
        <f>Table2[[#This Row],[CP Level within NACE Criteria4]]</f>
        <v>1</v>
      </c>
      <c r="AI112" s="135">
        <f>IF(Table2[[#This Row],[CP level]]&gt;9.9,1,0)</f>
        <v>0</v>
      </c>
      <c r="AJ112" s="135">
        <f>Table2[[#This Row],[Column3]]*Table2[[#This Row],[Coating defect survey2]]</f>
        <v>0</v>
      </c>
      <c r="AK112" s="170">
        <v>19.493670000000002</v>
      </c>
    </row>
    <row r="113" spans="1:37" s="100" customFormat="1">
      <c r="A113" s="128">
        <v>2</v>
      </c>
      <c r="B113" s="129" t="s">
        <v>621</v>
      </c>
      <c r="C113" s="96" t="str">
        <f>RIGHT(Table2[[#This Row],[Column1]],LEN(Table2[[#This Row],[Column1]])-2)</f>
        <v>661110002</v>
      </c>
      <c r="D113" s="97" t="s">
        <v>622</v>
      </c>
      <c r="E113" s="130"/>
      <c r="F113" s="130">
        <v>2000</v>
      </c>
      <c r="G113" s="130">
        <f>2013-Table2[[#This Row],[Startup Year]]</f>
        <v>13</v>
      </c>
      <c r="H113" s="130" t="s">
        <v>101</v>
      </c>
      <c r="I113" s="130" t="s">
        <v>108</v>
      </c>
      <c r="J113" s="130" t="s">
        <v>113</v>
      </c>
      <c r="K113" s="98">
        <v>0</v>
      </c>
      <c r="L113" s="130" t="s">
        <v>105</v>
      </c>
      <c r="M113" s="130" t="s">
        <v>105</v>
      </c>
      <c r="N113" s="130" t="s">
        <v>105</v>
      </c>
      <c r="O113" s="130" t="s">
        <v>144</v>
      </c>
      <c r="P113" s="130" t="s">
        <v>105</v>
      </c>
      <c r="Q113" s="130" t="s">
        <v>66</v>
      </c>
      <c r="R113" s="130" t="s">
        <v>72</v>
      </c>
      <c r="S11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3" s="131">
        <v>19.493670000000002</v>
      </c>
      <c r="U113" s="130"/>
      <c r="V113" s="131">
        <f>VLOOKUP(H113,'Ext. Pa'!$B$3:$C$77,2,FALSE)</f>
        <v>1</v>
      </c>
      <c r="W113" s="130">
        <f>VLOOKUP(I113,'Ext. Pa'!$B$3:$C$77,2,FALSE)</f>
        <v>1</v>
      </c>
      <c r="X113" s="130">
        <f>VLOOKUP(J113,'Ext. Pa'!$B$3:$C$77,2,FALSE)</f>
        <v>4</v>
      </c>
      <c r="Y113" s="130">
        <f>VLOOKUP(K113,'Ext. Pa'!$B$3:$C$77,2,FALSE)</f>
        <v>0</v>
      </c>
      <c r="Z113" s="130">
        <f>VLOOKUP(L113,'Ext. Pa'!$B$3:$C$77,2,FALSE)</f>
        <v>5</v>
      </c>
      <c r="AA113" s="130">
        <f>VLOOKUP(M113,'Ext. Pa'!$B$3:$C$77,2,FALSE)</f>
        <v>5</v>
      </c>
      <c r="AB113" s="130">
        <f>VLOOKUP(N113,'Ext. Pa'!$B$3:$C$77,2,FALSE)</f>
        <v>5</v>
      </c>
      <c r="AC113" s="130">
        <f>VLOOKUP(O113,'Ext. Pa'!$B$3:$C$77,2,FALSE)</f>
        <v>3</v>
      </c>
      <c r="AD113" s="130">
        <f>VLOOKUP(P113,'Ext. Pa'!$B$3:$C$77,2,FALSE)</f>
        <v>5</v>
      </c>
      <c r="AE113" s="130">
        <f>VLOOKUP(Q113,'Ext. Pa'!$B$3:$C$77,2,FALSE)</f>
        <v>6</v>
      </c>
      <c r="AF113" s="132">
        <f t="shared" ref="AF113:AF136" si="9">IF(G113&lt;40,(G113)/4,40)</f>
        <v>3.25</v>
      </c>
      <c r="AG113" s="134">
        <f>Table2[[#This Row],[Coating defect survey10]]</f>
        <v>3</v>
      </c>
      <c r="AH113" s="134">
        <f>Table2[[#This Row],[CP Level within NACE Criteria4]]</f>
        <v>1</v>
      </c>
      <c r="AI113" s="135">
        <f>IF(Table2[[#This Row],[CP level]]&gt;9.9,1,0)</f>
        <v>0</v>
      </c>
      <c r="AJ113" s="135">
        <f>Table2[[#This Row],[Column3]]*Table2[[#This Row],[Coating defect survey2]]</f>
        <v>0</v>
      </c>
      <c r="AK113" s="170">
        <v>19.493670000000002</v>
      </c>
    </row>
    <row r="114" spans="1:37" s="100" customFormat="1">
      <c r="A114" s="128">
        <v>2</v>
      </c>
      <c r="B114" s="129" t="s">
        <v>623</v>
      </c>
      <c r="C114" s="96" t="str">
        <f>RIGHT(Table2[[#This Row],[Column1]],LEN(Table2[[#This Row],[Column1]])-2)</f>
        <v>661110004</v>
      </c>
      <c r="D114" s="97" t="s">
        <v>624</v>
      </c>
      <c r="E114" s="130"/>
      <c r="F114" s="130">
        <v>2000</v>
      </c>
      <c r="G114" s="130">
        <f>2013-Table2[[#This Row],[Startup Year]]</f>
        <v>13</v>
      </c>
      <c r="H114" s="130" t="s">
        <v>101</v>
      </c>
      <c r="I114" s="130" t="s">
        <v>108</v>
      </c>
      <c r="J114" s="130" t="s">
        <v>113</v>
      </c>
      <c r="K114" s="98">
        <v>0</v>
      </c>
      <c r="L114" s="130" t="s">
        <v>105</v>
      </c>
      <c r="M114" s="130" t="s">
        <v>105</v>
      </c>
      <c r="N114" s="130" t="s">
        <v>105</v>
      </c>
      <c r="O114" s="130" t="s">
        <v>143</v>
      </c>
      <c r="P114" s="130" t="s">
        <v>105</v>
      </c>
      <c r="Q114" s="130" t="s">
        <v>66</v>
      </c>
      <c r="R114" s="130" t="s">
        <v>72</v>
      </c>
      <c r="S11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4" s="131">
        <v>19.493670000000002</v>
      </c>
      <c r="U114" s="130"/>
      <c r="V114" s="131">
        <f>VLOOKUP(H114,'Ext. Pa'!$B$3:$C$77,2,FALSE)</f>
        <v>1</v>
      </c>
      <c r="W114" s="130">
        <f>VLOOKUP(I114,'Ext. Pa'!$B$3:$C$77,2,FALSE)</f>
        <v>1</v>
      </c>
      <c r="X114" s="130">
        <f>VLOOKUP(J114,'Ext. Pa'!$B$3:$C$77,2,FALSE)</f>
        <v>4</v>
      </c>
      <c r="Y114" s="130">
        <f>VLOOKUP(K114,'Ext. Pa'!$B$3:$C$77,2,FALSE)</f>
        <v>0</v>
      </c>
      <c r="Z114" s="130">
        <f>VLOOKUP(L114,'Ext. Pa'!$B$3:$C$77,2,FALSE)</f>
        <v>5</v>
      </c>
      <c r="AA114" s="130">
        <f>VLOOKUP(M114,'Ext. Pa'!$B$3:$C$77,2,FALSE)</f>
        <v>5</v>
      </c>
      <c r="AB114" s="130">
        <f>VLOOKUP(N114,'Ext. Pa'!$B$3:$C$77,2,FALSE)</f>
        <v>5</v>
      </c>
      <c r="AC114" s="130">
        <f>VLOOKUP(O114,'Ext. Pa'!$B$3:$C$77,2,FALSE)</f>
        <v>1</v>
      </c>
      <c r="AD114" s="130">
        <f>VLOOKUP(P114,'Ext. Pa'!$B$3:$C$77,2,FALSE)</f>
        <v>5</v>
      </c>
      <c r="AE114" s="130">
        <f>VLOOKUP(Q114,'Ext. Pa'!$B$3:$C$77,2,FALSE)</f>
        <v>6</v>
      </c>
      <c r="AF114" s="132">
        <f t="shared" si="9"/>
        <v>3.25</v>
      </c>
      <c r="AG114" s="134">
        <f>Table2[[#This Row],[Coating defect survey10]]</f>
        <v>1</v>
      </c>
      <c r="AH114" s="134">
        <f>Table2[[#This Row],[CP Level within NACE Criteria4]]</f>
        <v>1</v>
      </c>
      <c r="AI114" s="135">
        <f>IF(Table2[[#This Row],[CP level]]&gt;9.9,1,0)</f>
        <v>0</v>
      </c>
      <c r="AJ114" s="135">
        <f>Table2[[#This Row],[Column3]]*Table2[[#This Row],[Coating defect survey2]]</f>
        <v>0</v>
      </c>
      <c r="AK114" s="170">
        <v>19.493670000000002</v>
      </c>
    </row>
    <row r="115" spans="1:37" s="100" customFormat="1">
      <c r="A115" s="128">
        <v>2</v>
      </c>
      <c r="B115" s="129" t="s">
        <v>623</v>
      </c>
      <c r="C115" s="96" t="str">
        <f>RIGHT(Table2[[#This Row],[Column1]],LEN(Table2[[#This Row],[Column1]])-2)</f>
        <v>661110004</v>
      </c>
      <c r="D115" s="97"/>
      <c r="E115" s="130"/>
      <c r="F115" s="130">
        <v>2000</v>
      </c>
      <c r="G115" s="130">
        <f>2013-Table2[[#This Row],[Startup Year]]</f>
        <v>13</v>
      </c>
      <c r="H115" s="130" t="s">
        <v>101</v>
      </c>
      <c r="I115" s="130" t="s">
        <v>108</v>
      </c>
      <c r="J115" s="130" t="s">
        <v>113</v>
      </c>
      <c r="K115" s="98">
        <v>0</v>
      </c>
      <c r="L115" s="130" t="s">
        <v>105</v>
      </c>
      <c r="M115" s="130" t="s">
        <v>105</v>
      </c>
      <c r="N115" s="130" t="s">
        <v>105</v>
      </c>
      <c r="O115" s="130" t="s">
        <v>143</v>
      </c>
      <c r="P115" s="130" t="s">
        <v>105</v>
      </c>
      <c r="Q115" s="130" t="s">
        <v>66</v>
      </c>
      <c r="R115" s="130" t="s">
        <v>72</v>
      </c>
      <c r="S11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5" s="131">
        <v>19.493670000000002</v>
      </c>
      <c r="U115" s="130"/>
      <c r="V115" s="131">
        <f>VLOOKUP(H115,'Ext. Pa'!$B$3:$C$77,2,FALSE)</f>
        <v>1</v>
      </c>
      <c r="W115" s="130">
        <f>VLOOKUP(I115,'Ext. Pa'!$B$3:$C$77,2,FALSE)</f>
        <v>1</v>
      </c>
      <c r="X115" s="130">
        <f>VLOOKUP(J115,'Ext. Pa'!$B$3:$C$77,2,FALSE)</f>
        <v>4</v>
      </c>
      <c r="Y115" s="130">
        <f>VLOOKUP(K115,'Ext. Pa'!$B$3:$C$77,2,FALSE)</f>
        <v>0</v>
      </c>
      <c r="Z115" s="130">
        <f>VLOOKUP(L115,'Ext. Pa'!$B$3:$C$77,2,FALSE)</f>
        <v>5</v>
      </c>
      <c r="AA115" s="130">
        <f>VLOOKUP(M115,'Ext. Pa'!$B$3:$C$77,2,FALSE)</f>
        <v>5</v>
      </c>
      <c r="AB115" s="130">
        <f>VLOOKUP(N115,'Ext. Pa'!$B$3:$C$77,2,FALSE)</f>
        <v>5</v>
      </c>
      <c r="AC115" s="130">
        <f>VLOOKUP(O115,'Ext. Pa'!$B$3:$C$77,2,FALSE)</f>
        <v>1</v>
      </c>
      <c r="AD115" s="130">
        <f>VLOOKUP(P115,'Ext. Pa'!$B$3:$C$77,2,FALSE)</f>
        <v>5</v>
      </c>
      <c r="AE115" s="130">
        <f>VLOOKUP(Q115,'Ext. Pa'!$B$3:$C$77,2,FALSE)</f>
        <v>6</v>
      </c>
      <c r="AF115" s="132">
        <f t="shared" si="9"/>
        <v>3.25</v>
      </c>
      <c r="AG115" s="134">
        <f>Table2[[#This Row],[Coating defect survey10]]</f>
        <v>1</v>
      </c>
      <c r="AH115" s="134">
        <f>Table2[[#This Row],[CP Level within NACE Criteria4]]</f>
        <v>1</v>
      </c>
      <c r="AI115" s="135">
        <f>IF(Table2[[#This Row],[CP level]]&gt;9.9,1,0)</f>
        <v>0</v>
      </c>
      <c r="AJ115" s="135">
        <f>Table2[[#This Row],[Column3]]*Table2[[#This Row],[Coating defect survey2]]</f>
        <v>0</v>
      </c>
      <c r="AK115" s="170">
        <v>19.493670000000002</v>
      </c>
    </row>
    <row r="116" spans="1:37" s="100" customFormat="1">
      <c r="A116" s="128">
        <v>2</v>
      </c>
      <c r="B116" s="129" t="s">
        <v>627</v>
      </c>
      <c r="C116" s="96" t="str">
        <f>RIGHT(Table2[[#This Row],[Column1]],LEN(Table2[[#This Row],[Column1]])-2)</f>
        <v>661120001</v>
      </c>
      <c r="D116" s="97" t="s">
        <v>628</v>
      </c>
      <c r="E116" s="130"/>
      <c r="F116" s="130">
        <v>2000</v>
      </c>
      <c r="G116" s="130">
        <f>2013-Table2[[#This Row],[Startup Year]]</f>
        <v>13</v>
      </c>
      <c r="H116" s="130" t="s">
        <v>101</v>
      </c>
      <c r="I116" s="130" t="s">
        <v>108</v>
      </c>
      <c r="J116" s="130" t="s">
        <v>113</v>
      </c>
      <c r="K116" s="98">
        <v>0</v>
      </c>
      <c r="L116" s="130" t="s">
        <v>105</v>
      </c>
      <c r="M116" s="130" t="s">
        <v>105</v>
      </c>
      <c r="N116" s="130" t="s">
        <v>105</v>
      </c>
      <c r="O116" s="130" t="s">
        <v>147</v>
      </c>
      <c r="P116" s="130" t="s">
        <v>105</v>
      </c>
      <c r="Q116" s="130" t="s">
        <v>66</v>
      </c>
      <c r="R116" s="130" t="s">
        <v>72</v>
      </c>
      <c r="S11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6" s="131">
        <v>19.493670000000002</v>
      </c>
      <c r="U116" s="130"/>
      <c r="V116" s="131">
        <f>VLOOKUP(H116,'Ext. Pa'!$B$3:$C$77,2,FALSE)</f>
        <v>1</v>
      </c>
      <c r="W116" s="130">
        <f>VLOOKUP(I116,'Ext. Pa'!$B$3:$C$77,2,FALSE)</f>
        <v>1</v>
      </c>
      <c r="X116" s="130">
        <f>VLOOKUP(J116,'Ext. Pa'!$B$3:$C$77,2,FALSE)</f>
        <v>4</v>
      </c>
      <c r="Y116" s="130">
        <f>VLOOKUP(K116,'Ext. Pa'!$B$3:$C$77,2,FALSE)</f>
        <v>0</v>
      </c>
      <c r="Z116" s="130">
        <f>VLOOKUP(L116,'Ext. Pa'!$B$3:$C$77,2,FALSE)</f>
        <v>5</v>
      </c>
      <c r="AA116" s="130">
        <f>VLOOKUP(M116,'Ext. Pa'!$B$3:$C$77,2,FALSE)</f>
        <v>5</v>
      </c>
      <c r="AB116" s="130">
        <f>VLOOKUP(N116,'Ext. Pa'!$B$3:$C$77,2,FALSE)</f>
        <v>5</v>
      </c>
      <c r="AC116" s="130">
        <f>VLOOKUP(O116,'Ext. Pa'!$B$3:$C$77,2,FALSE)</f>
        <v>7</v>
      </c>
      <c r="AD116" s="130">
        <f>VLOOKUP(P116,'Ext. Pa'!$B$3:$C$77,2,FALSE)</f>
        <v>5</v>
      </c>
      <c r="AE116" s="130">
        <f>VLOOKUP(Q116,'Ext. Pa'!$B$3:$C$77,2,FALSE)</f>
        <v>6</v>
      </c>
      <c r="AF116" s="132">
        <f t="shared" si="9"/>
        <v>3.25</v>
      </c>
      <c r="AG116" s="134">
        <f>Table2[[#This Row],[Coating defect survey10]]</f>
        <v>7</v>
      </c>
      <c r="AH116" s="134">
        <f>Table2[[#This Row],[CP Level within NACE Criteria4]]</f>
        <v>1</v>
      </c>
      <c r="AI116" s="135">
        <f>IF(Table2[[#This Row],[CP level]]&gt;9.9,1,0)</f>
        <v>0</v>
      </c>
      <c r="AJ116" s="135">
        <f>Table2[[#This Row],[Column3]]*Table2[[#This Row],[Coating defect survey2]]</f>
        <v>0</v>
      </c>
      <c r="AK116" s="170">
        <v>19.493670000000002</v>
      </c>
    </row>
    <row r="117" spans="1:37" s="100" customFormat="1">
      <c r="A117" s="128">
        <v>2</v>
      </c>
      <c r="B117" s="129" t="s">
        <v>629</v>
      </c>
      <c r="C117" s="96" t="str">
        <f>RIGHT(Table2[[#This Row],[Column1]],LEN(Table2[[#This Row],[Column1]])-2)</f>
        <v>661120002</v>
      </c>
      <c r="D117" s="97" t="s">
        <v>630</v>
      </c>
      <c r="E117" s="130"/>
      <c r="F117" s="130">
        <v>2000</v>
      </c>
      <c r="G117" s="130">
        <f>2013-Table2[[#This Row],[Startup Year]]</f>
        <v>13</v>
      </c>
      <c r="H117" s="130" t="s">
        <v>101</v>
      </c>
      <c r="I117" s="130" t="s">
        <v>108</v>
      </c>
      <c r="J117" s="130" t="s">
        <v>113</v>
      </c>
      <c r="K117" s="98">
        <v>0</v>
      </c>
      <c r="L117" s="130" t="s">
        <v>105</v>
      </c>
      <c r="M117" s="130" t="s">
        <v>105</v>
      </c>
      <c r="N117" s="130" t="s">
        <v>105</v>
      </c>
      <c r="O117" s="130" t="s">
        <v>144</v>
      </c>
      <c r="P117" s="130" t="s">
        <v>105</v>
      </c>
      <c r="Q117" s="130" t="s">
        <v>66</v>
      </c>
      <c r="R117" s="130" t="s">
        <v>72</v>
      </c>
      <c r="S11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7" s="131">
        <v>19.493670000000002</v>
      </c>
      <c r="U117" s="130"/>
      <c r="V117" s="131">
        <f>VLOOKUP(H117,'Ext. Pa'!$B$3:$C$77,2,FALSE)</f>
        <v>1</v>
      </c>
      <c r="W117" s="130">
        <f>VLOOKUP(I117,'Ext. Pa'!$B$3:$C$77,2,FALSE)</f>
        <v>1</v>
      </c>
      <c r="X117" s="130">
        <f>VLOOKUP(J117,'Ext. Pa'!$B$3:$C$77,2,FALSE)</f>
        <v>4</v>
      </c>
      <c r="Y117" s="130">
        <f>VLOOKUP(K117,'Ext. Pa'!$B$3:$C$77,2,FALSE)</f>
        <v>0</v>
      </c>
      <c r="Z117" s="130">
        <f>VLOOKUP(L117,'Ext. Pa'!$B$3:$C$77,2,FALSE)</f>
        <v>5</v>
      </c>
      <c r="AA117" s="130">
        <f>VLOOKUP(M117,'Ext. Pa'!$B$3:$C$77,2,FALSE)</f>
        <v>5</v>
      </c>
      <c r="AB117" s="130">
        <f>VLOOKUP(N117,'Ext. Pa'!$B$3:$C$77,2,FALSE)</f>
        <v>5</v>
      </c>
      <c r="AC117" s="130">
        <f>VLOOKUP(O117,'Ext. Pa'!$B$3:$C$77,2,FALSE)</f>
        <v>3</v>
      </c>
      <c r="AD117" s="130">
        <f>VLOOKUP(P117,'Ext. Pa'!$B$3:$C$77,2,FALSE)</f>
        <v>5</v>
      </c>
      <c r="AE117" s="130">
        <f>VLOOKUP(Q117,'Ext. Pa'!$B$3:$C$77,2,FALSE)</f>
        <v>6</v>
      </c>
      <c r="AF117" s="132">
        <f t="shared" si="9"/>
        <v>3.25</v>
      </c>
      <c r="AG117" s="134">
        <f>Table2[[#This Row],[Coating defect survey10]]</f>
        <v>3</v>
      </c>
      <c r="AH117" s="134">
        <f>Table2[[#This Row],[CP Level within NACE Criteria4]]</f>
        <v>1</v>
      </c>
      <c r="AI117" s="135">
        <f>IF(Table2[[#This Row],[CP level]]&gt;9.9,1,0)</f>
        <v>0</v>
      </c>
      <c r="AJ117" s="135">
        <f>Table2[[#This Row],[Column3]]*Table2[[#This Row],[Coating defect survey2]]</f>
        <v>0</v>
      </c>
      <c r="AK117" s="170">
        <v>19.493670000000002</v>
      </c>
    </row>
    <row r="118" spans="1:37" s="100" customFormat="1">
      <c r="A118" s="128">
        <v>2</v>
      </c>
      <c r="B118" s="129" t="s">
        <v>631</v>
      </c>
      <c r="C118" s="96" t="str">
        <f>RIGHT(Table2[[#This Row],[Column1]],LEN(Table2[[#This Row],[Column1]])-2)</f>
        <v>661120003</v>
      </c>
      <c r="D118" s="97" t="s">
        <v>632</v>
      </c>
      <c r="E118" s="130"/>
      <c r="F118" s="130">
        <v>2000</v>
      </c>
      <c r="G118" s="130">
        <f>2013-Table2[[#This Row],[Startup Year]]</f>
        <v>13</v>
      </c>
      <c r="H118" s="130" t="s">
        <v>101</v>
      </c>
      <c r="I118" s="130" t="s">
        <v>108</v>
      </c>
      <c r="J118" s="130" t="s">
        <v>113</v>
      </c>
      <c r="K118" s="98">
        <v>0</v>
      </c>
      <c r="L118" s="130" t="s">
        <v>105</v>
      </c>
      <c r="M118" s="130" t="s">
        <v>105</v>
      </c>
      <c r="N118" s="130" t="s">
        <v>105</v>
      </c>
      <c r="O118" s="130" t="s">
        <v>143</v>
      </c>
      <c r="P118" s="130" t="s">
        <v>105</v>
      </c>
      <c r="Q118" s="130" t="s">
        <v>66</v>
      </c>
      <c r="R118" s="130" t="s">
        <v>72</v>
      </c>
      <c r="S11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8" s="131">
        <v>19.493670000000002</v>
      </c>
      <c r="U118" s="130"/>
      <c r="V118" s="131">
        <f>VLOOKUP(H118,'Ext. Pa'!$B$3:$C$77,2,FALSE)</f>
        <v>1</v>
      </c>
      <c r="W118" s="130">
        <f>VLOOKUP(I118,'Ext. Pa'!$B$3:$C$77,2,FALSE)</f>
        <v>1</v>
      </c>
      <c r="X118" s="130">
        <f>VLOOKUP(J118,'Ext. Pa'!$B$3:$C$77,2,FALSE)</f>
        <v>4</v>
      </c>
      <c r="Y118" s="130">
        <f>VLOOKUP(K118,'Ext. Pa'!$B$3:$C$77,2,FALSE)</f>
        <v>0</v>
      </c>
      <c r="Z118" s="130">
        <f>VLOOKUP(L118,'Ext. Pa'!$B$3:$C$77,2,FALSE)</f>
        <v>5</v>
      </c>
      <c r="AA118" s="130">
        <f>VLOOKUP(M118,'Ext. Pa'!$B$3:$C$77,2,FALSE)</f>
        <v>5</v>
      </c>
      <c r="AB118" s="130">
        <f>VLOOKUP(N118,'Ext. Pa'!$B$3:$C$77,2,FALSE)</f>
        <v>5</v>
      </c>
      <c r="AC118" s="130">
        <f>VLOOKUP(O118,'Ext. Pa'!$B$3:$C$77,2,FALSE)</f>
        <v>1</v>
      </c>
      <c r="AD118" s="130">
        <f>VLOOKUP(P118,'Ext. Pa'!$B$3:$C$77,2,FALSE)</f>
        <v>5</v>
      </c>
      <c r="AE118" s="130">
        <f>VLOOKUP(Q118,'Ext. Pa'!$B$3:$C$77,2,FALSE)</f>
        <v>6</v>
      </c>
      <c r="AF118" s="132">
        <f t="shared" si="9"/>
        <v>3.25</v>
      </c>
      <c r="AG118" s="134">
        <f>Table2[[#This Row],[Coating defect survey10]]</f>
        <v>1</v>
      </c>
      <c r="AH118" s="134">
        <f>Table2[[#This Row],[CP Level within NACE Criteria4]]</f>
        <v>1</v>
      </c>
      <c r="AI118" s="135">
        <f>IF(Table2[[#This Row],[CP level]]&gt;9.9,1,0)</f>
        <v>0</v>
      </c>
      <c r="AJ118" s="135">
        <f>Table2[[#This Row],[Column3]]*Table2[[#This Row],[Coating defect survey2]]</f>
        <v>0</v>
      </c>
      <c r="AK118" s="170">
        <v>19.493670000000002</v>
      </c>
    </row>
    <row r="119" spans="1:37" s="100" customFormat="1">
      <c r="A119" s="128">
        <v>2</v>
      </c>
      <c r="B119" s="129" t="s">
        <v>633</v>
      </c>
      <c r="C119" s="96" t="str">
        <f>RIGHT(Table2[[#This Row],[Column1]],LEN(Table2[[#This Row],[Column1]])-2)</f>
        <v>661120004</v>
      </c>
      <c r="D119" s="97" t="s">
        <v>634</v>
      </c>
      <c r="E119" s="130"/>
      <c r="F119" s="130">
        <v>2000</v>
      </c>
      <c r="G119" s="130">
        <f>2013-Table2[[#This Row],[Startup Year]]</f>
        <v>13</v>
      </c>
      <c r="H119" s="130" t="s">
        <v>101</v>
      </c>
      <c r="I119" s="130" t="s">
        <v>108</v>
      </c>
      <c r="J119" s="130" t="s">
        <v>113</v>
      </c>
      <c r="K119" s="98">
        <v>0</v>
      </c>
      <c r="L119" s="130" t="s">
        <v>105</v>
      </c>
      <c r="M119" s="130" t="s">
        <v>105</v>
      </c>
      <c r="N119" s="130" t="s">
        <v>105</v>
      </c>
      <c r="O119" s="130" t="s">
        <v>145</v>
      </c>
      <c r="P119" s="130" t="s">
        <v>105</v>
      </c>
      <c r="Q119" s="130" t="s">
        <v>66</v>
      </c>
      <c r="R119" s="130" t="s">
        <v>72</v>
      </c>
      <c r="S11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19" s="131">
        <v>19.493670000000002</v>
      </c>
      <c r="U119" s="130"/>
      <c r="V119" s="131">
        <f>VLOOKUP(H119,'Ext. Pa'!$B$3:$C$77,2,FALSE)</f>
        <v>1</v>
      </c>
      <c r="W119" s="130">
        <f>VLOOKUP(I119,'Ext. Pa'!$B$3:$C$77,2,FALSE)</f>
        <v>1</v>
      </c>
      <c r="X119" s="130">
        <f>VLOOKUP(J119,'Ext. Pa'!$B$3:$C$77,2,FALSE)</f>
        <v>4</v>
      </c>
      <c r="Y119" s="130">
        <f>VLOOKUP(K119,'Ext. Pa'!$B$3:$C$77,2,FALSE)</f>
        <v>0</v>
      </c>
      <c r="Z119" s="130">
        <f>VLOOKUP(L119,'Ext. Pa'!$B$3:$C$77,2,FALSE)</f>
        <v>5</v>
      </c>
      <c r="AA119" s="130">
        <f>VLOOKUP(M119,'Ext. Pa'!$B$3:$C$77,2,FALSE)</f>
        <v>5</v>
      </c>
      <c r="AB119" s="130">
        <f>VLOOKUP(N119,'Ext. Pa'!$B$3:$C$77,2,FALSE)</f>
        <v>5</v>
      </c>
      <c r="AC119" s="130">
        <f>VLOOKUP(O119,'Ext. Pa'!$B$3:$C$77,2,FALSE)</f>
        <v>5</v>
      </c>
      <c r="AD119" s="130">
        <f>VLOOKUP(P119,'Ext. Pa'!$B$3:$C$77,2,FALSE)</f>
        <v>5</v>
      </c>
      <c r="AE119" s="130">
        <f>VLOOKUP(Q119,'Ext. Pa'!$B$3:$C$77,2,FALSE)</f>
        <v>6</v>
      </c>
      <c r="AF119" s="132">
        <f t="shared" si="9"/>
        <v>3.25</v>
      </c>
      <c r="AG119" s="134">
        <f>Table2[[#This Row],[Coating defect survey10]]</f>
        <v>5</v>
      </c>
      <c r="AH119" s="134">
        <f>Table2[[#This Row],[CP Level within NACE Criteria4]]</f>
        <v>1</v>
      </c>
      <c r="AI119" s="135">
        <f>IF(Table2[[#This Row],[CP level]]&gt;9.9,1,0)</f>
        <v>0</v>
      </c>
      <c r="AJ119" s="135">
        <f>Table2[[#This Row],[Column3]]*Table2[[#This Row],[Coating defect survey2]]</f>
        <v>0</v>
      </c>
      <c r="AK119" s="170">
        <v>19.493670000000002</v>
      </c>
    </row>
    <row r="120" spans="1:37" s="100" customFormat="1">
      <c r="A120" s="128">
        <v>2</v>
      </c>
      <c r="B120" s="129" t="s">
        <v>635</v>
      </c>
      <c r="C120" s="96" t="str">
        <f>RIGHT(Table2[[#This Row],[Column1]],LEN(Table2[[#This Row],[Column1]])-2)</f>
        <v>661120005</v>
      </c>
      <c r="D120" s="97" t="s">
        <v>636</v>
      </c>
      <c r="E120" s="130"/>
      <c r="F120" s="130">
        <v>2000</v>
      </c>
      <c r="G120" s="130">
        <f>2013-Table2[[#This Row],[Startup Year]]</f>
        <v>13</v>
      </c>
      <c r="H120" s="130" t="s">
        <v>101</v>
      </c>
      <c r="I120" s="130" t="s">
        <v>108</v>
      </c>
      <c r="J120" s="130" t="s">
        <v>113</v>
      </c>
      <c r="K120" s="98">
        <v>0</v>
      </c>
      <c r="L120" s="130" t="s">
        <v>105</v>
      </c>
      <c r="M120" s="130" t="s">
        <v>105</v>
      </c>
      <c r="N120" s="130" t="s">
        <v>105</v>
      </c>
      <c r="O120" s="130" t="s">
        <v>145</v>
      </c>
      <c r="P120" s="130" t="s">
        <v>105</v>
      </c>
      <c r="Q120" s="130" t="s">
        <v>66</v>
      </c>
      <c r="R120" s="130" t="s">
        <v>72</v>
      </c>
      <c r="S12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0" s="131">
        <v>19.493670000000002</v>
      </c>
      <c r="U120" s="130"/>
      <c r="V120" s="131">
        <f>VLOOKUP(H120,'Ext. Pa'!$B$3:$C$77,2,FALSE)</f>
        <v>1</v>
      </c>
      <c r="W120" s="130">
        <f>VLOOKUP(I120,'Ext. Pa'!$B$3:$C$77,2,FALSE)</f>
        <v>1</v>
      </c>
      <c r="X120" s="130">
        <f>VLOOKUP(J120,'Ext. Pa'!$B$3:$C$77,2,FALSE)</f>
        <v>4</v>
      </c>
      <c r="Y120" s="130">
        <f>VLOOKUP(K120,'Ext. Pa'!$B$3:$C$77,2,FALSE)</f>
        <v>0</v>
      </c>
      <c r="Z120" s="130">
        <f>VLOOKUP(L120,'Ext. Pa'!$B$3:$C$77,2,FALSE)</f>
        <v>5</v>
      </c>
      <c r="AA120" s="130">
        <f>VLOOKUP(M120,'Ext. Pa'!$B$3:$C$77,2,FALSE)</f>
        <v>5</v>
      </c>
      <c r="AB120" s="130">
        <f>VLOOKUP(N120,'Ext. Pa'!$B$3:$C$77,2,FALSE)</f>
        <v>5</v>
      </c>
      <c r="AC120" s="130">
        <f>VLOOKUP(O120,'Ext. Pa'!$B$3:$C$77,2,FALSE)</f>
        <v>5</v>
      </c>
      <c r="AD120" s="130">
        <f>VLOOKUP(P120,'Ext. Pa'!$B$3:$C$77,2,FALSE)</f>
        <v>5</v>
      </c>
      <c r="AE120" s="130">
        <f>VLOOKUP(Q120,'Ext. Pa'!$B$3:$C$77,2,FALSE)</f>
        <v>6</v>
      </c>
      <c r="AF120" s="132">
        <f t="shared" si="9"/>
        <v>3.25</v>
      </c>
      <c r="AG120" s="134">
        <f>Table2[[#This Row],[Coating defect survey10]]</f>
        <v>5</v>
      </c>
      <c r="AH120" s="134">
        <f>Table2[[#This Row],[CP Level within NACE Criteria4]]</f>
        <v>1</v>
      </c>
      <c r="AI120" s="135">
        <f>IF(Table2[[#This Row],[CP level]]&gt;9.9,1,0)</f>
        <v>0</v>
      </c>
      <c r="AJ120" s="135">
        <f>Table2[[#This Row],[Column3]]*Table2[[#This Row],[Coating defect survey2]]</f>
        <v>0</v>
      </c>
      <c r="AK120" s="170">
        <v>19.493670000000002</v>
      </c>
    </row>
    <row r="121" spans="1:37" s="100" customFormat="1">
      <c r="A121" s="128">
        <v>2</v>
      </c>
      <c r="B121" s="129" t="s">
        <v>637</v>
      </c>
      <c r="C121" s="96" t="str">
        <f>RIGHT(Table2[[#This Row],[Column1]],LEN(Table2[[#This Row],[Column1]])-2)</f>
        <v>661120006</v>
      </c>
      <c r="D121" s="97" t="s">
        <v>638</v>
      </c>
      <c r="E121" s="130"/>
      <c r="F121" s="130">
        <v>2000</v>
      </c>
      <c r="G121" s="130">
        <f>2013-Table2[[#This Row],[Startup Year]]</f>
        <v>13</v>
      </c>
      <c r="H121" s="130" t="s">
        <v>101</v>
      </c>
      <c r="I121" s="130" t="s">
        <v>108</v>
      </c>
      <c r="J121" s="130" t="s">
        <v>113</v>
      </c>
      <c r="K121" s="98">
        <v>0</v>
      </c>
      <c r="L121" s="130" t="s">
        <v>105</v>
      </c>
      <c r="M121" s="130" t="s">
        <v>105</v>
      </c>
      <c r="N121" s="130" t="s">
        <v>105</v>
      </c>
      <c r="O121" s="130" t="s">
        <v>143</v>
      </c>
      <c r="P121" s="130" t="s">
        <v>105</v>
      </c>
      <c r="Q121" s="130" t="s">
        <v>66</v>
      </c>
      <c r="R121" s="130" t="s">
        <v>72</v>
      </c>
      <c r="S12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1" s="131">
        <v>19.493670000000002</v>
      </c>
      <c r="U121" s="130"/>
      <c r="V121" s="131">
        <f>VLOOKUP(H121,'Ext. Pa'!$B$3:$C$77,2,FALSE)</f>
        <v>1</v>
      </c>
      <c r="W121" s="130">
        <f>VLOOKUP(I121,'Ext. Pa'!$B$3:$C$77,2,FALSE)</f>
        <v>1</v>
      </c>
      <c r="X121" s="130">
        <f>VLOOKUP(J121,'Ext. Pa'!$B$3:$C$77,2,FALSE)</f>
        <v>4</v>
      </c>
      <c r="Y121" s="130">
        <f>VLOOKUP(K121,'Ext. Pa'!$B$3:$C$77,2,FALSE)</f>
        <v>0</v>
      </c>
      <c r="Z121" s="130">
        <f>VLOOKUP(L121,'Ext. Pa'!$B$3:$C$77,2,FALSE)</f>
        <v>5</v>
      </c>
      <c r="AA121" s="130">
        <f>VLOOKUP(M121,'Ext. Pa'!$B$3:$C$77,2,FALSE)</f>
        <v>5</v>
      </c>
      <c r="AB121" s="130">
        <f>VLOOKUP(N121,'Ext. Pa'!$B$3:$C$77,2,FALSE)</f>
        <v>5</v>
      </c>
      <c r="AC121" s="130">
        <f>VLOOKUP(O121,'Ext. Pa'!$B$3:$C$77,2,FALSE)</f>
        <v>1</v>
      </c>
      <c r="AD121" s="130">
        <f>VLOOKUP(P121,'Ext. Pa'!$B$3:$C$77,2,FALSE)</f>
        <v>5</v>
      </c>
      <c r="AE121" s="130">
        <f>VLOOKUP(Q121,'Ext. Pa'!$B$3:$C$77,2,FALSE)</f>
        <v>6</v>
      </c>
      <c r="AF121" s="132">
        <f t="shared" si="9"/>
        <v>3.25</v>
      </c>
      <c r="AG121" s="134">
        <f>Table2[[#This Row],[Coating defect survey10]]</f>
        <v>1</v>
      </c>
      <c r="AH121" s="134">
        <f>Table2[[#This Row],[CP Level within NACE Criteria4]]</f>
        <v>1</v>
      </c>
      <c r="AI121" s="135">
        <f>IF(Table2[[#This Row],[CP level]]&gt;9.9,1,0)</f>
        <v>0</v>
      </c>
      <c r="AJ121" s="135">
        <f>Table2[[#This Row],[Column3]]*Table2[[#This Row],[Coating defect survey2]]</f>
        <v>0</v>
      </c>
      <c r="AK121" s="170">
        <v>19.493670000000002</v>
      </c>
    </row>
    <row r="122" spans="1:37" s="100" customFormat="1">
      <c r="A122" s="128">
        <v>2</v>
      </c>
      <c r="B122" s="129" t="s">
        <v>619</v>
      </c>
      <c r="C122" s="96" t="str">
        <f>RIGHT(Table2[[#This Row],[Column1]],LEN(Table2[[#This Row],[Column1]])-2)</f>
        <v>6611201</v>
      </c>
      <c r="D122" s="97"/>
      <c r="E122" s="130"/>
      <c r="F122" s="130">
        <v>2000</v>
      </c>
      <c r="G122" s="130">
        <f>2013-Table2[[#This Row],[Startup Year]]</f>
        <v>13</v>
      </c>
      <c r="H122" s="130" t="s">
        <v>101</v>
      </c>
      <c r="I122" s="130" t="s">
        <v>108</v>
      </c>
      <c r="J122" s="130" t="s">
        <v>113</v>
      </c>
      <c r="K122" s="98">
        <v>0</v>
      </c>
      <c r="L122" s="130" t="s">
        <v>105</v>
      </c>
      <c r="M122" s="130" t="s">
        <v>105</v>
      </c>
      <c r="N122" s="130" t="s">
        <v>105</v>
      </c>
      <c r="O122" s="130" t="s">
        <v>143</v>
      </c>
      <c r="P122" s="130" t="s">
        <v>105</v>
      </c>
      <c r="Q122" s="130" t="s">
        <v>66</v>
      </c>
      <c r="R122" s="130" t="s">
        <v>72</v>
      </c>
      <c r="S12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2" s="131">
        <v>19.493670000000002</v>
      </c>
      <c r="U122" s="130"/>
      <c r="V122" s="131">
        <f>VLOOKUP(H122,'Ext. Pa'!$B$3:$C$77,2,FALSE)</f>
        <v>1</v>
      </c>
      <c r="W122" s="130">
        <f>VLOOKUP(I122,'Ext. Pa'!$B$3:$C$77,2,FALSE)</f>
        <v>1</v>
      </c>
      <c r="X122" s="130">
        <f>VLOOKUP(J122,'Ext. Pa'!$B$3:$C$77,2,FALSE)</f>
        <v>4</v>
      </c>
      <c r="Y122" s="130">
        <f>VLOOKUP(K122,'Ext. Pa'!$B$3:$C$77,2,FALSE)</f>
        <v>0</v>
      </c>
      <c r="Z122" s="130">
        <f>VLOOKUP(L122,'Ext. Pa'!$B$3:$C$77,2,FALSE)</f>
        <v>5</v>
      </c>
      <c r="AA122" s="130">
        <f>VLOOKUP(M122,'Ext. Pa'!$B$3:$C$77,2,FALSE)</f>
        <v>5</v>
      </c>
      <c r="AB122" s="130">
        <f>VLOOKUP(N122,'Ext. Pa'!$B$3:$C$77,2,FALSE)</f>
        <v>5</v>
      </c>
      <c r="AC122" s="130">
        <f>VLOOKUP(O122,'Ext. Pa'!$B$3:$C$77,2,FALSE)</f>
        <v>1</v>
      </c>
      <c r="AD122" s="130">
        <f>VLOOKUP(P122,'Ext. Pa'!$B$3:$C$77,2,FALSE)</f>
        <v>5</v>
      </c>
      <c r="AE122" s="130">
        <f>VLOOKUP(Q122,'Ext. Pa'!$B$3:$C$77,2,FALSE)</f>
        <v>6</v>
      </c>
      <c r="AF122" s="132">
        <f t="shared" si="9"/>
        <v>3.25</v>
      </c>
      <c r="AG122" s="134">
        <f>Table2[[#This Row],[Coating defect survey10]]</f>
        <v>1</v>
      </c>
      <c r="AH122" s="134">
        <f>Table2[[#This Row],[CP Level within NACE Criteria4]]</f>
        <v>1</v>
      </c>
      <c r="AI122" s="135">
        <f>IF(Table2[[#This Row],[CP level]]&gt;9.9,1,0)</f>
        <v>0</v>
      </c>
      <c r="AJ122" s="135">
        <f>Table2[[#This Row],[Column3]]*Table2[[#This Row],[Coating defect survey2]]</f>
        <v>0</v>
      </c>
      <c r="AK122" s="170">
        <v>19.493670000000002</v>
      </c>
    </row>
    <row r="123" spans="1:37" s="100" customFormat="1">
      <c r="A123" s="128">
        <v>2</v>
      </c>
      <c r="B123" s="129" t="s">
        <v>639</v>
      </c>
      <c r="C123" s="96" t="str">
        <f>RIGHT(Table2[[#This Row],[Column1]],LEN(Table2[[#This Row],[Column1]])-2)</f>
        <v>661120101</v>
      </c>
      <c r="D123" s="97" t="s">
        <v>640</v>
      </c>
      <c r="E123" s="130"/>
      <c r="F123" s="130">
        <v>2000</v>
      </c>
      <c r="G123" s="130">
        <f>2013-Table2[[#This Row],[Startup Year]]</f>
        <v>13</v>
      </c>
      <c r="H123" s="130" t="s">
        <v>101</v>
      </c>
      <c r="I123" s="130" t="s">
        <v>108</v>
      </c>
      <c r="J123" s="130" t="s">
        <v>113</v>
      </c>
      <c r="K123" s="98">
        <v>0</v>
      </c>
      <c r="L123" s="130" t="s">
        <v>105</v>
      </c>
      <c r="M123" s="130" t="s">
        <v>105</v>
      </c>
      <c r="N123" s="130" t="s">
        <v>105</v>
      </c>
      <c r="O123" s="130" t="s">
        <v>143</v>
      </c>
      <c r="P123" s="130" t="s">
        <v>105</v>
      </c>
      <c r="Q123" s="130" t="s">
        <v>66</v>
      </c>
      <c r="R123" s="130" t="s">
        <v>72</v>
      </c>
      <c r="S12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3" s="131">
        <v>19.493670000000002</v>
      </c>
      <c r="U123" s="130"/>
      <c r="V123" s="131">
        <f>VLOOKUP(H123,'Ext. Pa'!$B$3:$C$77,2,FALSE)</f>
        <v>1</v>
      </c>
      <c r="W123" s="130">
        <f>VLOOKUP(I123,'Ext. Pa'!$B$3:$C$77,2,FALSE)</f>
        <v>1</v>
      </c>
      <c r="X123" s="130">
        <f>VLOOKUP(J123,'Ext. Pa'!$B$3:$C$77,2,FALSE)</f>
        <v>4</v>
      </c>
      <c r="Y123" s="130">
        <f>VLOOKUP(K123,'Ext. Pa'!$B$3:$C$77,2,FALSE)</f>
        <v>0</v>
      </c>
      <c r="Z123" s="130">
        <f>VLOOKUP(L123,'Ext. Pa'!$B$3:$C$77,2,FALSE)</f>
        <v>5</v>
      </c>
      <c r="AA123" s="130">
        <f>VLOOKUP(M123,'Ext. Pa'!$B$3:$C$77,2,FALSE)</f>
        <v>5</v>
      </c>
      <c r="AB123" s="130">
        <f>VLOOKUP(N123,'Ext. Pa'!$B$3:$C$77,2,FALSE)</f>
        <v>5</v>
      </c>
      <c r="AC123" s="130">
        <f>VLOOKUP(O123,'Ext. Pa'!$B$3:$C$77,2,FALSE)</f>
        <v>1</v>
      </c>
      <c r="AD123" s="130">
        <f>VLOOKUP(P123,'Ext. Pa'!$B$3:$C$77,2,FALSE)</f>
        <v>5</v>
      </c>
      <c r="AE123" s="130">
        <f>VLOOKUP(Q123,'Ext. Pa'!$B$3:$C$77,2,FALSE)</f>
        <v>6</v>
      </c>
      <c r="AF123" s="132">
        <f t="shared" si="9"/>
        <v>3.25</v>
      </c>
      <c r="AG123" s="134">
        <f>Table2[[#This Row],[Coating defect survey10]]</f>
        <v>1</v>
      </c>
      <c r="AH123" s="134">
        <f>Table2[[#This Row],[CP Level within NACE Criteria4]]</f>
        <v>1</v>
      </c>
      <c r="AI123" s="135">
        <f>IF(Table2[[#This Row],[CP level]]&gt;9.9,1,0)</f>
        <v>0</v>
      </c>
      <c r="AJ123" s="135">
        <f>Table2[[#This Row],[Column3]]*Table2[[#This Row],[Coating defect survey2]]</f>
        <v>0</v>
      </c>
      <c r="AK123" s="170">
        <v>19.493670000000002</v>
      </c>
    </row>
    <row r="124" spans="1:37" s="100" customFormat="1">
      <c r="A124" s="128">
        <v>2</v>
      </c>
      <c r="B124" s="129" t="s">
        <v>641</v>
      </c>
      <c r="C124" s="96" t="str">
        <f>RIGHT(Table2[[#This Row],[Column1]],LEN(Table2[[#This Row],[Column1]])-2)</f>
        <v>661120102</v>
      </c>
      <c r="D124" s="97" t="s">
        <v>642</v>
      </c>
      <c r="E124" s="130"/>
      <c r="F124" s="130">
        <v>2000</v>
      </c>
      <c r="G124" s="130">
        <f>2013-Table2[[#This Row],[Startup Year]]</f>
        <v>13</v>
      </c>
      <c r="H124" s="130" t="s">
        <v>101</v>
      </c>
      <c r="I124" s="130" t="s">
        <v>108</v>
      </c>
      <c r="J124" s="130" t="s">
        <v>113</v>
      </c>
      <c r="K124" s="98">
        <v>0</v>
      </c>
      <c r="L124" s="130" t="s">
        <v>105</v>
      </c>
      <c r="M124" s="130" t="s">
        <v>105</v>
      </c>
      <c r="N124" s="130" t="s">
        <v>105</v>
      </c>
      <c r="O124" s="130" t="s">
        <v>143</v>
      </c>
      <c r="P124" s="130" t="s">
        <v>105</v>
      </c>
      <c r="Q124" s="130" t="s">
        <v>66</v>
      </c>
      <c r="R124" s="130" t="s">
        <v>72</v>
      </c>
      <c r="S12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4" s="131">
        <v>19.493670000000002</v>
      </c>
      <c r="U124" s="130"/>
      <c r="V124" s="131">
        <f>VLOOKUP(H124,'Ext. Pa'!$B$3:$C$77,2,FALSE)</f>
        <v>1</v>
      </c>
      <c r="W124" s="130">
        <f>VLOOKUP(I124,'Ext. Pa'!$B$3:$C$77,2,FALSE)</f>
        <v>1</v>
      </c>
      <c r="X124" s="130">
        <f>VLOOKUP(J124,'Ext. Pa'!$B$3:$C$77,2,FALSE)</f>
        <v>4</v>
      </c>
      <c r="Y124" s="130">
        <f>VLOOKUP(K124,'Ext. Pa'!$B$3:$C$77,2,FALSE)</f>
        <v>0</v>
      </c>
      <c r="Z124" s="130">
        <f>VLOOKUP(L124,'Ext. Pa'!$B$3:$C$77,2,FALSE)</f>
        <v>5</v>
      </c>
      <c r="AA124" s="130">
        <f>VLOOKUP(M124,'Ext. Pa'!$B$3:$C$77,2,FALSE)</f>
        <v>5</v>
      </c>
      <c r="AB124" s="130">
        <f>VLOOKUP(N124,'Ext. Pa'!$B$3:$C$77,2,FALSE)</f>
        <v>5</v>
      </c>
      <c r="AC124" s="130">
        <f>VLOOKUP(O124,'Ext. Pa'!$B$3:$C$77,2,FALSE)</f>
        <v>1</v>
      </c>
      <c r="AD124" s="130">
        <f>VLOOKUP(P124,'Ext. Pa'!$B$3:$C$77,2,FALSE)</f>
        <v>5</v>
      </c>
      <c r="AE124" s="130">
        <f>VLOOKUP(Q124,'Ext. Pa'!$B$3:$C$77,2,FALSE)</f>
        <v>6</v>
      </c>
      <c r="AF124" s="132">
        <f t="shared" si="9"/>
        <v>3.25</v>
      </c>
      <c r="AG124" s="134">
        <f>Table2[[#This Row],[Coating defect survey10]]</f>
        <v>1</v>
      </c>
      <c r="AH124" s="134">
        <f>Table2[[#This Row],[CP Level within NACE Criteria4]]</f>
        <v>1</v>
      </c>
      <c r="AI124" s="135">
        <f>IF(Table2[[#This Row],[CP level]]&gt;9.9,1,0)</f>
        <v>0</v>
      </c>
      <c r="AJ124" s="135">
        <f>Table2[[#This Row],[Column3]]*Table2[[#This Row],[Coating defect survey2]]</f>
        <v>0</v>
      </c>
      <c r="AK124" s="170">
        <v>19.493670000000002</v>
      </c>
    </row>
    <row r="125" spans="1:37" s="100" customFormat="1">
      <c r="A125" s="128">
        <v>2</v>
      </c>
      <c r="B125" s="129" t="s">
        <v>643</v>
      </c>
      <c r="C125" s="96" t="str">
        <f>RIGHT(Table2[[#This Row],[Column1]],LEN(Table2[[#This Row],[Column1]])-2)</f>
        <v>661120103</v>
      </c>
      <c r="D125" s="97" t="s">
        <v>644</v>
      </c>
      <c r="E125" s="130"/>
      <c r="F125" s="130">
        <v>2000</v>
      </c>
      <c r="G125" s="130">
        <f>2013-Table2[[#This Row],[Startup Year]]</f>
        <v>13</v>
      </c>
      <c r="H125" s="130" t="s">
        <v>101</v>
      </c>
      <c r="I125" s="130" t="s">
        <v>108</v>
      </c>
      <c r="J125" s="130" t="s">
        <v>113</v>
      </c>
      <c r="K125" s="98">
        <v>0</v>
      </c>
      <c r="L125" s="130" t="s">
        <v>105</v>
      </c>
      <c r="M125" s="130" t="s">
        <v>105</v>
      </c>
      <c r="N125" s="130" t="s">
        <v>105</v>
      </c>
      <c r="O125" s="130" t="s">
        <v>145</v>
      </c>
      <c r="P125" s="130" t="s">
        <v>105</v>
      </c>
      <c r="Q125" s="130" t="s">
        <v>66</v>
      </c>
      <c r="R125" s="130" t="s">
        <v>72</v>
      </c>
      <c r="S12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5" s="131">
        <v>19.493670000000002</v>
      </c>
      <c r="U125" s="130"/>
      <c r="V125" s="131">
        <f>VLOOKUP(H125,'Ext. Pa'!$B$3:$C$77,2,FALSE)</f>
        <v>1</v>
      </c>
      <c r="W125" s="130">
        <f>VLOOKUP(I125,'Ext. Pa'!$B$3:$C$77,2,FALSE)</f>
        <v>1</v>
      </c>
      <c r="X125" s="130">
        <f>VLOOKUP(J125,'Ext. Pa'!$B$3:$C$77,2,FALSE)</f>
        <v>4</v>
      </c>
      <c r="Y125" s="130">
        <f>VLOOKUP(K125,'Ext. Pa'!$B$3:$C$77,2,FALSE)</f>
        <v>0</v>
      </c>
      <c r="Z125" s="130">
        <f>VLOOKUP(L125,'Ext. Pa'!$B$3:$C$77,2,FALSE)</f>
        <v>5</v>
      </c>
      <c r="AA125" s="130">
        <f>VLOOKUP(M125,'Ext. Pa'!$B$3:$C$77,2,FALSE)</f>
        <v>5</v>
      </c>
      <c r="AB125" s="130">
        <f>VLOOKUP(N125,'Ext. Pa'!$B$3:$C$77,2,FALSE)</f>
        <v>5</v>
      </c>
      <c r="AC125" s="130">
        <f>VLOOKUP(O125,'Ext. Pa'!$B$3:$C$77,2,FALSE)</f>
        <v>5</v>
      </c>
      <c r="AD125" s="130">
        <f>VLOOKUP(P125,'Ext. Pa'!$B$3:$C$77,2,FALSE)</f>
        <v>5</v>
      </c>
      <c r="AE125" s="130">
        <f>VLOOKUP(Q125,'Ext. Pa'!$B$3:$C$77,2,FALSE)</f>
        <v>6</v>
      </c>
      <c r="AF125" s="132">
        <f t="shared" si="9"/>
        <v>3.25</v>
      </c>
      <c r="AG125" s="134">
        <f>Table2[[#This Row],[Coating defect survey10]]</f>
        <v>5</v>
      </c>
      <c r="AH125" s="134">
        <f>Table2[[#This Row],[CP Level within NACE Criteria4]]</f>
        <v>1</v>
      </c>
      <c r="AI125" s="135">
        <f>IF(Table2[[#This Row],[CP level]]&gt;9.9,1,0)</f>
        <v>0</v>
      </c>
      <c r="AJ125" s="135">
        <f>Table2[[#This Row],[Column3]]*Table2[[#This Row],[Coating defect survey2]]</f>
        <v>0</v>
      </c>
      <c r="AK125" s="170">
        <v>19.493670000000002</v>
      </c>
    </row>
    <row r="126" spans="1:37" s="100" customFormat="1">
      <c r="A126" s="128">
        <v>2</v>
      </c>
      <c r="B126" s="129" t="s">
        <v>645</v>
      </c>
      <c r="C126" s="96" t="str">
        <f>RIGHT(Table2[[#This Row],[Column1]],LEN(Table2[[#This Row],[Column1]])-2)</f>
        <v>661120104</v>
      </c>
      <c r="D126" s="97" t="s">
        <v>646</v>
      </c>
      <c r="E126" s="130"/>
      <c r="F126" s="130">
        <v>2000</v>
      </c>
      <c r="G126" s="130">
        <f>2013-Table2[[#This Row],[Startup Year]]</f>
        <v>13</v>
      </c>
      <c r="H126" s="130" t="s">
        <v>101</v>
      </c>
      <c r="I126" s="130" t="s">
        <v>108</v>
      </c>
      <c r="J126" s="130" t="s">
        <v>113</v>
      </c>
      <c r="K126" s="98">
        <v>0</v>
      </c>
      <c r="L126" s="130" t="s">
        <v>105</v>
      </c>
      <c r="M126" s="130" t="s">
        <v>105</v>
      </c>
      <c r="N126" s="130" t="s">
        <v>105</v>
      </c>
      <c r="O126" s="130" t="s">
        <v>143</v>
      </c>
      <c r="P126" s="130" t="s">
        <v>105</v>
      </c>
      <c r="Q126" s="130" t="s">
        <v>66</v>
      </c>
      <c r="R126" s="130" t="s">
        <v>72</v>
      </c>
      <c r="S12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6" s="131">
        <v>19.493670000000002</v>
      </c>
      <c r="U126" s="130"/>
      <c r="V126" s="131">
        <f>VLOOKUP(H126,'Ext. Pa'!$B$3:$C$77,2,FALSE)</f>
        <v>1</v>
      </c>
      <c r="W126" s="130">
        <f>VLOOKUP(I126,'Ext. Pa'!$B$3:$C$77,2,FALSE)</f>
        <v>1</v>
      </c>
      <c r="X126" s="130">
        <f>VLOOKUP(J126,'Ext. Pa'!$B$3:$C$77,2,FALSE)</f>
        <v>4</v>
      </c>
      <c r="Y126" s="130">
        <f>VLOOKUP(K126,'Ext. Pa'!$B$3:$C$77,2,FALSE)</f>
        <v>0</v>
      </c>
      <c r="Z126" s="130">
        <f>VLOOKUP(L126,'Ext. Pa'!$B$3:$C$77,2,FALSE)</f>
        <v>5</v>
      </c>
      <c r="AA126" s="130">
        <f>VLOOKUP(M126,'Ext. Pa'!$B$3:$C$77,2,FALSE)</f>
        <v>5</v>
      </c>
      <c r="AB126" s="130">
        <f>VLOOKUP(N126,'Ext. Pa'!$B$3:$C$77,2,FALSE)</f>
        <v>5</v>
      </c>
      <c r="AC126" s="130">
        <f>VLOOKUP(O126,'Ext. Pa'!$B$3:$C$77,2,FALSE)</f>
        <v>1</v>
      </c>
      <c r="AD126" s="130">
        <f>VLOOKUP(P126,'Ext. Pa'!$B$3:$C$77,2,FALSE)</f>
        <v>5</v>
      </c>
      <c r="AE126" s="130">
        <f>VLOOKUP(Q126,'Ext. Pa'!$B$3:$C$77,2,FALSE)</f>
        <v>6</v>
      </c>
      <c r="AF126" s="132">
        <f t="shared" si="9"/>
        <v>3.25</v>
      </c>
      <c r="AG126" s="134">
        <f>Table2[[#This Row],[Coating defect survey10]]</f>
        <v>1</v>
      </c>
      <c r="AH126" s="134">
        <f>Table2[[#This Row],[CP Level within NACE Criteria4]]</f>
        <v>1</v>
      </c>
      <c r="AI126" s="135">
        <f>IF(Table2[[#This Row],[CP level]]&gt;9.9,1,0)</f>
        <v>0</v>
      </c>
      <c r="AJ126" s="135">
        <f>Table2[[#This Row],[Column3]]*Table2[[#This Row],[Coating defect survey2]]</f>
        <v>0</v>
      </c>
      <c r="AK126" s="170">
        <v>19.493670000000002</v>
      </c>
    </row>
    <row r="127" spans="1:37" s="100" customFormat="1">
      <c r="A127" s="128">
        <v>2</v>
      </c>
      <c r="B127" s="129" t="s">
        <v>647</v>
      </c>
      <c r="C127" s="96" t="str">
        <f>RIGHT(Table2[[#This Row],[Column1]],LEN(Table2[[#This Row],[Column1]])-2)</f>
        <v>661120105</v>
      </c>
      <c r="D127" s="97" t="s">
        <v>648</v>
      </c>
      <c r="E127" s="130"/>
      <c r="F127" s="130">
        <v>2000</v>
      </c>
      <c r="G127" s="130">
        <f>2013-Table2[[#This Row],[Startup Year]]</f>
        <v>13</v>
      </c>
      <c r="H127" s="130" t="s">
        <v>101</v>
      </c>
      <c r="I127" s="130" t="s">
        <v>108</v>
      </c>
      <c r="J127" s="130" t="s">
        <v>113</v>
      </c>
      <c r="K127" s="98">
        <v>0</v>
      </c>
      <c r="L127" s="130" t="s">
        <v>105</v>
      </c>
      <c r="M127" s="130" t="s">
        <v>105</v>
      </c>
      <c r="N127" s="130" t="s">
        <v>105</v>
      </c>
      <c r="O127" s="130" t="s">
        <v>143</v>
      </c>
      <c r="P127" s="130" t="s">
        <v>105</v>
      </c>
      <c r="Q127" s="130" t="s">
        <v>66</v>
      </c>
      <c r="R127" s="130" t="s">
        <v>72</v>
      </c>
      <c r="S12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7" s="131">
        <v>19.493670000000002</v>
      </c>
      <c r="U127" s="130"/>
      <c r="V127" s="131">
        <f>VLOOKUP(H127,'Ext. Pa'!$B$3:$C$77,2,FALSE)</f>
        <v>1</v>
      </c>
      <c r="W127" s="130">
        <f>VLOOKUP(I127,'Ext. Pa'!$B$3:$C$77,2,FALSE)</f>
        <v>1</v>
      </c>
      <c r="X127" s="130">
        <f>VLOOKUP(J127,'Ext. Pa'!$B$3:$C$77,2,FALSE)</f>
        <v>4</v>
      </c>
      <c r="Y127" s="130">
        <f>VLOOKUP(K127,'Ext. Pa'!$B$3:$C$77,2,FALSE)</f>
        <v>0</v>
      </c>
      <c r="Z127" s="130">
        <f>VLOOKUP(L127,'Ext. Pa'!$B$3:$C$77,2,FALSE)</f>
        <v>5</v>
      </c>
      <c r="AA127" s="130">
        <f>VLOOKUP(M127,'Ext. Pa'!$B$3:$C$77,2,FALSE)</f>
        <v>5</v>
      </c>
      <c r="AB127" s="130">
        <f>VLOOKUP(N127,'Ext. Pa'!$B$3:$C$77,2,FALSE)</f>
        <v>5</v>
      </c>
      <c r="AC127" s="130">
        <f>VLOOKUP(O127,'Ext. Pa'!$B$3:$C$77,2,FALSE)</f>
        <v>1</v>
      </c>
      <c r="AD127" s="130">
        <f>VLOOKUP(P127,'Ext. Pa'!$B$3:$C$77,2,FALSE)</f>
        <v>5</v>
      </c>
      <c r="AE127" s="130">
        <f>VLOOKUP(Q127,'Ext. Pa'!$B$3:$C$77,2,FALSE)</f>
        <v>6</v>
      </c>
      <c r="AF127" s="132">
        <f t="shared" si="9"/>
        <v>3.25</v>
      </c>
      <c r="AG127" s="134">
        <f>Table2[[#This Row],[Coating defect survey10]]</f>
        <v>1</v>
      </c>
      <c r="AH127" s="134">
        <f>Table2[[#This Row],[CP Level within NACE Criteria4]]</f>
        <v>1</v>
      </c>
      <c r="AI127" s="135">
        <f>IF(Table2[[#This Row],[CP level]]&gt;9.9,1,0)</f>
        <v>0</v>
      </c>
      <c r="AJ127" s="135">
        <f>Table2[[#This Row],[Column3]]*Table2[[#This Row],[Coating defect survey2]]</f>
        <v>0</v>
      </c>
      <c r="AK127" s="170">
        <v>19.493670000000002</v>
      </c>
    </row>
    <row r="128" spans="1:37" s="100" customFormat="1">
      <c r="A128" s="128">
        <v>2</v>
      </c>
      <c r="B128" s="129" t="s">
        <v>649</v>
      </c>
      <c r="C128" s="96" t="str">
        <f>RIGHT(Table2[[#This Row],[Column1]],LEN(Table2[[#This Row],[Column1]])-2)</f>
        <v>661120106</v>
      </c>
      <c r="D128" s="97" t="s">
        <v>650</v>
      </c>
      <c r="E128" s="130"/>
      <c r="F128" s="130">
        <v>2000</v>
      </c>
      <c r="G128" s="130">
        <f>2013-Table2[[#This Row],[Startup Year]]</f>
        <v>13</v>
      </c>
      <c r="H128" s="130" t="s">
        <v>101</v>
      </c>
      <c r="I128" s="130" t="s">
        <v>108</v>
      </c>
      <c r="J128" s="130" t="s">
        <v>113</v>
      </c>
      <c r="K128" s="98">
        <v>0</v>
      </c>
      <c r="L128" s="130" t="s">
        <v>105</v>
      </c>
      <c r="M128" s="130" t="s">
        <v>105</v>
      </c>
      <c r="N128" s="130" t="s">
        <v>105</v>
      </c>
      <c r="O128" s="130" t="s">
        <v>143</v>
      </c>
      <c r="P128" s="130" t="s">
        <v>105</v>
      </c>
      <c r="Q128" s="130" t="s">
        <v>66</v>
      </c>
      <c r="R128" s="130" t="s">
        <v>72</v>
      </c>
      <c r="S12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8" s="131">
        <v>19.493670000000002</v>
      </c>
      <c r="U128" s="130"/>
      <c r="V128" s="131">
        <f>VLOOKUP(H128,'Ext. Pa'!$B$3:$C$77,2,FALSE)</f>
        <v>1</v>
      </c>
      <c r="W128" s="130">
        <f>VLOOKUP(I128,'Ext. Pa'!$B$3:$C$77,2,FALSE)</f>
        <v>1</v>
      </c>
      <c r="X128" s="130">
        <f>VLOOKUP(J128,'Ext. Pa'!$B$3:$C$77,2,FALSE)</f>
        <v>4</v>
      </c>
      <c r="Y128" s="130">
        <f>VLOOKUP(K128,'Ext. Pa'!$B$3:$C$77,2,FALSE)</f>
        <v>0</v>
      </c>
      <c r="Z128" s="130">
        <f>VLOOKUP(L128,'Ext. Pa'!$B$3:$C$77,2,FALSE)</f>
        <v>5</v>
      </c>
      <c r="AA128" s="130">
        <f>VLOOKUP(M128,'Ext. Pa'!$B$3:$C$77,2,FALSE)</f>
        <v>5</v>
      </c>
      <c r="AB128" s="130">
        <f>VLOOKUP(N128,'Ext. Pa'!$B$3:$C$77,2,FALSE)</f>
        <v>5</v>
      </c>
      <c r="AC128" s="130">
        <f>VLOOKUP(O128,'Ext. Pa'!$B$3:$C$77,2,FALSE)</f>
        <v>1</v>
      </c>
      <c r="AD128" s="130">
        <f>VLOOKUP(P128,'Ext. Pa'!$B$3:$C$77,2,FALSE)</f>
        <v>5</v>
      </c>
      <c r="AE128" s="130">
        <f>VLOOKUP(Q128,'Ext. Pa'!$B$3:$C$77,2,FALSE)</f>
        <v>6</v>
      </c>
      <c r="AF128" s="132">
        <f t="shared" si="9"/>
        <v>3.25</v>
      </c>
      <c r="AG128" s="134">
        <f>Table2[[#This Row],[Coating defect survey10]]</f>
        <v>1</v>
      </c>
      <c r="AH128" s="134">
        <f>Table2[[#This Row],[CP Level within NACE Criteria4]]</f>
        <v>1</v>
      </c>
      <c r="AI128" s="135">
        <f>IF(Table2[[#This Row],[CP level]]&gt;9.9,1,0)</f>
        <v>0</v>
      </c>
      <c r="AJ128" s="135">
        <f>Table2[[#This Row],[Column3]]*Table2[[#This Row],[Coating defect survey2]]</f>
        <v>0</v>
      </c>
      <c r="AK128" s="170">
        <v>19.493670000000002</v>
      </c>
    </row>
    <row r="129" spans="1:37" s="100" customFormat="1">
      <c r="A129" s="128">
        <v>2</v>
      </c>
      <c r="B129" s="129" t="s">
        <v>651</v>
      </c>
      <c r="C129" s="96" t="str">
        <f>RIGHT(Table2[[#This Row],[Column1]],LEN(Table2[[#This Row],[Column1]])-2)</f>
        <v>661120107</v>
      </c>
      <c r="D129" s="97" t="s">
        <v>652</v>
      </c>
      <c r="E129" s="130"/>
      <c r="F129" s="130">
        <v>2000</v>
      </c>
      <c r="G129" s="130">
        <f>2013-Table2[[#This Row],[Startup Year]]</f>
        <v>13</v>
      </c>
      <c r="H129" s="130" t="s">
        <v>101</v>
      </c>
      <c r="I129" s="130" t="s">
        <v>108</v>
      </c>
      <c r="J129" s="130" t="s">
        <v>113</v>
      </c>
      <c r="K129" s="98">
        <v>0</v>
      </c>
      <c r="L129" s="130" t="s">
        <v>105</v>
      </c>
      <c r="M129" s="130" t="s">
        <v>105</v>
      </c>
      <c r="N129" s="130" t="s">
        <v>105</v>
      </c>
      <c r="O129" s="130" t="s">
        <v>143</v>
      </c>
      <c r="P129" s="130" t="s">
        <v>105</v>
      </c>
      <c r="Q129" s="130" t="s">
        <v>66</v>
      </c>
      <c r="R129" s="130" t="s">
        <v>72</v>
      </c>
      <c r="S12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29" s="131">
        <v>19.493670000000002</v>
      </c>
      <c r="U129" s="130"/>
      <c r="V129" s="131">
        <f>VLOOKUP(H129,'Ext. Pa'!$B$3:$C$77,2,FALSE)</f>
        <v>1</v>
      </c>
      <c r="W129" s="130">
        <f>VLOOKUP(I129,'Ext. Pa'!$B$3:$C$77,2,FALSE)</f>
        <v>1</v>
      </c>
      <c r="X129" s="130">
        <f>VLOOKUP(J129,'Ext. Pa'!$B$3:$C$77,2,FALSE)</f>
        <v>4</v>
      </c>
      <c r="Y129" s="130">
        <f>VLOOKUP(K129,'Ext. Pa'!$B$3:$C$77,2,FALSE)</f>
        <v>0</v>
      </c>
      <c r="Z129" s="130">
        <f>VLOOKUP(L129,'Ext. Pa'!$B$3:$C$77,2,FALSE)</f>
        <v>5</v>
      </c>
      <c r="AA129" s="130">
        <f>VLOOKUP(M129,'Ext. Pa'!$B$3:$C$77,2,FALSE)</f>
        <v>5</v>
      </c>
      <c r="AB129" s="130">
        <f>VLOOKUP(N129,'Ext. Pa'!$B$3:$C$77,2,FALSE)</f>
        <v>5</v>
      </c>
      <c r="AC129" s="130">
        <f>VLOOKUP(O129,'Ext. Pa'!$B$3:$C$77,2,FALSE)</f>
        <v>1</v>
      </c>
      <c r="AD129" s="130">
        <f>VLOOKUP(P129,'Ext. Pa'!$B$3:$C$77,2,FALSE)</f>
        <v>5</v>
      </c>
      <c r="AE129" s="130">
        <f>VLOOKUP(Q129,'Ext. Pa'!$B$3:$C$77,2,FALSE)</f>
        <v>6</v>
      </c>
      <c r="AF129" s="132">
        <f t="shared" si="9"/>
        <v>3.25</v>
      </c>
      <c r="AG129" s="134">
        <f>Table2[[#This Row],[Coating defect survey10]]</f>
        <v>1</v>
      </c>
      <c r="AH129" s="134">
        <f>Table2[[#This Row],[CP Level within NACE Criteria4]]</f>
        <v>1</v>
      </c>
      <c r="AI129" s="135">
        <f>IF(Table2[[#This Row],[CP level]]&gt;9.9,1,0)</f>
        <v>0</v>
      </c>
      <c r="AJ129" s="135">
        <f>Table2[[#This Row],[Column3]]*Table2[[#This Row],[Coating defect survey2]]</f>
        <v>0</v>
      </c>
      <c r="AK129" s="170">
        <v>19.493670000000002</v>
      </c>
    </row>
    <row r="130" spans="1:37" s="100" customFormat="1">
      <c r="A130" s="128">
        <v>2</v>
      </c>
      <c r="B130" s="129" t="s">
        <v>400</v>
      </c>
      <c r="C130" s="96" t="str">
        <f>RIGHT(Table2[[#This Row],[Column1]],LEN(Table2[[#This Row],[Column1]])-2)</f>
        <v>661120108</v>
      </c>
      <c r="D130" s="97" t="s">
        <v>723</v>
      </c>
      <c r="E130" s="130"/>
      <c r="F130" s="130">
        <v>2000</v>
      </c>
      <c r="G130" s="130">
        <f>2013-Table2[[#This Row],[Startup Year]]</f>
        <v>13</v>
      </c>
      <c r="H130" s="130" t="s">
        <v>101</v>
      </c>
      <c r="I130" s="130" t="s">
        <v>108</v>
      </c>
      <c r="J130" s="130" t="s">
        <v>113</v>
      </c>
      <c r="K130" s="98">
        <v>0</v>
      </c>
      <c r="L130" s="130" t="s">
        <v>105</v>
      </c>
      <c r="M130" s="130" t="s">
        <v>105</v>
      </c>
      <c r="N130" s="130" t="s">
        <v>105</v>
      </c>
      <c r="O130" s="130" t="s">
        <v>143</v>
      </c>
      <c r="P130" s="130" t="s">
        <v>105</v>
      </c>
      <c r="Q130" s="130" t="s">
        <v>66</v>
      </c>
      <c r="R130" s="130" t="s">
        <v>72</v>
      </c>
      <c r="S13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0" s="131">
        <v>19.493670000000002</v>
      </c>
      <c r="U130" s="130"/>
      <c r="V130" s="131">
        <f>VLOOKUP(H130,'Ext. Pa'!$B$3:$C$77,2,FALSE)</f>
        <v>1</v>
      </c>
      <c r="W130" s="130">
        <f>VLOOKUP(I130,'Ext. Pa'!$B$3:$C$77,2,FALSE)</f>
        <v>1</v>
      </c>
      <c r="X130" s="130">
        <f>VLOOKUP(J130,'Ext. Pa'!$B$3:$C$77,2,FALSE)</f>
        <v>4</v>
      </c>
      <c r="Y130" s="130">
        <f>VLOOKUP(K130,'Ext. Pa'!$B$3:$C$77,2,FALSE)</f>
        <v>0</v>
      </c>
      <c r="Z130" s="130">
        <f>VLOOKUP(L130,'Ext. Pa'!$B$3:$C$77,2,FALSE)</f>
        <v>5</v>
      </c>
      <c r="AA130" s="130">
        <f>VLOOKUP(M130,'Ext. Pa'!$B$3:$C$77,2,FALSE)</f>
        <v>5</v>
      </c>
      <c r="AB130" s="130">
        <f>VLOOKUP(N130,'Ext. Pa'!$B$3:$C$77,2,FALSE)</f>
        <v>5</v>
      </c>
      <c r="AC130" s="130">
        <f>VLOOKUP(O130,'Ext. Pa'!$B$3:$C$77,2,FALSE)</f>
        <v>1</v>
      </c>
      <c r="AD130" s="130">
        <f>VLOOKUP(P130,'Ext. Pa'!$B$3:$C$77,2,FALSE)</f>
        <v>5</v>
      </c>
      <c r="AE130" s="130">
        <f>VLOOKUP(Q130,'Ext. Pa'!$B$3:$C$77,2,FALSE)</f>
        <v>6</v>
      </c>
      <c r="AF130" s="132">
        <f t="shared" si="9"/>
        <v>3.25</v>
      </c>
      <c r="AG130" s="134">
        <f>Table2[[#This Row],[Coating defect survey10]]</f>
        <v>1</v>
      </c>
      <c r="AH130" s="134">
        <f>Table2[[#This Row],[CP Level within NACE Criteria4]]</f>
        <v>1</v>
      </c>
      <c r="AI130" s="135">
        <f>IF(Table2[[#This Row],[CP level]]&gt;9.9,1,0)</f>
        <v>0</v>
      </c>
      <c r="AJ130" s="135">
        <f>Table2[[#This Row],[Column3]]*Table2[[#This Row],[Coating defect survey2]]</f>
        <v>0</v>
      </c>
      <c r="AK130" s="170">
        <v>19.493670000000002</v>
      </c>
    </row>
    <row r="131" spans="1:37" s="100" customFormat="1">
      <c r="A131" s="128">
        <v>2</v>
      </c>
      <c r="B131" s="129" t="s">
        <v>653</v>
      </c>
      <c r="C131" s="96" t="str">
        <f>RIGHT(Table2[[#This Row],[Column1]],LEN(Table2[[#This Row],[Column1]])-2)</f>
        <v>661120109</v>
      </c>
      <c r="D131" s="97" t="s">
        <v>654</v>
      </c>
      <c r="E131" s="130"/>
      <c r="F131" s="130">
        <v>2000</v>
      </c>
      <c r="G131" s="130">
        <f>2013-Table2[[#This Row],[Startup Year]]</f>
        <v>13</v>
      </c>
      <c r="H131" s="130" t="s">
        <v>101</v>
      </c>
      <c r="I131" s="130" t="s">
        <v>108</v>
      </c>
      <c r="J131" s="130" t="s">
        <v>113</v>
      </c>
      <c r="K131" s="98">
        <v>0</v>
      </c>
      <c r="L131" s="130" t="s">
        <v>105</v>
      </c>
      <c r="M131" s="130" t="s">
        <v>105</v>
      </c>
      <c r="N131" s="130" t="s">
        <v>105</v>
      </c>
      <c r="O131" s="130" t="s">
        <v>143</v>
      </c>
      <c r="P131" s="130" t="s">
        <v>105</v>
      </c>
      <c r="Q131" s="130" t="s">
        <v>66</v>
      </c>
      <c r="R131" s="130" t="s">
        <v>72</v>
      </c>
      <c r="S13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1" s="131">
        <v>19.493670000000002</v>
      </c>
      <c r="U131" s="130"/>
      <c r="V131" s="131">
        <f>VLOOKUP(H131,'Ext. Pa'!$B$3:$C$77,2,FALSE)</f>
        <v>1</v>
      </c>
      <c r="W131" s="130">
        <f>VLOOKUP(I131,'Ext. Pa'!$B$3:$C$77,2,FALSE)</f>
        <v>1</v>
      </c>
      <c r="X131" s="130">
        <f>VLOOKUP(J131,'Ext. Pa'!$B$3:$C$77,2,FALSE)</f>
        <v>4</v>
      </c>
      <c r="Y131" s="130">
        <f>VLOOKUP(K131,'Ext. Pa'!$B$3:$C$77,2,FALSE)</f>
        <v>0</v>
      </c>
      <c r="Z131" s="130">
        <f>VLOOKUP(L131,'Ext. Pa'!$B$3:$C$77,2,FALSE)</f>
        <v>5</v>
      </c>
      <c r="AA131" s="130">
        <f>VLOOKUP(M131,'Ext. Pa'!$B$3:$C$77,2,FALSE)</f>
        <v>5</v>
      </c>
      <c r="AB131" s="130">
        <f>VLOOKUP(N131,'Ext. Pa'!$B$3:$C$77,2,FALSE)</f>
        <v>5</v>
      </c>
      <c r="AC131" s="130">
        <f>VLOOKUP(O131,'Ext. Pa'!$B$3:$C$77,2,FALSE)</f>
        <v>1</v>
      </c>
      <c r="AD131" s="130">
        <f>VLOOKUP(P131,'Ext. Pa'!$B$3:$C$77,2,FALSE)</f>
        <v>5</v>
      </c>
      <c r="AE131" s="130">
        <f>VLOOKUP(Q131,'Ext. Pa'!$B$3:$C$77,2,FALSE)</f>
        <v>6</v>
      </c>
      <c r="AF131" s="132">
        <f t="shared" si="9"/>
        <v>3.25</v>
      </c>
      <c r="AG131" s="134">
        <f>Table2[[#This Row],[Coating defect survey10]]</f>
        <v>1</v>
      </c>
      <c r="AH131" s="134">
        <f>Table2[[#This Row],[CP Level within NACE Criteria4]]</f>
        <v>1</v>
      </c>
      <c r="AI131" s="135">
        <f>IF(Table2[[#This Row],[CP level]]&gt;9.9,1,0)</f>
        <v>0</v>
      </c>
      <c r="AJ131" s="135">
        <f>Table2[[#This Row],[Column3]]*Table2[[#This Row],[Coating defect survey2]]</f>
        <v>0</v>
      </c>
      <c r="AK131" s="170">
        <v>19.493670000000002</v>
      </c>
    </row>
    <row r="132" spans="1:37" s="100" customFormat="1">
      <c r="A132" s="128">
        <v>2</v>
      </c>
      <c r="B132" s="129" t="s">
        <v>620</v>
      </c>
      <c r="C132" s="96" t="str">
        <f>RIGHT(Table2[[#This Row],[Column1]],LEN(Table2[[#This Row],[Column1]])-2)</f>
        <v>6611202</v>
      </c>
      <c r="D132" s="97"/>
      <c r="E132" s="130"/>
      <c r="F132" s="130">
        <v>2000</v>
      </c>
      <c r="G132" s="130">
        <f>2013-Table2[[#This Row],[Startup Year]]</f>
        <v>13</v>
      </c>
      <c r="H132" s="130" t="s">
        <v>101</v>
      </c>
      <c r="I132" s="130" t="s">
        <v>108</v>
      </c>
      <c r="J132" s="130" t="s">
        <v>113</v>
      </c>
      <c r="K132" s="98">
        <v>0</v>
      </c>
      <c r="L132" s="130" t="s">
        <v>105</v>
      </c>
      <c r="M132" s="130" t="s">
        <v>105</v>
      </c>
      <c r="N132" s="130" t="s">
        <v>105</v>
      </c>
      <c r="O132" s="130" t="s">
        <v>143</v>
      </c>
      <c r="P132" s="130" t="s">
        <v>105</v>
      </c>
      <c r="Q132" s="130" t="s">
        <v>66</v>
      </c>
      <c r="R132" s="130" t="s">
        <v>72</v>
      </c>
      <c r="S13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2" s="131">
        <v>19.493670000000002</v>
      </c>
      <c r="U132" s="130"/>
      <c r="V132" s="131">
        <f>VLOOKUP(H132,'Ext. Pa'!$B$3:$C$77,2,FALSE)</f>
        <v>1</v>
      </c>
      <c r="W132" s="130">
        <f>VLOOKUP(I132,'Ext. Pa'!$B$3:$C$77,2,FALSE)</f>
        <v>1</v>
      </c>
      <c r="X132" s="130">
        <f>VLOOKUP(J132,'Ext. Pa'!$B$3:$C$77,2,FALSE)</f>
        <v>4</v>
      </c>
      <c r="Y132" s="130">
        <f>VLOOKUP(K132,'Ext. Pa'!$B$3:$C$77,2,FALSE)</f>
        <v>0</v>
      </c>
      <c r="Z132" s="130">
        <f>VLOOKUP(L132,'Ext. Pa'!$B$3:$C$77,2,FALSE)</f>
        <v>5</v>
      </c>
      <c r="AA132" s="130">
        <f>VLOOKUP(M132,'Ext. Pa'!$B$3:$C$77,2,FALSE)</f>
        <v>5</v>
      </c>
      <c r="AB132" s="130">
        <f>VLOOKUP(N132,'Ext. Pa'!$B$3:$C$77,2,FALSE)</f>
        <v>5</v>
      </c>
      <c r="AC132" s="130">
        <f>VLOOKUP(O132,'Ext. Pa'!$B$3:$C$77,2,FALSE)</f>
        <v>1</v>
      </c>
      <c r="AD132" s="130">
        <f>VLOOKUP(P132,'Ext. Pa'!$B$3:$C$77,2,FALSE)</f>
        <v>5</v>
      </c>
      <c r="AE132" s="130">
        <f>VLOOKUP(Q132,'Ext. Pa'!$B$3:$C$77,2,FALSE)</f>
        <v>6</v>
      </c>
      <c r="AF132" s="132">
        <f t="shared" si="9"/>
        <v>3.25</v>
      </c>
      <c r="AG132" s="134">
        <f>Table2[[#This Row],[Coating defect survey10]]</f>
        <v>1</v>
      </c>
      <c r="AH132" s="134">
        <f>Table2[[#This Row],[CP Level within NACE Criteria4]]</f>
        <v>1</v>
      </c>
      <c r="AI132" s="135">
        <f>IF(Table2[[#This Row],[CP level]]&gt;9.9,1,0)</f>
        <v>0</v>
      </c>
      <c r="AJ132" s="135">
        <f>Table2[[#This Row],[Column3]]*Table2[[#This Row],[Coating defect survey2]]</f>
        <v>0</v>
      </c>
      <c r="AK132" s="170">
        <v>19.493670000000002</v>
      </c>
    </row>
    <row r="133" spans="1:37" s="100" customFormat="1">
      <c r="A133" s="128">
        <v>2</v>
      </c>
      <c r="B133" s="129" t="s">
        <v>655</v>
      </c>
      <c r="C133" s="96" t="str">
        <f>RIGHT(Table2[[#This Row],[Column1]],LEN(Table2[[#This Row],[Column1]])-2)</f>
        <v>661120201</v>
      </c>
      <c r="D133" s="97" t="s">
        <v>656</v>
      </c>
      <c r="E133" s="130"/>
      <c r="F133" s="130">
        <v>2000</v>
      </c>
      <c r="G133" s="130">
        <f>2013-Table2[[#This Row],[Startup Year]]</f>
        <v>13</v>
      </c>
      <c r="H133" s="130" t="s">
        <v>101</v>
      </c>
      <c r="I133" s="130" t="s">
        <v>108</v>
      </c>
      <c r="J133" s="130" t="s">
        <v>113</v>
      </c>
      <c r="K133" s="98">
        <v>0</v>
      </c>
      <c r="L133" s="130" t="s">
        <v>105</v>
      </c>
      <c r="M133" s="130" t="s">
        <v>105</v>
      </c>
      <c r="N133" s="130" t="s">
        <v>105</v>
      </c>
      <c r="O133" s="130" t="s">
        <v>143</v>
      </c>
      <c r="P133" s="130" t="s">
        <v>105</v>
      </c>
      <c r="Q133" s="130" t="s">
        <v>66</v>
      </c>
      <c r="R133" s="130" t="s">
        <v>72</v>
      </c>
      <c r="S13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3" s="131">
        <v>19.493670000000002</v>
      </c>
      <c r="U133" s="130"/>
      <c r="V133" s="131">
        <f>VLOOKUP(H133,'Ext. Pa'!$B$3:$C$77,2,FALSE)</f>
        <v>1</v>
      </c>
      <c r="W133" s="130">
        <f>VLOOKUP(I133,'Ext. Pa'!$B$3:$C$77,2,FALSE)</f>
        <v>1</v>
      </c>
      <c r="X133" s="130">
        <f>VLOOKUP(J133,'Ext. Pa'!$B$3:$C$77,2,FALSE)</f>
        <v>4</v>
      </c>
      <c r="Y133" s="130">
        <f>VLOOKUP(K133,'Ext. Pa'!$B$3:$C$77,2,FALSE)</f>
        <v>0</v>
      </c>
      <c r="Z133" s="130">
        <f>VLOOKUP(L133,'Ext. Pa'!$B$3:$C$77,2,FALSE)</f>
        <v>5</v>
      </c>
      <c r="AA133" s="130">
        <f>VLOOKUP(M133,'Ext. Pa'!$B$3:$C$77,2,FALSE)</f>
        <v>5</v>
      </c>
      <c r="AB133" s="130">
        <f>VLOOKUP(N133,'Ext. Pa'!$B$3:$C$77,2,FALSE)</f>
        <v>5</v>
      </c>
      <c r="AC133" s="130">
        <f>VLOOKUP(O133,'Ext. Pa'!$B$3:$C$77,2,FALSE)</f>
        <v>1</v>
      </c>
      <c r="AD133" s="130">
        <f>VLOOKUP(P133,'Ext. Pa'!$B$3:$C$77,2,FALSE)</f>
        <v>5</v>
      </c>
      <c r="AE133" s="130">
        <f>VLOOKUP(Q133,'Ext. Pa'!$B$3:$C$77,2,FALSE)</f>
        <v>6</v>
      </c>
      <c r="AF133" s="132">
        <f t="shared" si="9"/>
        <v>3.25</v>
      </c>
      <c r="AG133" s="134">
        <f>Table2[[#This Row],[Coating defect survey10]]</f>
        <v>1</v>
      </c>
      <c r="AH133" s="134">
        <f>Table2[[#This Row],[CP Level within NACE Criteria4]]</f>
        <v>1</v>
      </c>
      <c r="AI133" s="135">
        <f>IF(Table2[[#This Row],[CP level]]&gt;9.9,1,0)</f>
        <v>0</v>
      </c>
      <c r="AJ133" s="135">
        <f>Table2[[#This Row],[Column3]]*Table2[[#This Row],[Coating defect survey2]]</f>
        <v>0</v>
      </c>
      <c r="AK133" s="170">
        <v>19.493670000000002</v>
      </c>
    </row>
    <row r="134" spans="1:37" s="100" customFormat="1">
      <c r="A134" s="179">
        <v>2</v>
      </c>
      <c r="B134" s="180" t="s">
        <v>719</v>
      </c>
      <c r="C134" s="96" t="str">
        <f>RIGHT(Table2[[#This Row],[Column1]],LEN(Table2[[#This Row],[Column1]])-2)</f>
        <v>661120110</v>
      </c>
      <c r="D134" s="182" t="s">
        <v>720</v>
      </c>
      <c r="E134" s="183"/>
      <c r="F134" s="183">
        <v>2000</v>
      </c>
      <c r="G134" s="183">
        <f>2013-Table2[[#This Row],[Startup Year]]</f>
        <v>13</v>
      </c>
      <c r="H134" s="183" t="s">
        <v>101</v>
      </c>
      <c r="I134" s="183" t="s">
        <v>108</v>
      </c>
      <c r="J134" s="183" t="s">
        <v>113</v>
      </c>
      <c r="K134" s="98">
        <v>0</v>
      </c>
      <c r="L134" s="183" t="s">
        <v>105</v>
      </c>
      <c r="M134" s="183" t="s">
        <v>105</v>
      </c>
      <c r="N134" s="183" t="s">
        <v>105</v>
      </c>
      <c r="O134" s="183" t="s">
        <v>105</v>
      </c>
      <c r="P134" s="183" t="s">
        <v>105</v>
      </c>
      <c r="Q134" s="183" t="s">
        <v>66</v>
      </c>
      <c r="R134" s="183" t="s">
        <v>72</v>
      </c>
      <c r="S134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4" s="184">
        <v>19.493670000000002</v>
      </c>
      <c r="U134" s="183"/>
      <c r="V134" s="184">
        <f>VLOOKUP(H134,'Ext. Pa'!$B$3:$C$77,2,FALSE)</f>
        <v>1</v>
      </c>
      <c r="W134" s="183">
        <f>VLOOKUP(I134,'Ext. Pa'!$B$3:$C$77,2,FALSE)</f>
        <v>1</v>
      </c>
      <c r="X134" s="183">
        <f>VLOOKUP(J134,'Ext. Pa'!$B$3:$C$77,2,FALSE)</f>
        <v>4</v>
      </c>
      <c r="Y134" s="183">
        <f>VLOOKUP(K134,'Ext. Pa'!$B$3:$C$77,2,FALSE)</f>
        <v>0</v>
      </c>
      <c r="Z134" s="183">
        <f>VLOOKUP(L134,'Ext. Pa'!$B$3:$C$77,2,FALSE)</f>
        <v>5</v>
      </c>
      <c r="AA134" s="183">
        <f>VLOOKUP(M134,'Ext. Pa'!$B$3:$C$77,2,FALSE)</f>
        <v>5</v>
      </c>
      <c r="AB134" s="183">
        <f>VLOOKUP(N134,'Ext. Pa'!$B$3:$C$77,2,FALSE)</f>
        <v>5</v>
      </c>
      <c r="AC134" s="183">
        <f>VLOOKUP(O134,'Ext. Pa'!$B$3:$C$77,2,FALSE)</f>
        <v>5</v>
      </c>
      <c r="AD134" s="183">
        <f>VLOOKUP(P134,'Ext. Pa'!$B$3:$C$77,2,FALSE)</f>
        <v>5</v>
      </c>
      <c r="AE134" s="183">
        <f>VLOOKUP(Q134,'Ext. Pa'!$B$3:$C$77,2,FALSE)</f>
        <v>6</v>
      </c>
      <c r="AF134" s="185">
        <f>IF(G134&lt;40,(G134)/4,40)</f>
        <v>3.25</v>
      </c>
      <c r="AG134" s="134">
        <f>Table2[[#This Row],[Coating defect survey10]]</f>
        <v>5</v>
      </c>
      <c r="AH134" s="134">
        <f>Table2[[#This Row],[CP Level within NACE Criteria4]]</f>
        <v>1</v>
      </c>
      <c r="AI134" s="135">
        <f>IF(Table2[[#This Row],[CP level]]&gt;9.9,1,0)</f>
        <v>0</v>
      </c>
      <c r="AJ134" s="135">
        <f>Table2[[#This Row],[Column3]]*Table2[[#This Row],[Coating defect survey2]]</f>
        <v>0</v>
      </c>
      <c r="AK134" s="170">
        <v>19.493670000000002</v>
      </c>
    </row>
    <row r="135" spans="1:37" s="100" customFormat="1">
      <c r="A135" s="128">
        <v>2</v>
      </c>
      <c r="B135" s="129" t="s">
        <v>657</v>
      </c>
      <c r="C135" s="96" t="str">
        <f>RIGHT(Table2[[#This Row],[Column1]],LEN(Table2[[#This Row],[Column1]])-2)</f>
        <v>661120202</v>
      </c>
      <c r="D135" s="97" t="s">
        <v>658</v>
      </c>
      <c r="E135" s="130"/>
      <c r="F135" s="130">
        <v>2000</v>
      </c>
      <c r="G135" s="130">
        <f>2013-Table2[[#This Row],[Startup Year]]</f>
        <v>13</v>
      </c>
      <c r="H135" s="130" t="s">
        <v>101</v>
      </c>
      <c r="I135" s="130" t="s">
        <v>108</v>
      </c>
      <c r="J135" s="130" t="s">
        <v>113</v>
      </c>
      <c r="K135" s="98">
        <v>0</v>
      </c>
      <c r="L135" s="130" t="s">
        <v>105</v>
      </c>
      <c r="M135" s="130" t="s">
        <v>105</v>
      </c>
      <c r="N135" s="130" t="s">
        <v>105</v>
      </c>
      <c r="O135" s="130" t="s">
        <v>143</v>
      </c>
      <c r="P135" s="130" t="s">
        <v>105</v>
      </c>
      <c r="Q135" s="130" t="s">
        <v>66</v>
      </c>
      <c r="R135" s="130" t="s">
        <v>72</v>
      </c>
      <c r="S13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5" s="131">
        <v>19.493670000000002</v>
      </c>
      <c r="U135" s="130"/>
      <c r="V135" s="131">
        <f>VLOOKUP(H135,'Ext. Pa'!$B$3:$C$77,2,FALSE)</f>
        <v>1</v>
      </c>
      <c r="W135" s="130">
        <f>VLOOKUP(I135,'Ext. Pa'!$B$3:$C$77,2,FALSE)</f>
        <v>1</v>
      </c>
      <c r="X135" s="130">
        <f>VLOOKUP(J135,'Ext. Pa'!$B$3:$C$77,2,FALSE)</f>
        <v>4</v>
      </c>
      <c r="Y135" s="130">
        <f>VLOOKUP(K135,'Ext. Pa'!$B$3:$C$77,2,FALSE)</f>
        <v>0</v>
      </c>
      <c r="Z135" s="130">
        <f>VLOOKUP(L135,'Ext. Pa'!$B$3:$C$77,2,FALSE)</f>
        <v>5</v>
      </c>
      <c r="AA135" s="130">
        <f>VLOOKUP(M135,'Ext. Pa'!$B$3:$C$77,2,FALSE)</f>
        <v>5</v>
      </c>
      <c r="AB135" s="130">
        <f>VLOOKUP(N135,'Ext. Pa'!$B$3:$C$77,2,FALSE)</f>
        <v>5</v>
      </c>
      <c r="AC135" s="130">
        <f>VLOOKUP(O135,'Ext. Pa'!$B$3:$C$77,2,FALSE)</f>
        <v>1</v>
      </c>
      <c r="AD135" s="130">
        <f>VLOOKUP(P135,'Ext. Pa'!$B$3:$C$77,2,FALSE)</f>
        <v>5</v>
      </c>
      <c r="AE135" s="130">
        <f>VLOOKUP(Q135,'Ext. Pa'!$B$3:$C$77,2,FALSE)</f>
        <v>6</v>
      </c>
      <c r="AF135" s="132">
        <f t="shared" si="9"/>
        <v>3.25</v>
      </c>
      <c r="AG135" s="134">
        <f>Table2[[#This Row],[Coating defect survey10]]</f>
        <v>1</v>
      </c>
      <c r="AH135" s="134">
        <f>Table2[[#This Row],[CP Level within NACE Criteria4]]</f>
        <v>1</v>
      </c>
      <c r="AI135" s="135">
        <f>IF(Table2[[#This Row],[CP level]]&gt;9.9,1,0)</f>
        <v>0</v>
      </c>
      <c r="AJ135" s="135">
        <f>Table2[[#This Row],[Column3]]*Table2[[#This Row],[Coating defect survey2]]</f>
        <v>0</v>
      </c>
      <c r="AK135" s="170">
        <v>19.493670000000002</v>
      </c>
    </row>
    <row r="136" spans="1:37" s="100" customFormat="1">
      <c r="A136" s="128">
        <v>2</v>
      </c>
      <c r="B136" s="129" t="s">
        <v>401</v>
      </c>
      <c r="C136" s="96" t="str">
        <f>RIGHT(Table2[[#This Row],[Column1]],LEN(Table2[[#This Row],[Column1]])-2)</f>
        <v>661120401</v>
      </c>
      <c r="D136" s="97" t="s">
        <v>724</v>
      </c>
      <c r="E136" s="130"/>
      <c r="F136" s="130">
        <v>2000</v>
      </c>
      <c r="G136" s="130">
        <f>2013-Table2[[#This Row],[Startup Year]]</f>
        <v>13</v>
      </c>
      <c r="H136" s="130" t="s">
        <v>101</v>
      </c>
      <c r="I136" s="130" t="s">
        <v>108</v>
      </c>
      <c r="J136" s="130" t="s">
        <v>113</v>
      </c>
      <c r="K136" s="98">
        <v>0</v>
      </c>
      <c r="L136" s="130" t="s">
        <v>105</v>
      </c>
      <c r="M136" s="130" t="s">
        <v>105</v>
      </c>
      <c r="N136" s="130" t="s">
        <v>105</v>
      </c>
      <c r="O136" s="130" t="s">
        <v>143</v>
      </c>
      <c r="P136" s="130" t="s">
        <v>105</v>
      </c>
      <c r="Q136" s="130" t="s">
        <v>66</v>
      </c>
      <c r="R136" s="130" t="s">
        <v>72</v>
      </c>
      <c r="S13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6" s="131">
        <v>19.493670000000002</v>
      </c>
      <c r="U136" s="130"/>
      <c r="V136" s="131">
        <f>VLOOKUP(H136,'Ext. Pa'!$B$3:$C$77,2,FALSE)</f>
        <v>1</v>
      </c>
      <c r="W136" s="130">
        <f>VLOOKUP(I136,'Ext. Pa'!$B$3:$C$77,2,FALSE)</f>
        <v>1</v>
      </c>
      <c r="X136" s="130">
        <f>VLOOKUP(J136,'Ext. Pa'!$B$3:$C$77,2,FALSE)</f>
        <v>4</v>
      </c>
      <c r="Y136" s="130">
        <f>VLOOKUP(K136,'Ext. Pa'!$B$3:$C$77,2,FALSE)</f>
        <v>0</v>
      </c>
      <c r="Z136" s="130">
        <f>VLOOKUP(L136,'Ext. Pa'!$B$3:$C$77,2,FALSE)</f>
        <v>5</v>
      </c>
      <c r="AA136" s="130">
        <f>VLOOKUP(M136,'Ext. Pa'!$B$3:$C$77,2,FALSE)</f>
        <v>5</v>
      </c>
      <c r="AB136" s="130">
        <f>VLOOKUP(N136,'Ext. Pa'!$B$3:$C$77,2,FALSE)</f>
        <v>5</v>
      </c>
      <c r="AC136" s="130">
        <f>VLOOKUP(O136,'Ext. Pa'!$B$3:$C$77,2,FALSE)</f>
        <v>1</v>
      </c>
      <c r="AD136" s="130">
        <f>VLOOKUP(P136,'Ext. Pa'!$B$3:$C$77,2,FALSE)</f>
        <v>5</v>
      </c>
      <c r="AE136" s="130">
        <f>VLOOKUP(Q136,'Ext. Pa'!$B$3:$C$77,2,FALSE)</f>
        <v>6</v>
      </c>
      <c r="AF136" s="132">
        <f t="shared" si="9"/>
        <v>3.25</v>
      </c>
      <c r="AG136" s="134">
        <f>Table2[[#This Row],[Coating defect survey10]]</f>
        <v>1</v>
      </c>
      <c r="AH136" s="134">
        <f>Table2[[#This Row],[CP Level within NACE Criteria4]]</f>
        <v>1</v>
      </c>
      <c r="AI136" s="135">
        <f>IF(Table2[[#This Row],[CP level]]&gt;9.9,1,0)</f>
        <v>0</v>
      </c>
      <c r="AJ136" s="135">
        <f>Table2[[#This Row],[Column3]]*Table2[[#This Row],[Coating defect survey2]]</f>
        <v>0</v>
      </c>
      <c r="AK136" s="170">
        <v>19.493670000000002</v>
      </c>
    </row>
    <row r="137" spans="1:37" s="100" customFormat="1">
      <c r="A137" s="94">
        <v>2</v>
      </c>
      <c r="B137" s="95" t="s">
        <v>391</v>
      </c>
      <c r="C137" s="96" t="str">
        <f>RIGHT(Table2[[#This Row],[Column1]],LEN(Table2[[#This Row],[Column1]])-2)</f>
        <v>6611205</v>
      </c>
      <c r="D137" s="97" t="s">
        <v>266</v>
      </c>
      <c r="E137" s="98"/>
      <c r="F137" s="98">
        <v>2011</v>
      </c>
      <c r="G137" s="98">
        <f>2013-Table2[[#This Row],[Startup Year]]</f>
        <v>2</v>
      </c>
      <c r="H137" s="98" t="s">
        <v>101</v>
      </c>
      <c r="I137" s="98" t="s">
        <v>108</v>
      </c>
      <c r="J137" s="98" t="s">
        <v>113</v>
      </c>
      <c r="K137" s="98">
        <v>0</v>
      </c>
      <c r="L137" s="98" t="s">
        <v>105</v>
      </c>
      <c r="M137" s="98" t="s">
        <v>129</v>
      </c>
      <c r="N137" s="98" t="s">
        <v>129</v>
      </c>
      <c r="O137" s="98" t="s">
        <v>105</v>
      </c>
      <c r="P137" s="98" t="s">
        <v>105</v>
      </c>
      <c r="Q137" s="98" t="s">
        <v>66</v>
      </c>
      <c r="R137" s="98" t="s">
        <v>72</v>
      </c>
      <c r="S13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16.0126582278481</v>
      </c>
      <c r="T137" s="98">
        <v>19.493670000000002</v>
      </c>
      <c r="U137" s="98"/>
      <c r="V137" s="98">
        <f>VLOOKUP(H137,'Ext. Pa'!$B$3:$C$77,2,FALSE)</f>
        <v>1</v>
      </c>
      <c r="W137" s="98">
        <f>VLOOKUP(I137,'Ext. Pa'!$B$3:$C$77,2,FALSE)</f>
        <v>1</v>
      </c>
      <c r="X137" s="98">
        <f>VLOOKUP(J137,'Ext. Pa'!$B$3:$C$77,2,FALSE)</f>
        <v>4</v>
      </c>
      <c r="Y137" s="98">
        <f>VLOOKUP(K137,'Ext. Pa'!$B$3:$C$77,2,FALSE)</f>
        <v>0</v>
      </c>
      <c r="Z137" s="98">
        <f>VLOOKUP(L137,'Ext. Pa'!$B$3:$C$77,2,FALSE)</f>
        <v>5</v>
      </c>
      <c r="AA137" s="98">
        <f>VLOOKUP(M137,'Ext. Pa'!$B$3:$C$77,2,FALSE)</f>
        <v>1</v>
      </c>
      <c r="AB137" s="98">
        <f>VLOOKUP(N137,'Ext. Pa'!$B$3:$C$77,2,FALSE)</f>
        <v>1</v>
      </c>
      <c r="AC137" s="98">
        <f>VLOOKUP(O137,'Ext. Pa'!$B$3:$C$77,2,FALSE)</f>
        <v>5</v>
      </c>
      <c r="AD137" s="98">
        <f>VLOOKUP(P137,'Ext. Pa'!$B$3:$C$77,2,FALSE)</f>
        <v>5</v>
      </c>
      <c r="AE137" s="98">
        <f>VLOOKUP(Q137,'Ext. Pa'!$B$3:$C$77,2,FALSE)</f>
        <v>6</v>
      </c>
      <c r="AF137" s="99">
        <f>IF(G137&lt;40,(G137)/4,40)</f>
        <v>0.5</v>
      </c>
      <c r="AG137" s="134">
        <f>Table2[[#This Row],[Coating defect survey10]]</f>
        <v>5</v>
      </c>
      <c r="AH137" s="134">
        <f>Table2[[#This Row],[CP Level within NACE Criteria4]]</f>
        <v>1</v>
      </c>
      <c r="AI137" s="135">
        <f>IF(Table2[[#This Row],[CP level]]&gt;9.9,1,0)</f>
        <v>0</v>
      </c>
      <c r="AJ137" s="135">
        <f>Table2[[#This Row],[Column3]]*Table2[[#This Row],[Coating defect survey2]]</f>
        <v>0</v>
      </c>
      <c r="AK137" s="170">
        <v>19.493670000000002</v>
      </c>
    </row>
    <row r="138" spans="1:37" s="100" customFormat="1">
      <c r="A138" s="128">
        <v>2</v>
      </c>
      <c r="B138" s="129" t="s">
        <v>659</v>
      </c>
      <c r="C138" s="96" t="str">
        <f>RIGHT(Table2[[#This Row],[Column1]],LEN(Table2[[#This Row],[Column1]])-2)</f>
        <v>661120501</v>
      </c>
      <c r="D138" s="97" t="s">
        <v>660</v>
      </c>
      <c r="E138" s="130"/>
      <c r="F138" s="130">
        <v>2000</v>
      </c>
      <c r="G138" s="130">
        <f>2013-Table2[[#This Row],[Startup Year]]</f>
        <v>13</v>
      </c>
      <c r="H138" s="130" t="s">
        <v>101</v>
      </c>
      <c r="I138" s="130" t="s">
        <v>108</v>
      </c>
      <c r="J138" s="130" t="s">
        <v>113</v>
      </c>
      <c r="K138" s="98">
        <v>0</v>
      </c>
      <c r="L138" s="130" t="s">
        <v>105</v>
      </c>
      <c r="M138" s="130" t="s">
        <v>105</v>
      </c>
      <c r="N138" s="130" t="s">
        <v>105</v>
      </c>
      <c r="O138" s="130" t="s">
        <v>143</v>
      </c>
      <c r="P138" s="130" t="s">
        <v>105</v>
      </c>
      <c r="Q138" s="130" t="s">
        <v>66</v>
      </c>
      <c r="R138" s="130" t="s">
        <v>72</v>
      </c>
      <c r="S13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8" s="131">
        <v>19.493670000000002</v>
      </c>
      <c r="U138" s="130"/>
      <c r="V138" s="131">
        <f>VLOOKUP(H138,'Ext. Pa'!$B$3:$C$77,2,FALSE)</f>
        <v>1</v>
      </c>
      <c r="W138" s="130">
        <f>VLOOKUP(I138,'Ext. Pa'!$B$3:$C$77,2,FALSE)</f>
        <v>1</v>
      </c>
      <c r="X138" s="130">
        <f>VLOOKUP(J138,'Ext. Pa'!$B$3:$C$77,2,FALSE)</f>
        <v>4</v>
      </c>
      <c r="Y138" s="130">
        <f>VLOOKUP(K138,'Ext. Pa'!$B$3:$C$77,2,FALSE)</f>
        <v>0</v>
      </c>
      <c r="Z138" s="130">
        <f>VLOOKUP(L138,'Ext. Pa'!$B$3:$C$77,2,FALSE)</f>
        <v>5</v>
      </c>
      <c r="AA138" s="130">
        <f>VLOOKUP(M138,'Ext. Pa'!$B$3:$C$77,2,FALSE)</f>
        <v>5</v>
      </c>
      <c r="AB138" s="130">
        <f>VLOOKUP(N138,'Ext. Pa'!$B$3:$C$77,2,FALSE)</f>
        <v>5</v>
      </c>
      <c r="AC138" s="130">
        <f>VLOOKUP(O138,'Ext. Pa'!$B$3:$C$77,2,FALSE)</f>
        <v>1</v>
      </c>
      <c r="AD138" s="130">
        <f>VLOOKUP(P138,'Ext. Pa'!$B$3:$C$77,2,FALSE)</f>
        <v>5</v>
      </c>
      <c r="AE138" s="130">
        <f>VLOOKUP(Q138,'Ext. Pa'!$B$3:$C$77,2,FALSE)</f>
        <v>6</v>
      </c>
      <c r="AF138" s="132">
        <f t="shared" ref="AF138:AF144" si="10">IF(G138&lt;40,(G138)/4,40)</f>
        <v>3.25</v>
      </c>
      <c r="AG138" s="134">
        <f>Table2[[#This Row],[Coating defect survey10]]</f>
        <v>1</v>
      </c>
      <c r="AH138" s="134">
        <f>Table2[[#This Row],[CP Level within NACE Criteria4]]</f>
        <v>1</v>
      </c>
      <c r="AI138" s="135">
        <f>IF(Table2[[#This Row],[CP level]]&gt;9.9,1,0)</f>
        <v>0</v>
      </c>
      <c r="AJ138" s="135">
        <f>Table2[[#This Row],[Column3]]*Table2[[#This Row],[Coating defect survey2]]</f>
        <v>0</v>
      </c>
      <c r="AK138" s="170">
        <v>19.493670000000002</v>
      </c>
    </row>
    <row r="139" spans="1:37" s="100" customFormat="1">
      <c r="A139" s="128">
        <v>2</v>
      </c>
      <c r="B139" s="129" t="s">
        <v>661</v>
      </c>
      <c r="C139" s="96" t="str">
        <f>RIGHT(Table2[[#This Row],[Column1]],LEN(Table2[[#This Row],[Column1]])-2)</f>
        <v>661120502</v>
      </c>
      <c r="D139" s="97" t="s">
        <v>662</v>
      </c>
      <c r="E139" s="130"/>
      <c r="F139" s="130">
        <v>2000</v>
      </c>
      <c r="G139" s="130">
        <f>2013-Table2[[#This Row],[Startup Year]]</f>
        <v>13</v>
      </c>
      <c r="H139" s="130" t="s">
        <v>101</v>
      </c>
      <c r="I139" s="130" t="s">
        <v>108</v>
      </c>
      <c r="J139" s="130" t="s">
        <v>113</v>
      </c>
      <c r="K139" s="98">
        <v>0</v>
      </c>
      <c r="L139" s="130" t="s">
        <v>105</v>
      </c>
      <c r="M139" s="130" t="s">
        <v>105</v>
      </c>
      <c r="N139" s="130" t="s">
        <v>105</v>
      </c>
      <c r="O139" s="130" t="s">
        <v>143</v>
      </c>
      <c r="P139" s="130" t="s">
        <v>105</v>
      </c>
      <c r="Q139" s="130" t="s">
        <v>66</v>
      </c>
      <c r="R139" s="130" t="s">
        <v>72</v>
      </c>
      <c r="S13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39" s="131">
        <v>19.493670000000002</v>
      </c>
      <c r="U139" s="130"/>
      <c r="V139" s="131">
        <f>VLOOKUP(H139,'Ext. Pa'!$B$3:$C$77,2,FALSE)</f>
        <v>1</v>
      </c>
      <c r="W139" s="130">
        <f>VLOOKUP(I139,'Ext. Pa'!$B$3:$C$77,2,FALSE)</f>
        <v>1</v>
      </c>
      <c r="X139" s="130">
        <f>VLOOKUP(J139,'Ext. Pa'!$B$3:$C$77,2,FALSE)</f>
        <v>4</v>
      </c>
      <c r="Y139" s="130">
        <f>VLOOKUP(K139,'Ext. Pa'!$B$3:$C$77,2,FALSE)</f>
        <v>0</v>
      </c>
      <c r="Z139" s="130">
        <f>VLOOKUP(L139,'Ext. Pa'!$B$3:$C$77,2,FALSE)</f>
        <v>5</v>
      </c>
      <c r="AA139" s="130">
        <f>VLOOKUP(M139,'Ext. Pa'!$B$3:$C$77,2,FALSE)</f>
        <v>5</v>
      </c>
      <c r="AB139" s="130">
        <f>VLOOKUP(N139,'Ext. Pa'!$B$3:$C$77,2,FALSE)</f>
        <v>5</v>
      </c>
      <c r="AC139" s="130">
        <f>VLOOKUP(O139,'Ext. Pa'!$B$3:$C$77,2,FALSE)</f>
        <v>1</v>
      </c>
      <c r="AD139" s="130">
        <f>VLOOKUP(P139,'Ext. Pa'!$B$3:$C$77,2,FALSE)</f>
        <v>5</v>
      </c>
      <c r="AE139" s="130">
        <f>VLOOKUP(Q139,'Ext. Pa'!$B$3:$C$77,2,FALSE)</f>
        <v>6</v>
      </c>
      <c r="AF139" s="132">
        <f t="shared" si="10"/>
        <v>3.25</v>
      </c>
      <c r="AG139" s="134">
        <f>Table2[[#This Row],[Coating defect survey10]]</f>
        <v>1</v>
      </c>
      <c r="AH139" s="134">
        <f>Table2[[#This Row],[CP Level within NACE Criteria4]]</f>
        <v>1</v>
      </c>
      <c r="AI139" s="135">
        <f>IF(Table2[[#This Row],[CP level]]&gt;9.9,1,0)</f>
        <v>0</v>
      </c>
      <c r="AJ139" s="135">
        <f>Table2[[#This Row],[Column3]]*Table2[[#This Row],[Coating defect survey2]]</f>
        <v>0</v>
      </c>
      <c r="AK139" s="170">
        <v>19.493670000000002</v>
      </c>
    </row>
    <row r="140" spans="1:37" s="100" customFormat="1">
      <c r="A140" s="179">
        <v>2</v>
      </c>
      <c r="B140" s="180" t="s">
        <v>721</v>
      </c>
      <c r="C140" s="96" t="str">
        <f>RIGHT(Table2[[#This Row],[Column1]],LEN(Table2[[#This Row],[Column1]])-2)</f>
        <v>6611206</v>
      </c>
      <c r="D140" s="182" t="s">
        <v>722</v>
      </c>
      <c r="E140" s="183"/>
      <c r="F140" s="183">
        <v>2000</v>
      </c>
      <c r="G140" s="183">
        <f>2013-Table2[[#This Row],[Startup Year]]</f>
        <v>13</v>
      </c>
      <c r="H140" s="183" t="s">
        <v>101</v>
      </c>
      <c r="I140" s="183" t="s">
        <v>108</v>
      </c>
      <c r="J140" s="183" t="s">
        <v>113</v>
      </c>
      <c r="K140" s="98">
        <v>0</v>
      </c>
      <c r="L140" s="183" t="s">
        <v>105</v>
      </c>
      <c r="M140" s="183" t="s">
        <v>105</v>
      </c>
      <c r="N140" s="183" t="s">
        <v>105</v>
      </c>
      <c r="O140" s="183" t="s">
        <v>105</v>
      </c>
      <c r="P140" s="183" t="s">
        <v>105</v>
      </c>
      <c r="Q140" s="183" t="s">
        <v>66</v>
      </c>
      <c r="R140" s="183" t="s">
        <v>72</v>
      </c>
      <c r="S140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0" s="184">
        <v>19.493670000000002</v>
      </c>
      <c r="U140" s="183"/>
      <c r="V140" s="184">
        <f>VLOOKUP(H140,'Ext. Pa'!$B$3:$C$77,2,FALSE)</f>
        <v>1</v>
      </c>
      <c r="W140" s="183">
        <f>VLOOKUP(I140,'Ext. Pa'!$B$3:$C$77,2,FALSE)</f>
        <v>1</v>
      </c>
      <c r="X140" s="183">
        <f>VLOOKUP(J140,'Ext. Pa'!$B$3:$C$77,2,FALSE)</f>
        <v>4</v>
      </c>
      <c r="Y140" s="183">
        <f>VLOOKUP(K140,'Ext. Pa'!$B$3:$C$77,2,FALSE)</f>
        <v>0</v>
      </c>
      <c r="Z140" s="183">
        <f>VLOOKUP(L140,'Ext. Pa'!$B$3:$C$77,2,FALSE)</f>
        <v>5</v>
      </c>
      <c r="AA140" s="183">
        <f>VLOOKUP(M140,'Ext. Pa'!$B$3:$C$77,2,FALSE)</f>
        <v>5</v>
      </c>
      <c r="AB140" s="183">
        <f>VLOOKUP(N140,'Ext. Pa'!$B$3:$C$77,2,FALSE)</f>
        <v>5</v>
      </c>
      <c r="AC140" s="183">
        <f>VLOOKUP(O140,'Ext. Pa'!$B$3:$C$77,2,FALSE)</f>
        <v>5</v>
      </c>
      <c r="AD140" s="183">
        <f>VLOOKUP(P140,'Ext. Pa'!$B$3:$C$77,2,FALSE)</f>
        <v>5</v>
      </c>
      <c r="AE140" s="183">
        <f>VLOOKUP(Q140,'Ext. Pa'!$B$3:$C$77,2,FALSE)</f>
        <v>6</v>
      </c>
      <c r="AF140" s="185">
        <f t="shared" si="10"/>
        <v>3.25</v>
      </c>
      <c r="AG140" s="134">
        <f>Table2[[#This Row],[Coating defect survey10]]</f>
        <v>5</v>
      </c>
      <c r="AH140" s="134">
        <f>Table2[[#This Row],[CP Level within NACE Criteria4]]</f>
        <v>1</v>
      </c>
      <c r="AI140" s="135">
        <f>IF(Table2[[#This Row],[CP level]]&gt;9.9,1,0)</f>
        <v>0</v>
      </c>
      <c r="AJ140" s="135">
        <f>Table2[[#This Row],[Column3]]*Table2[[#This Row],[Coating defect survey2]]</f>
        <v>0</v>
      </c>
      <c r="AK140" s="170">
        <v>19.493670000000002</v>
      </c>
    </row>
    <row r="141" spans="1:37" s="100" customFormat="1">
      <c r="A141" s="128">
        <v>2</v>
      </c>
      <c r="B141" s="129" t="s">
        <v>663</v>
      </c>
      <c r="C141" s="96" t="str">
        <f>RIGHT(Table2[[#This Row],[Column1]],LEN(Table2[[#This Row],[Column1]])-2)</f>
        <v>661200001</v>
      </c>
      <c r="D141" s="97" t="s">
        <v>664</v>
      </c>
      <c r="E141" s="130"/>
      <c r="F141" s="130">
        <v>2000</v>
      </c>
      <c r="G141" s="130">
        <f>2013-Table2[[#This Row],[Startup Year]]</f>
        <v>13</v>
      </c>
      <c r="H141" s="130" t="s">
        <v>101</v>
      </c>
      <c r="I141" s="130" t="s">
        <v>108</v>
      </c>
      <c r="J141" s="130" t="s">
        <v>113</v>
      </c>
      <c r="K141" s="98">
        <v>0</v>
      </c>
      <c r="L141" s="130" t="s">
        <v>105</v>
      </c>
      <c r="M141" s="130" t="s">
        <v>105</v>
      </c>
      <c r="N141" s="130" t="s">
        <v>105</v>
      </c>
      <c r="O141" s="130" t="s">
        <v>143</v>
      </c>
      <c r="P141" s="130" t="s">
        <v>105</v>
      </c>
      <c r="Q141" s="130" t="s">
        <v>66</v>
      </c>
      <c r="R141" s="130" t="s">
        <v>72</v>
      </c>
      <c r="S14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1" s="131">
        <v>19.493670000000002</v>
      </c>
      <c r="U141" s="130"/>
      <c r="V141" s="131">
        <f>VLOOKUP(H141,'Ext. Pa'!$B$3:$C$77,2,FALSE)</f>
        <v>1</v>
      </c>
      <c r="W141" s="130">
        <f>VLOOKUP(I141,'Ext. Pa'!$B$3:$C$77,2,FALSE)</f>
        <v>1</v>
      </c>
      <c r="X141" s="130">
        <f>VLOOKUP(J141,'Ext. Pa'!$B$3:$C$77,2,FALSE)</f>
        <v>4</v>
      </c>
      <c r="Y141" s="130">
        <f>VLOOKUP(K141,'Ext. Pa'!$B$3:$C$77,2,FALSE)</f>
        <v>0</v>
      </c>
      <c r="Z141" s="130">
        <f>VLOOKUP(L141,'Ext. Pa'!$B$3:$C$77,2,FALSE)</f>
        <v>5</v>
      </c>
      <c r="AA141" s="130">
        <f>VLOOKUP(M141,'Ext. Pa'!$B$3:$C$77,2,FALSE)</f>
        <v>5</v>
      </c>
      <c r="AB141" s="130">
        <f>VLOOKUP(N141,'Ext. Pa'!$B$3:$C$77,2,FALSE)</f>
        <v>5</v>
      </c>
      <c r="AC141" s="130">
        <f>VLOOKUP(O141,'Ext. Pa'!$B$3:$C$77,2,FALSE)</f>
        <v>1</v>
      </c>
      <c r="AD141" s="130">
        <f>VLOOKUP(P141,'Ext. Pa'!$B$3:$C$77,2,FALSE)</f>
        <v>5</v>
      </c>
      <c r="AE141" s="130">
        <f>VLOOKUP(Q141,'Ext. Pa'!$B$3:$C$77,2,FALSE)</f>
        <v>6</v>
      </c>
      <c r="AF141" s="132">
        <f t="shared" si="10"/>
        <v>3.25</v>
      </c>
      <c r="AG141" s="134">
        <f>Table2[[#This Row],[Coating defect survey10]]</f>
        <v>1</v>
      </c>
      <c r="AH141" s="134">
        <f>Table2[[#This Row],[CP Level within NACE Criteria4]]</f>
        <v>1</v>
      </c>
      <c r="AI141" s="135">
        <f>IF(Table2[[#This Row],[CP level]]&gt;9.9,1,0)</f>
        <v>0</v>
      </c>
      <c r="AJ141" s="135">
        <f>Table2[[#This Row],[Column3]]*Table2[[#This Row],[Coating defect survey2]]</f>
        <v>0</v>
      </c>
      <c r="AK141" s="170">
        <v>19.493670000000002</v>
      </c>
    </row>
    <row r="142" spans="1:37" s="100" customFormat="1">
      <c r="A142" s="128">
        <v>2</v>
      </c>
      <c r="B142" s="129" t="s">
        <v>663</v>
      </c>
      <c r="C142" s="96" t="str">
        <f>RIGHT(Table2[[#This Row],[Column1]],LEN(Table2[[#This Row],[Column1]])-2)</f>
        <v>661200001</v>
      </c>
      <c r="D142" s="97" t="s">
        <v>665</v>
      </c>
      <c r="E142" s="130"/>
      <c r="F142" s="130">
        <v>2000</v>
      </c>
      <c r="G142" s="130">
        <f>2013-Table2[[#This Row],[Startup Year]]</f>
        <v>13</v>
      </c>
      <c r="H142" s="130" t="s">
        <v>101</v>
      </c>
      <c r="I142" s="130" t="s">
        <v>108</v>
      </c>
      <c r="J142" s="130" t="s">
        <v>113</v>
      </c>
      <c r="K142" s="98">
        <v>0</v>
      </c>
      <c r="L142" s="130" t="s">
        <v>105</v>
      </c>
      <c r="M142" s="130" t="s">
        <v>105</v>
      </c>
      <c r="N142" s="130" t="s">
        <v>105</v>
      </c>
      <c r="O142" s="130" t="s">
        <v>143</v>
      </c>
      <c r="P142" s="130" t="s">
        <v>105</v>
      </c>
      <c r="Q142" s="130" t="s">
        <v>66</v>
      </c>
      <c r="R142" s="130" t="s">
        <v>72</v>
      </c>
      <c r="S14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2" s="131">
        <v>19.493670000000002</v>
      </c>
      <c r="U142" s="130"/>
      <c r="V142" s="131">
        <f>VLOOKUP(H142,'Ext. Pa'!$B$3:$C$77,2,FALSE)</f>
        <v>1</v>
      </c>
      <c r="W142" s="130">
        <f>VLOOKUP(I142,'Ext. Pa'!$B$3:$C$77,2,FALSE)</f>
        <v>1</v>
      </c>
      <c r="X142" s="130">
        <f>VLOOKUP(J142,'Ext. Pa'!$B$3:$C$77,2,FALSE)</f>
        <v>4</v>
      </c>
      <c r="Y142" s="130">
        <f>VLOOKUP(K142,'Ext. Pa'!$B$3:$C$77,2,FALSE)</f>
        <v>0</v>
      </c>
      <c r="Z142" s="130">
        <f>VLOOKUP(L142,'Ext. Pa'!$B$3:$C$77,2,FALSE)</f>
        <v>5</v>
      </c>
      <c r="AA142" s="130">
        <f>VLOOKUP(M142,'Ext. Pa'!$B$3:$C$77,2,FALSE)</f>
        <v>5</v>
      </c>
      <c r="AB142" s="130">
        <f>VLOOKUP(N142,'Ext. Pa'!$B$3:$C$77,2,FALSE)</f>
        <v>5</v>
      </c>
      <c r="AC142" s="130">
        <f>VLOOKUP(O142,'Ext. Pa'!$B$3:$C$77,2,FALSE)</f>
        <v>1</v>
      </c>
      <c r="AD142" s="130">
        <f>VLOOKUP(P142,'Ext. Pa'!$B$3:$C$77,2,FALSE)</f>
        <v>5</v>
      </c>
      <c r="AE142" s="130">
        <f>VLOOKUP(Q142,'Ext. Pa'!$B$3:$C$77,2,FALSE)</f>
        <v>6</v>
      </c>
      <c r="AF142" s="132">
        <f t="shared" si="10"/>
        <v>3.25</v>
      </c>
      <c r="AG142" s="134">
        <f>Table2[[#This Row],[Coating defect survey10]]</f>
        <v>1</v>
      </c>
      <c r="AH142" s="134">
        <f>Table2[[#This Row],[CP Level within NACE Criteria4]]</f>
        <v>1</v>
      </c>
      <c r="AI142" s="135">
        <f>IF(Table2[[#This Row],[CP level]]&gt;9.9,1,0)</f>
        <v>0</v>
      </c>
      <c r="AJ142" s="135">
        <f>Table2[[#This Row],[Column3]]*Table2[[#This Row],[Coating defect survey2]]</f>
        <v>0</v>
      </c>
      <c r="AK142" s="170">
        <v>19.493670000000002</v>
      </c>
    </row>
    <row r="143" spans="1:37" s="100" customFormat="1">
      <c r="A143" s="179">
        <v>2</v>
      </c>
      <c r="B143" s="180" t="s">
        <v>375</v>
      </c>
      <c r="C143" s="96" t="str">
        <f>RIGHT(Table2[[#This Row],[Column1]],LEN(Table2[[#This Row],[Column1]])-2)</f>
        <v>6613</v>
      </c>
      <c r="D143" s="182" t="s">
        <v>250</v>
      </c>
      <c r="E143" s="183"/>
      <c r="F143" s="183">
        <v>2000</v>
      </c>
      <c r="G143" s="183">
        <f>2013-Table2[[#This Row],[Startup Year]]</f>
        <v>13</v>
      </c>
      <c r="H143" s="183" t="s">
        <v>101</v>
      </c>
      <c r="I143" s="183" t="s">
        <v>108</v>
      </c>
      <c r="J143" s="183" t="s">
        <v>113</v>
      </c>
      <c r="K143" s="98">
        <v>0</v>
      </c>
      <c r="L143" s="183" t="s">
        <v>105</v>
      </c>
      <c r="M143" s="183" t="s">
        <v>105</v>
      </c>
      <c r="N143" s="183" t="s">
        <v>105</v>
      </c>
      <c r="O143" s="183" t="s">
        <v>105</v>
      </c>
      <c r="P143" s="183" t="s">
        <v>105</v>
      </c>
      <c r="Q143" s="183" t="s">
        <v>66</v>
      </c>
      <c r="R143" s="183" t="s">
        <v>72</v>
      </c>
      <c r="S143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3" s="184">
        <v>19.493670000000002</v>
      </c>
      <c r="U143" s="183"/>
      <c r="V143" s="184">
        <f>VLOOKUP(H143,'Ext. Pa'!$B$3:$C$77,2,FALSE)</f>
        <v>1</v>
      </c>
      <c r="W143" s="183">
        <f>VLOOKUP(I143,'Ext. Pa'!$B$3:$C$77,2,FALSE)</f>
        <v>1</v>
      </c>
      <c r="X143" s="183">
        <f>VLOOKUP(J143,'Ext. Pa'!$B$3:$C$77,2,FALSE)</f>
        <v>4</v>
      </c>
      <c r="Y143" s="183">
        <f>VLOOKUP(K143,'Ext. Pa'!$B$3:$C$77,2,FALSE)</f>
        <v>0</v>
      </c>
      <c r="Z143" s="183">
        <f>VLOOKUP(L143,'Ext. Pa'!$B$3:$C$77,2,FALSE)</f>
        <v>5</v>
      </c>
      <c r="AA143" s="183">
        <f>VLOOKUP(M143,'Ext. Pa'!$B$3:$C$77,2,FALSE)</f>
        <v>5</v>
      </c>
      <c r="AB143" s="183">
        <f>VLOOKUP(N143,'Ext. Pa'!$B$3:$C$77,2,FALSE)</f>
        <v>5</v>
      </c>
      <c r="AC143" s="183">
        <f>VLOOKUP(O143,'Ext. Pa'!$B$3:$C$77,2,FALSE)</f>
        <v>5</v>
      </c>
      <c r="AD143" s="183">
        <f>VLOOKUP(P143,'Ext. Pa'!$B$3:$C$77,2,FALSE)</f>
        <v>5</v>
      </c>
      <c r="AE143" s="183">
        <f>VLOOKUP(Q143,'Ext. Pa'!$B$3:$C$77,2,FALSE)</f>
        <v>6</v>
      </c>
      <c r="AF143" s="185">
        <f t="shared" si="10"/>
        <v>3.25</v>
      </c>
      <c r="AG143" s="134">
        <f>Table2[[#This Row],[Coating defect survey10]]</f>
        <v>5</v>
      </c>
      <c r="AH143" s="134">
        <f>Table2[[#This Row],[CP Level within NACE Criteria4]]</f>
        <v>1</v>
      </c>
      <c r="AI143" s="135">
        <f>IF(Table2[[#This Row],[CP level]]&gt;9.9,1,0)</f>
        <v>0</v>
      </c>
      <c r="AJ143" s="135">
        <f>Table2[[#This Row],[Column3]]*Table2[[#This Row],[Coating defect survey2]]</f>
        <v>0</v>
      </c>
      <c r="AK143" s="170">
        <v>19.493670000000002</v>
      </c>
    </row>
    <row r="144" spans="1:37" s="100" customFormat="1">
      <c r="A144" s="179">
        <v>2</v>
      </c>
      <c r="B144" s="180" t="s">
        <v>715</v>
      </c>
      <c r="C144" s="96" t="str">
        <f>RIGHT(Table2[[#This Row],[Column1]],LEN(Table2[[#This Row],[Column1]])-2)</f>
        <v>6730101</v>
      </c>
      <c r="D144" s="182" t="s">
        <v>716</v>
      </c>
      <c r="E144" s="183"/>
      <c r="F144" s="183">
        <v>2000</v>
      </c>
      <c r="G144" s="183">
        <f>2013-Table2[[#This Row],[Startup Year]]</f>
        <v>13</v>
      </c>
      <c r="H144" s="183" t="s">
        <v>101</v>
      </c>
      <c r="I144" s="183" t="s">
        <v>108</v>
      </c>
      <c r="J144" s="183" t="s">
        <v>113</v>
      </c>
      <c r="K144" s="98">
        <v>0</v>
      </c>
      <c r="L144" s="183" t="s">
        <v>105</v>
      </c>
      <c r="M144" s="183" t="s">
        <v>105</v>
      </c>
      <c r="N144" s="183" t="s">
        <v>105</v>
      </c>
      <c r="O144" s="183" t="s">
        <v>105</v>
      </c>
      <c r="P144" s="183" t="s">
        <v>105</v>
      </c>
      <c r="Q144" s="183" t="s">
        <v>66</v>
      </c>
      <c r="R144" s="183" t="s">
        <v>72</v>
      </c>
      <c r="S144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4" s="184">
        <v>19.493670000000002</v>
      </c>
      <c r="U144" s="183"/>
      <c r="V144" s="184">
        <f>VLOOKUP(H144,'Ext. Pa'!$B$3:$C$77,2,FALSE)</f>
        <v>1</v>
      </c>
      <c r="W144" s="183">
        <f>VLOOKUP(I144,'Ext. Pa'!$B$3:$C$77,2,FALSE)</f>
        <v>1</v>
      </c>
      <c r="X144" s="183">
        <f>VLOOKUP(J144,'Ext. Pa'!$B$3:$C$77,2,FALSE)</f>
        <v>4</v>
      </c>
      <c r="Y144" s="183">
        <f>VLOOKUP(K144,'Ext. Pa'!$B$3:$C$77,2,FALSE)</f>
        <v>0</v>
      </c>
      <c r="Z144" s="183">
        <f>VLOOKUP(L144,'Ext. Pa'!$B$3:$C$77,2,FALSE)</f>
        <v>5</v>
      </c>
      <c r="AA144" s="183">
        <f>VLOOKUP(M144,'Ext. Pa'!$B$3:$C$77,2,FALSE)</f>
        <v>5</v>
      </c>
      <c r="AB144" s="183">
        <f>VLOOKUP(N144,'Ext. Pa'!$B$3:$C$77,2,FALSE)</f>
        <v>5</v>
      </c>
      <c r="AC144" s="183">
        <f>VLOOKUP(O144,'Ext. Pa'!$B$3:$C$77,2,FALSE)</f>
        <v>5</v>
      </c>
      <c r="AD144" s="183">
        <f>VLOOKUP(P144,'Ext. Pa'!$B$3:$C$77,2,FALSE)</f>
        <v>5</v>
      </c>
      <c r="AE144" s="183">
        <f>VLOOKUP(Q144,'Ext. Pa'!$B$3:$C$77,2,FALSE)</f>
        <v>6</v>
      </c>
      <c r="AF144" s="185">
        <f t="shared" si="10"/>
        <v>3.25</v>
      </c>
      <c r="AG144" s="134">
        <f>Table2[[#This Row],[Coating defect survey10]]</f>
        <v>5</v>
      </c>
      <c r="AH144" s="134">
        <f>Table2[[#This Row],[CP Level within NACE Criteria4]]</f>
        <v>1</v>
      </c>
      <c r="AI144" s="135">
        <f>IF(Table2[[#This Row],[CP level]]&gt;9.9,1,0)</f>
        <v>0</v>
      </c>
      <c r="AJ144" s="135">
        <f>Table2[[#This Row],[Column3]]*Table2[[#This Row],[Coating defect survey2]]</f>
        <v>0</v>
      </c>
      <c r="AK144" s="170">
        <v>19.493670000000002</v>
      </c>
    </row>
    <row r="145" spans="1:37" s="100" customFormat="1">
      <c r="A145" s="94">
        <v>2</v>
      </c>
      <c r="B145" s="95" t="s">
        <v>393</v>
      </c>
      <c r="C145" s="96">
        <v>6731101</v>
      </c>
      <c r="D145" s="97" t="s">
        <v>268</v>
      </c>
      <c r="E145" s="98"/>
      <c r="F145" s="98">
        <v>2013</v>
      </c>
      <c r="G145" s="98">
        <f>2013-Table2[[#This Row],[Startup Year]]</f>
        <v>0</v>
      </c>
      <c r="H145" s="98" t="s">
        <v>101</v>
      </c>
      <c r="I145" s="98" t="s">
        <v>108</v>
      </c>
      <c r="J145" s="98" t="s">
        <v>113</v>
      </c>
      <c r="K145" s="98">
        <v>0</v>
      </c>
      <c r="L145" s="98" t="s">
        <v>105</v>
      </c>
      <c r="M145" s="98" t="s">
        <v>129</v>
      </c>
      <c r="N145" s="98" t="s">
        <v>129</v>
      </c>
      <c r="O145" s="98" t="s">
        <v>105</v>
      </c>
      <c r="P145" s="98" t="s">
        <v>105</v>
      </c>
      <c r="Q145" s="98" t="s">
        <v>66</v>
      </c>
      <c r="R145" s="98" t="s">
        <v>72</v>
      </c>
      <c r="S14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45" s="98">
        <v>19.493670000000002</v>
      </c>
      <c r="U145" s="98"/>
      <c r="V145" s="98">
        <f>VLOOKUP(H145,'Ext. Pa'!$B$3:$C$77,2,FALSE)</f>
        <v>1</v>
      </c>
      <c r="W145" s="98">
        <f>VLOOKUP(I145,'Ext. Pa'!$B$3:$C$77,2,FALSE)</f>
        <v>1</v>
      </c>
      <c r="X145" s="98">
        <f>VLOOKUP(J145,'Ext. Pa'!$B$3:$C$77,2,FALSE)</f>
        <v>4</v>
      </c>
      <c r="Y145" s="98">
        <f>VLOOKUP(K145,'Ext. Pa'!$B$3:$C$77,2,FALSE)</f>
        <v>0</v>
      </c>
      <c r="Z145" s="98">
        <f>VLOOKUP(L145,'Ext. Pa'!$B$3:$C$77,2,FALSE)</f>
        <v>5</v>
      </c>
      <c r="AA145" s="98">
        <f>VLOOKUP(M145,'Ext. Pa'!$B$3:$C$77,2,FALSE)</f>
        <v>1</v>
      </c>
      <c r="AB145" s="98">
        <f>VLOOKUP(N145,'Ext. Pa'!$B$3:$C$77,2,FALSE)</f>
        <v>1</v>
      </c>
      <c r="AC145" s="98">
        <f>VLOOKUP(O145,'Ext. Pa'!$B$3:$C$77,2,FALSE)</f>
        <v>5</v>
      </c>
      <c r="AD145" s="98">
        <f>VLOOKUP(P145,'Ext. Pa'!$B$3:$C$77,2,FALSE)</f>
        <v>5</v>
      </c>
      <c r="AE145" s="98">
        <f>VLOOKUP(Q145,'Ext. Pa'!$B$3:$C$77,2,FALSE)</f>
        <v>6</v>
      </c>
      <c r="AF145" s="99">
        <f t="shared" ref="AF145:AF157" si="11">IF(G145&lt;40,(G145)/4,40)</f>
        <v>0</v>
      </c>
      <c r="AG145" s="134">
        <f>Table2[[#This Row],[Coating defect survey10]]</f>
        <v>5</v>
      </c>
      <c r="AH145" s="134">
        <f>Table2[[#This Row],[CP Level within NACE Criteria4]]</f>
        <v>1</v>
      </c>
      <c r="AI145" s="135">
        <f>IF(Table2[[#This Row],[CP level]]&gt;9.9,1,0)</f>
        <v>0</v>
      </c>
      <c r="AJ145" s="135">
        <f>Table2[[#This Row],[Column3]]*Table2[[#This Row],[Coating defect survey2]]</f>
        <v>0</v>
      </c>
      <c r="AK145" s="170">
        <v>19.493670000000002</v>
      </c>
    </row>
    <row r="146" spans="1:37" s="100" customFormat="1">
      <c r="A146" s="94">
        <v>2</v>
      </c>
      <c r="B146" s="95" t="s">
        <v>394</v>
      </c>
      <c r="C146" s="96">
        <v>6921101</v>
      </c>
      <c r="D146" s="97" t="s">
        <v>269</v>
      </c>
      <c r="E146" s="98"/>
      <c r="F146" s="98">
        <v>2013</v>
      </c>
      <c r="G146" s="98">
        <f>2013-Table2[[#This Row],[Startup Year]]</f>
        <v>0</v>
      </c>
      <c r="H146" s="98" t="s">
        <v>101</v>
      </c>
      <c r="I146" s="98" t="s">
        <v>108</v>
      </c>
      <c r="J146" s="98" t="s">
        <v>113</v>
      </c>
      <c r="K146" s="98">
        <v>0</v>
      </c>
      <c r="L146" s="98" t="s">
        <v>105</v>
      </c>
      <c r="M146" s="98" t="s">
        <v>129</v>
      </c>
      <c r="N146" s="98" t="s">
        <v>129</v>
      </c>
      <c r="O146" s="98" t="s">
        <v>105</v>
      </c>
      <c r="P146" s="98" t="s">
        <v>105</v>
      </c>
      <c r="Q146" s="98" t="s">
        <v>66</v>
      </c>
      <c r="R146" s="98" t="s">
        <v>72</v>
      </c>
      <c r="S14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46" s="98">
        <v>19.493670000000002</v>
      </c>
      <c r="U146" s="98"/>
      <c r="V146" s="98">
        <f>VLOOKUP(H146,'Ext. Pa'!$B$3:$C$77,2,FALSE)</f>
        <v>1</v>
      </c>
      <c r="W146" s="98">
        <f>VLOOKUP(I146,'Ext. Pa'!$B$3:$C$77,2,FALSE)</f>
        <v>1</v>
      </c>
      <c r="X146" s="98">
        <f>VLOOKUP(J146,'Ext. Pa'!$B$3:$C$77,2,FALSE)</f>
        <v>4</v>
      </c>
      <c r="Y146" s="98">
        <f>VLOOKUP(K146,'Ext. Pa'!$B$3:$C$77,2,FALSE)</f>
        <v>0</v>
      </c>
      <c r="Z146" s="98">
        <f>VLOOKUP(L146,'Ext. Pa'!$B$3:$C$77,2,FALSE)</f>
        <v>5</v>
      </c>
      <c r="AA146" s="98">
        <f>VLOOKUP(M146,'Ext. Pa'!$B$3:$C$77,2,FALSE)</f>
        <v>1</v>
      </c>
      <c r="AB146" s="98">
        <f>VLOOKUP(N146,'Ext. Pa'!$B$3:$C$77,2,FALSE)</f>
        <v>1</v>
      </c>
      <c r="AC146" s="98">
        <f>VLOOKUP(O146,'Ext. Pa'!$B$3:$C$77,2,FALSE)</f>
        <v>5</v>
      </c>
      <c r="AD146" s="98">
        <f>VLOOKUP(P146,'Ext. Pa'!$B$3:$C$77,2,FALSE)</f>
        <v>5</v>
      </c>
      <c r="AE146" s="98">
        <f>VLOOKUP(Q146,'Ext. Pa'!$B$3:$C$77,2,FALSE)</f>
        <v>6</v>
      </c>
      <c r="AF146" s="99">
        <f t="shared" si="11"/>
        <v>0</v>
      </c>
      <c r="AG146" s="134">
        <f>Table2[[#This Row],[Coating defect survey10]]</f>
        <v>5</v>
      </c>
      <c r="AH146" s="134">
        <f>Table2[[#This Row],[CP Level within NACE Criteria4]]</f>
        <v>1</v>
      </c>
      <c r="AI146" s="135">
        <f>IF(Table2[[#This Row],[CP level]]&gt;9.9,1,0)</f>
        <v>0</v>
      </c>
      <c r="AJ146" s="135">
        <f>Table2[[#This Row],[Column3]]*Table2[[#This Row],[Coating defect survey2]]</f>
        <v>0</v>
      </c>
      <c r="AK146" s="170">
        <v>19.493670000000002</v>
      </c>
    </row>
    <row r="147" spans="1:37" s="100" customFormat="1">
      <c r="A147" s="94">
        <v>2</v>
      </c>
      <c r="B147" s="95" t="s">
        <v>395</v>
      </c>
      <c r="C147" s="96">
        <v>67210001</v>
      </c>
      <c r="D147" s="97" t="s">
        <v>270</v>
      </c>
      <c r="E147" s="98"/>
      <c r="F147" s="98">
        <v>2013</v>
      </c>
      <c r="G147" s="98">
        <f>2013-Table2[[#This Row],[Startup Year]]</f>
        <v>0</v>
      </c>
      <c r="H147" s="98" t="s">
        <v>101</v>
      </c>
      <c r="I147" s="98" t="s">
        <v>108</v>
      </c>
      <c r="J147" s="98" t="s">
        <v>113</v>
      </c>
      <c r="K147" s="98">
        <v>0</v>
      </c>
      <c r="L147" s="98" t="s">
        <v>105</v>
      </c>
      <c r="M147" s="98" t="s">
        <v>129</v>
      </c>
      <c r="N147" s="98" t="s">
        <v>129</v>
      </c>
      <c r="O147" s="98" t="s">
        <v>143</v>
      </c>
      <c r="P147" s="98" t="s">
        <v>105</v>
      </c>
      <c r="Q147" s="98" t="s">
        <v>66</v>
      </c>
      <c r="R147" s="98" t="s">
        <v>72</v>
      </c>
      <c r="S14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47" s="98">
        <v>19.493670000000002</v>
      </c>
      <c r="U147" s="98"/>
      <c r="V147" s="98">
        <f>VLOOKUP(H147,'Ext. Pa'!$B$3:$C$77,2,FALSE)</f>
        <v>1</v>
      </c>
      <c r="W147" s="98">
        <f>VLOOKUP(I147,'Ext. Pa'!$B$3:$C$77,2,FALSE)</f>
        <v>1</v>
      </c>
      <c r="X147" s="98">
        <f>VLOOKUP(J147,'Ext. Pa'!$B$3:$C$77,2,FALSE)</f>
        <v>4</v>
      </c>
      <c r="Y147" s="98">
        <f>VLOOKUP(K147,'Ext. Pa'!$B$3:$C$77,2,FALSE)</f>
        <v>0</v>
      </c>
      <c r="Z147" s="98">
        <f>VLOOKUP(L147,'Ext. Pa'!$B$3:$C$77,2,FALSE)</f>
        <v>5</v>
      </c>
      <c r="AA147" s="98">
        <f>VLOOKUP(M147,'Ext. Pa'!$B$3:$C$77,2,FALSE)</f>
        <v>1</v>
      </c>
      <c r="AB147" s="98">
        <f>VLOOKUP(N147,'Ext. Pa'!$B$3:$C$77,2,FALSE)</f>
        <v>1</v>
      </c>
      <c r="AC147" s="98">
        <f>VLOOKUP(O147,'Ext. Pa'!$B$3:$C$77,2,FALSE)</f>
        <v>1</v>
      </c>
      <c r="AD147" s="98">
        <f>VLOOKUP(P147,'Ext. Pa'!$B$3:$C$77,2,FALSE)</f>
        <v>5</v>
      </c>
      <c r="AE147" s="98">
        <f>VLOOKUP(Q147,'Ext. Pa'!$B$3:$C$77,2,FALSE)</f>
        <v>6</v>
      </c>
      <c r="AF147" s="99">
        <f t="shared" si="11"/>
        <v>0</v>
      </c>
      <c r="AG147" s="134">
        <f>Table2[[#This Row],[Coating defect survey10]]</f>
        <v>1</v>
      </c>
      <c r="AH147" s="134">
        <f>Table2[[#This Row],[CP Level within NACE Criteria4]]</f>
        <v>1</v>
      </c>
      <c r="AI147" s="135">
        <f>IF(Table2[[#This Row],[CP level]]&gt;9.9,1,0)</f>
        <v>0</v>
      </c>
      <c r="AJ147" s="135">
        <f>Table2[[#This Row],[Column3]]*Table2[[#This Row],[Coating defect survey2]]</f>
        <v>0</v>
      </c>
      <c r="AK147" s="170">
        <v>19.493670000000002</v>
      </c>
    </row>
    <row r="148" spans="1:37" s="100" customFormat="1">
      <c r="A148" s="94">
        <v>2</v>
      </c>
      <c r="B148" s="95" t="s">
        <v>396</v>
      </c>
      <c r="C148" s="96">
        <v>67210002</v>
      </c>
      <c r="D148" s="97" t="s">
        <v>271</v>
      </c>
      <c r="E148" s="98"/>
      <c r="F148" s="98">
        <v>2000</v>
      </c>
      <c r="G148" s="98">
        <f>2013-Table2[[#This Row],[Startup Year]]</f>
        <v>13</v>
      </c>
      <c r="H148" s="98" t="s">
        <v>101</v>
      </c>
      <c r="I148" s="98" t="s">
        <v>108</v>
      </c>
      <c r="J148" s="98" t="s">
        <v>113</v>
      </c>
      <c r="K148" s="98">
        <v>0</v>
      </c>
      <c r="L148" s="98" t="s">
        <v>105</v>
      </c>
      <c r="M148" s="98" t="s">
        <v>105</v>
      </c>
      <c r="N148" s="98" t="s">
        <v>105</v>
      </c>
      <c r="O148" s="98" t="s">
        <v>143</v>
      </c>
      <c r="P148" s="98" t="s">
        <v>105</v>
      </c>
      <c r="Q148" s="98" t="s">
        <v>66</v>
      </c>
      <c r="R148" s="98" t="s">
        <v>72</v>
      </c>
      <c r="S14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8" s="98">
        <v>19.493670000000002</v>
      </c>
      <c r="U148" s="98"/>
      <c r="V148" s="98">
        <f>VLOOKUP(H148,'Ext. Pa'!$B$3:$C$77,2,FALSE)</f>
        <v>1</v>
      </c>
      <c r="W148" s="98">
        <f>VLOOKUP(I148,'Ext. Pa'!$B$3:$C$77,2,FALSE)</f>
        <v>1</v>
      </c>
      <c r="X148" s="98">
        <f>VLOOKUP(J148,'Ext. Pa'!$B$3:$C$77,2,FALSE)</f>
        <v>4</v>
      </c>
      <c r="Y148" s="98">
        <f>VLOOKUP(K148,'Ext. Pa'!$B$3:$C$77,2,FALSE)</f>
        <v>0</v>
      </c>
      <c r="Z148" s="98">
        <f>VLOOKUP(L148,'Ext. Pa'!$B$3:$C$77,2,FALSE)</f>
        <v>5</v>
      </c>
      <c r="AA148" s="98">
        <f>VLOOKUP(M148,'Ext. Pa'!$B$3:$C$77,2,FALSE)</f>
        <v>5</v>
      </c>
      <c r="AB148" s="98">
        <f>VLOOKUP(N148,'Ext. Pa'!$B$3:$C$77,2,FALSE)</f>
        <v>5</v>
      </c>
      <c r="AC148" s="98">
        <f>VLOOKUP(O148,'Ext. Pa'!$B$3:$C$77,2,FALSE)</f>
        <v>1</v>
      </c>
      <c r="AD148" s="98">
        <f>VLOOKUP(P148,'Ext. Pa'!$B$3:$C$77,2,FALSE)</f>
        <v>5</v>
      </c>
      <c r="AE148" s="98">
        <f>VLOOKUP(Q148,'Ext. Pa'!$B$3:$C$77,2,FALSE)</f>
        <v>6</v>
      </c>
      <c r="AF148" s="99">
        <f t="shared" si="11"/>
        <v>3.25</v>
      </c>
      <c r="AG148" s="134">
        <f>Table2[[#This Row],[Coating defect survey10]]</f>
        <v>1</v>
      </c>
      <c r="AH148" s="134">
        <f>Table2[[#This Row],[CP Level within NACE Criteria4]]</f>
        <v>1</v>
      </c>
      <c r="AI148" s="135">
        <f>IF(Table2[[#This Row],[CP level]]&gt;9.9,1,0)</f>
        <v>0</v>
      </c>
      <c r="AJ148" s="135">
        <f>Table2[[#This Row],[Column3]]*Table2[[#This Row],[Coating defect survey2]]</f>
        <v>0</v>
      </c>
      <c r="AK148" s="170">
        <v>19.493670000000002</v>
      </c>
    </row>
    <row r="149" spans="1:37" s="100" customFormat="1">
      <c r="A149" s="94">
        <v>2</v>
      </c>
      <c r="B149" s="95" t="s">
        <v>397</v>
      </c>
      <c r="C149" s="96">
        <v>658110001</v>
      </c>
      <c r="D149" s="97" t="s">
        <v>272</v>
      </c>
      <c r="E149" s="98"/>
      <c r="F149" s="98">
        <v>2000</v>
      </c>
      <c r="G149" s="98">
        <f>2013-Table2[[#This Row],[Startup Year]]</f>
        <v>13</v>
      </c>
      <c r="H149" s="98" t="s">
        <v>101</v>
      </c>
      <c r="I149" s="98" t="s">
        <v>108</v>
      </c>
      <c r="J149" s="98" t="s">
        <v>113</v>
      </c>
      <c r="K149" s="98">
        <v>0</v>
      </c>
      <c r="L149" s="98" t="s">
        <v>105</v>
      </c>
      <c r="M149" s="98" t="s">
        <v>105</v>
      </c>
      <c r="N149" s="98" t="s">
        <v>105</v>
      </c>
      <c r="O149" s="98" t="s">
        <v>105</v>
      </c>
      <c r="P149" s="98" t="s">
        <v>105</v>
      </c>
      <c r="Q149" s="98" t="s">
        <v>66</v>
      </c>
      <c r="R149" s="98" t="s">
        <v>72</v>
      </c>
      <c r="S14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49" s="98">
        <v>19.493670000000002</v>
      </c>
      <c r="U149" s="98"/>
      <c r="V149" s="98">
        <f>VLOOKUP(H149,'Ext. Pa'!$B$3:$C$77,2,FALSE)</f>
        <v>1</v>
      </c>
      <c r="W149" s="98">
        <f>VLOOKUP(I149,'Ext. Pa'!$B$3:$C$77,2,FALSE)</f>
        <v>1</v>
      </c>
      <c r="X149" s="98">
        <f>VLOOKUP(J149,'Ext. Pa'!$B$3:$C$77,2,FALSE)</f>
        <v>4</v>
      </c>
      <c r="Y149" s="98">
        <f>VLOOKUP(K149,'Ext. Pa'!$B$3:$C$77,2,FALSE)</f>
        <v>0</v>
      </c>
      <c r="Z149" s="98">
        <f>VLOOKUP(L149,'Ext. Pa'!$B$3:$C$77,2,FALSE)</f>
        <v>5</v>
      </c>
      <c r="AA149" s="98">
        <f>VLOOKUP(M149,'Ext. Pa'!$B$3:$C$77,2,FALSE)</f>
        <v>5</v>
      </c>
      <c r="AB149" s="98">
        <f>VLOOKUP(N149,'Ext. Pa'!$B$3:$C$77,2,FALSE)</f>
        <v>5</v>
      </c>
      <c r="AC149" s="98">
        <f>VLOOKUP(O149,'Ext. Pa'!$B$3:$C$77,2,FALSE)</f>
        <v>5</v>
      </c>
      <c r="AD149" s="98">
        <f>VLOOKUP(P149,'Ext. Pa'!$B$3:$C$77,2,FALSE)</f>
        <v>5</v>
      </c>
      <c r="AE149" s="98">
        <f>VLOOKUP(Q149,'Ext. Pa'!$B$3:$C$77,2,FALSE)</f>
        <v>6</v>
      </c>
      <c r="AF149" s="99">
        <f t="shared" si="11"/>
        <v>3.25</v>
      </c>
      <c r="AG149" s="134">
        <f>Table2[[#This Row],[Coating defect survey10]]</f>
        <v>5</v>
      </c>
      <c r="AH149" s="134">
        <f>Table2[[#This Row],[CP Level within NACE Criteria4]]</f>
        <v>1</v>
      </c>
      <c r="AI149" s="135">
        <f>IF(Table2[[#This Row],[CP level]]&gt;9.9,1,0)</f>
        <v>0</v>
      </c>
      <c r="AJ149" s="135">
        <f>Table2[[#This Row],[Column3]]*Table2[[#This Row],[Coating defect survey2]]</f>
        <v>0</v>
      </c>
      <c r="AK149" s="170">
        <v>19.493670000000002</v>
      </c>
    </row>
    <row r="150" spans="1:37" s="100" customFormat="1">
      <c r="A150" s="94">
        <v>2</v>
      </c>
      <c r="B150" s="95" t="s">
        <v>398</v>
      </c>
      <c r="C150" s="96">
        <v>658110002</v>
      </c>
      <c r="D150" s="97" t="s">
        <v>273</v>
      </c>
      <c r="E150" s="98"/>
      <c r="F150" s="98">
        <v>2000</v>
      </c>
      <c r="G150" s="98">
        <f>2013-Table2[[#This Row],[Startup Year]]</f>
        <v>13</v>
      </c>
      <c r="H150" s="98" t="s">
        <v>101</v>
      </c>
      <c r="I150" s="98" t="s">
        <v>108</v>
      </c>
      <c r="J150" s="98" t="s">
        <v>113</v>
      </c>
      <c r="K150" s="98">
        <v>0</v>
      </c>
      <c r="L150" s="98" t="s">
        <v>105</v>
      </c>
      <c r="M150" s="98" t="s">
        <v>105</v>
      </c>
      <c r="N150" s="98" t="s">
        <v>105</v>
      </c>
      <c r="O150" s="98" t="s">
        <v>105</v>
      </c>
      <c r="P150" s="98" t="s">
        <v>105</v>
      </c>
      <c r="Q150" s="98" t="s">
        <v>66</v>
      </c>
      <c r="R150" s="98" t="s">
        <v>72</v>
      </c>
      <c r="S15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50" s="98">
        <v>19.493670000000002</v>
      </c>
      <c r="U150" s="98"/>
      <c r="V150" s="98">
        <f>VLOOKUP(H150,'Ext. Pa'!$B$3:$C$77,2,FALSE)</f>
        <v>1</v>
      </c>
      <c r="W150" s="98">
        <f>VLOOKUP(I150,'Ext. Pa'!$B$3:$C$77,2,FALSE)</f>
        <v>1</v>
      </c>
      <c r="X150" s="98">
        <f>VLOOKUP(J150,'Ext. Pa'!$B$3:$C$77,2,FALSE)</f>
        <v>4</v>
      </c>
      <c r="Y150" s="98">
        <f>VLOOKUP(K150,'Ext. Pa'!$B$3:$C$77,2,FALSE)</f>
        <v>0</v>
      </c>
      <c r="Z150" s="98">
        <f>VLOOKUP(L150,'Ext. Pa'!$B$3:$C$77,2,FALSE)</f>
        <v>5</v>
      </c>
      <c r="AA150" s="98">
        <f>VLOOKUP(M150,'Ext. Pa'!$B$3:$C$77,2,FALSE)</f>
        <v>5</v>
      </c>
      <c r="AB150" s="98">
        <f>VLOOKUP(N150,'Ext. Pa'!$B$3:$C$77,2,FALSE)</f>
        <v>5</v>
      </c>
      <c r="AC150" s="98">
        <f>VLOOKUP(O150,'Ext. Pa'!$B$3:$C$77,2,FALSE)</f>
        <v>5</v>
      </c>
      <c r="AD150" s="98">
        <f>VLOOKUP(P150,'Ext. Pa'!$B$3:$C$77,2,FALSE)</f>
        <v>5</v>
      </c>
      <c r="AE150" s="98">
        <f>VLOOKUP(Q150,'Ext. Pa'!$B$3:$C$77,2,FALSE)</f>
        <v>6</v>
      </c>
      <c r="AF150" s="99">
        <f t="shared" si="11"/>
        <v>3.25</v>
      </c>
      <c r="AG150" s="134">
        <f>Table2[[#This Row],[Coating defect survey10]]</f>
        <v>5</v>
      </c>
      <c r="AH150" s="134">
        <f>Table2[[#This Row],[CP Level within NACE Criteria4]]</f>
        <v>1</v>
      </c>
      <c r="AI150" s="135">
        <f>IF(Table2[[#This Row],[CP level]]&gt;9.9,1,0)</f>
        <v>0</v>
      </c>
      <c r="AJ150" s="135">
        <f>Table2[[#This Row],[Column3]]*Table2[[#This Row],[Coating defect survey2]]</f>
        <v>0</v>
      </c>
      <c r="AK150" s="170">
        <v>19.493670000000002</v>
      </c>
    </row>
    <row r="151" spans="1:37" s="100" customFormat="1">
      <c r="A151" s="94">
        <v>2</v>
      </c>
      <c r="B151" s="95" t="s">
        <v>399</v>
      </c>
      <c r="C151" s="96">
        <v>661110201</v>
      </c>
      <c r="D151" s="97" t="s">
        <v>274</v>
      </c>
      <c r="E151" s="98"/>
      <c r="F151" s="98">
        <v>2000</v>
      </c>
      <c r="G151" s="98">
        <f>2013-Table2[[#This Row],[Startup Year]]</f>
        <v>13</v>
      </c>
      <c r="H151" s="98" t="s">
        <v>101</v>
      </c>
      <c r="I151" s="98" t="s">
        <v>108</v>
      </c>
      <c r="J151" s="98" t="s">
        <v>113</v>
      </c>
      <c r="K151" s="98">
        <v>0</v>
      </c>
      <c r="L151" s="98" t="s">
        <v>105</v>
      </c>
      <c r="M151" s="98" t="s">
        <v>105</v>
      </c>
      <c r="N151" s="98" t="s">
        <v>105</v>
      </c>
      <c r="O151" s="98" t="s">
        <v>143</v>
      </c>
      <c r="P151" s="98" t="s">
        <v>105</v>
      </c>
      <c r="Q151" s="98" t="s">
        <v>66</v>
      </c>
      <c r="R151" s="98" t="s">
        <v>72</v>
      </c>
      <c r="S15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51" s="98">
        <v>19.493670000000002</v>
      </c>
      <c r="U151" s="98"/>
      <c r="V151" s="98">
        <f>VLOOKUP(H151,'Ext. Pa'!$B$3:$C$77,2,FALSE)</f>
        <v>1</v>
      </c>
      <c r="W151" s="98">
        <f>VLOOKUP(I151,'Ext. Pa'!$B$3:$C$77,2,FALSE)</f>
        <v>1</v>
      </c>
      <c r="X151" s="98">
        <f>VLOOKUP(J151,'Ext. Pa'!$B$3:$C$77,2,FALSE)</f>
        <v>4</v>
      </c>
      <c r="Y151" s="98">
        <f>VLOOKUP(K151,'Ext. Pa'!$B$3:$C$77,2,FALSE)</f>
        <v>0</v>
      </c>
      <c r="Z151" s="98">
        <f>VLOOKUP(L151,'Ext. Pa'!$B$3:$C$77,2,FALSE)</f>
        <v>5</v>
      </c>
      <c r="AA151" s="98">
        <f>VLOOKUP(M151,'Ext. Pa'!$B$3:$C$77,2,FALSE)</f>
        <v>5</v>
      </c>
      <c r="AB151" s="98">
        <f>VLOOKUP(N151,'Ext. Pa'!$B$3:$C$77,2,FALSE)</f>
        <v>5</v>
      </c>
      <c r="AC151" s="98">
        <f>VLOOKUP(O151,'Ext. Pa'!$B$3:$C$77,2,FALSE)</f>
        <v>1</v>
      </c>
      <c r="AD151" s="98">
        <f>VLOOKUP(P151,'Ext. Pa'!$B$3:$C$77,2,FALSE)</f>
        <v>5</v>
      </c>
      <c r="AE151" s="98">
        <f>VLOOKUP(Q151,'Ext. Pa'!$B$3:$C$77,2,FALSE)</f>
        <v>6</v>
      </c>
      <c r="AF151" s="99">
        <f t="shared" si="11"/>
        <v>3.25</v>
      </c>
      <c r="AG151" s="134">
        <f>Table2[[#This Row],[Coating defect survey10]]</f>
        <v>1</v>
      </c>
      <c r="AH151" s="134">
        <f>Table2[[#This Row],[CP Level within NACE Criteria4]]</f>
        <v>1</v>
      </c>
      <c r="AI151" s="135">
        <f>IF(Table2[[#This Row],[CP level]]&gt;9.9,1,0)</f>
        <v>0</v>
      </c>
      <c r="AJ151" s="135">
        <f>Table2[[#This Row],[Column3]]*Table2[[#This Row],[Coating defect survey2]]</f>
        <v>0</v>
      </c>
      <c r="AK151" s="170">
        <v>19.493670000000002</v>
      </c>
    </row>
    <row r="152" spans="1:37" s="100" customFormat="1">
      <c r="A152" s="94">
        <v>2</v>
      </c>
      <c r="B152" s="95" t="s">
        <v>402</v>
      </c>
      <c r="C152" s="96">
        <v>671200001</v>
      </c>
      <c r="D152" s="97" t="s">
        <v>275</v>
      </c>
      <c r="E152" s="98"/>
      <c r="F152" s="98">
        <v>2013</v>
      </c>
      <c r="G152" s="98">
        <f>2013-Table2[[#This Row],[Startup Year]]</f>
        <v>0</v>
      </c>
      <c r="H152" s="98" t="s">
        <v>101</v>
      </c>
      <c r="I152" s="98" t="s">
        <v>108</v>
      </c>
      <c r="J152" s="98" t="s">
        <v>113</v>
      </c>
      <c r="K152" s="98">
        <v>0</v>
      </c>
      <c r="L152" s="98" t="s">
        <v>105</v>
      </c>
      <c r="M152" s="98" t="s">
        <v>129</v>
      </c>
      <c r="N152" s="98" t="s">
        <v>129</v>
      </c>
      <c r="O152" s="98" t="s">
        <v>143</v>
      </c>
      <c r="P152" s="98" t="s">
        <v>105</v>
      </c>
      <c r="Q152" s="98" t="s">
        <v>66</v>
      </c>
      <c r="R152" s="98" t="s">
        <v>72</v>
      </c>
      <c r="S15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52" s="98">
        <v>19.493670000000002</v>
      </c>
      <c r="U152" s="98"/>
      <c r="V152" s="98">
        <f>VLOOKUP(H152,'Ext. Pa'!$B$3:$C$77,2,FALSE)</f>
        <v>1</v>
      </c>
      <c r="W152" s="98">
        <f>VLOOKUP(I152,'Ext. Pa'!$B$3:$C$77,2,FALSE)</f>
        <v>1</v>
      </c>
      <c r="X152" s="98">
        <f>VLOOKUP(J152,'Ext. Pa'!$B$3:$C$77,2,FALSE)</f>
        <v>4</v>
      </c>
      <c r="Y152" s="98">
        <f>VLOOKUP(K152,'Ext. Pa'!$B$3:$C$77,2,FALSE)</f>
        <v>0</v>
      </c>
      <c r="Z152" s="98">
        <f>VLOOKUP(L152,'Ext. Pa'!$B$3:$C$77,2,FALSE)</f>
        <v>5</v>
      </c>
      <c r="AA152" s="98">
        <f>VLOOKUP(M152,'Ext. Pa'!$B$3:$C$77,2,FALSE)</f>
        <v>1</v>
      </c>
      <c r="AB152" s="98">
        <f>VLOOKUP(N152,'Ext. Pa'!$B$3:$C$77,2,FALSE)</f>
        <v>1</v>
      </c>
      <c r="AC152" s="98">
        <f>VLOOKUP(O152,'Ext. Pa'!$B$3:$C$77,2,FALSE)</f>
        <v>1</v>
      </c>
      <c r="AD152" s="98">
        <f>VLOOKUP(P152,'Ext. Pa'!$B$3:$C$77,2,FALSE)</f>
        <v>5</v>
      </c>
      <c r="AE152" s="98">
        <f>VLOOKUP(Q152,'Ext. Pa'!$B$3:$C$77,2,FALSE)</f>
        <v>6</v>
      </c>
      <c r="AF152" s="99">
        <f t="shared" si="11"/>
        <v>0</v>
      </c>
      <c r="AG152" s="134">
        <f>Table2[[#This Row],[Coating defect survey10]]</f>
        <v>1</v>
      </c>
      <c r="AH152" s="134">
        <f>Table2[[#This Row],[CP Level within NACE Criteria4]]</f>
        <v>1</v>
      </c>
      <c r="AI152" s="135">
        <f>IF(Table2[[#This Row],[CP level]]&gt;9.9,1,0)</f>
        <v>0</v>
      </c>
      <c r="AJ152" s="135">
        <f>Table2[[#This Row],[Column3]]*Table2[[#This Row],[Coating defect survey2]]</f>
        <v>0</v>
      </c>
      <c r="AK152" s="170">
        <v>19.493670000000002</v>
      </c>
    </row>
    <row r="153" spans="1:37" s="100" customFormat="1">
      <c r="A153" s="128">
        <v>2</v>
      </c>
      <c r="B153" s="129" t="s">
        <v>687</v>
      </c>
      <c r="C153" s="96">
        <v>671210001</v>
      </c>
      <c r="D153" s="97" t="s">
        <v>688</v>
      </c>
      <c r="E153" s="130"/>
      <c r="F153" s="130">
        <v>2000</v>
      </c>
      <c r="G153" s="130">
        <f>2013-Table2[[#This Row],[Startup Year]]</f>
        <v>13</v>
      </c>
      <c r="H153" s="130" t="s">
        <v>101</v>
      </c>
      <c r="I153" s="130" t="s">
        <v>108</v>
      </c>
      <c r="J153" s="130" t="s">
        <v>113</v>
      </c>
      <c r="K153" s="98">
        <v>0</v>
      </c>
      <c r="L153" s="130" t="s">
        <v>105</v>
      </c>
      <c r="M153" s="130" t="s">
        <v>105</v>
      </c>
      <c r="N153" s="130" t="s">
        <v>105</v>
      </c>
      <c r="O153" s="130" t="s">
        <v>143</v>
      </c>
      <c r="P153" s="130" t="s">
        <v>105</v>
      </c>
      <c r="Q153" s="130" t="s">
        <v>66</v>
      </c>
      <c r="R153" s="130" t="s">
        <v>72</v>
      </c>
      <c r="S15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53" s="131">
        <v>19.493670000000002</v>
      </c>
      <c r="U153" s="130"/>
      <c r="V153" s="131">
        <f>VLOOKUP(H153,'Ext. Pa'!$B$3:$C$77,2,FALSE)</f>
        <v>1</v>
      </c>
      <c r="W153" s="130">
        <f>VLOOKUP(I153,'Ext. Pa'!$B$3:$C$77,2,FALSE)</f>
        <v>1</v>
      </c>
      <c r="X153" s="130">
        <f>VLOOKUP(J153,'Ext. Pa'!$B$3:$C$77,2,FALSE)</f>
        <v>4</v>
      </c>
      <c r="Y153" s="130">
        <f>VLOOKUP(K153,'Ext. Pa'!$B$3:$C$77,2,FALSE)</f>
        <v>0</v>
      </c>
      <c r="Z153" s="130">
        <f>VLOOKUP(L153,'Ext. Pa'!$B$3:$C$77,2,FALSE)</f>
        <v>5</v>
      </c>
      <c r="AA153" s="130">
        <f>VLOOKUP(M153,'Ext. Pa'!$B$3:$C$77,2,FALSE)</f>
        <v>5</v>
      </c>
      <c r="AB153" s="130">
        <f>VLOOKUP(N153,'Ext. Pa'!$B$3:$C$77,2,FALSE)</f>
        <v>5</v>
      </c>
      <c r="AC153" s="130">
        <f>VLOOKUP(O153,'Ext. Pa'!$B$3:$C$77,2,FALSE)</f>
        <v>1</v>
      </c>
      <c r="AD153" s="130">
        <f>VLOOKUP(P153,'Ext. Pa'!$B$3:$C$77,2,FALSE)</f>
        <v>5</v>
      </c>
      <c r="AE153" s="130">
        <f>VLOOKUP(Q153,'Ext. Pa'!$B$3:$C$77,2,FALSE)</f>
        <v>6</v>
      </c>
      <c r="AF153" s="132">
        <f t="shared" si="11"/>
        <v>3.25</v>
      </c>
      <c r="AG153" s="134">
        <f>Table2[[#This Row],[Coating defect survey10]]</f>
        <v>1</v>
      </c>
      <c r="AH153" s="134">
        <f>Table2[[#This Row],[CP Level within NACE Criteria4]]</f>
        <v>1</v>
      </c>
      <c r="AI153" s="135">
        <f>IF(Table2[[#This Row],[CP level]]&gt;9.9,1,0)</f>
        <v>0</v>
      </c>
      <c r="AJ153" s="135">
        <f>Table2[[#This Row],[Column3]]*Table2[[#This Row],[Coating defect survey2]]</f>
        <v>0</v>
      </c>
      <c r="AK153" s="170">
        <v>19.493670000000002</v>
      </c>
    </row>
    <row r="154" spans="1:37" s="100" customFormat="1">
      <c r="A154" s="128">
        <v>2</v>
      </c>
      <c r="B154" s="129" t="s">
        <v>689</v>
      </c>
      <c r="C154" s="96">
        <v>671210002</v>
      </c>
      <c r="D154" s="97" t="s">
        <v>690</v>
      </c>
      <c r="E154" s="130"/>
      <c r="F154" s="130">
        <v>2000</v>
      </c>
      <c r="G154" s="130">
        <f>2013-Table2[[#This Row],[Startup Year]]</f>
        <v>13</v>
      </c>
      <c r="H154" s="130" t="s">
        <v>101</v>
      </c>
      <c r="I154" s="130" t="s">
        <v>108</v>
      </c>
      <c r="J154" s="130" t="s">
        <v>113</v>
      </c>
      <c r="K154" s="98">
        <v>0</v>
      </c>
      <c r="L154" s="130" t="s">
        <v>105</v>
      </c>
      <c r="M154" s="130" t="s">
        <v>105</v>
      </c>
      <c r="N154" s="130" t="s">
        <v>105</v>
      </c>
      <c r="O154" s="130" t="s">
        <v>144</v>
      </c>
      <c r="P154" s="130" t="s">
        <v>105</v>
      </c>
      <c r="Q154" s="130" t="s">
        <v>66</v>
      </c>
      <c r="R154" s="130" t="s">
        <v>72</v>
      </c>
      <c r="S15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54" s="131">
        <v>19.493670000000002</v>
      </c>
      <c r="U154" s="130"/>
      <c r="V154" s="131">
        <f>VLOOKUP(H154,'Ext. Pa'!$B$3:$C$77,2,FALSE)</f>
        <v>1</v>
      </c>
      <c r="W154" s="130">
        <f>VLOOKUP(I154,'Ext. Pa'!$B$3:$C$77,2,FALSE)</f>
        <v>1</v>
      </c>
      <c r="X154" s="130">
        <f>VLOOKUP(J154,'Ext. Pa'!$B$3:$C$77,2,FALSE)</f>
        <v>4</v>
      </c>
      <c r="Y154" s="130">
        <f>VLOOKUP(K154,'Ext. Pa'!$B$3:$C$77,2,FALSE)</f>
        <v>0</v>
      </c>
      <c r="Z154" s="130">
        <f>VLOOKUP(L154,'Ext. Pa'!$B$3:$C$77,2,FALSE)</f>
        <v>5</v>
      </c>
      <c r="AA154" s="130">
        <f>VLOOKUP(M154,'Ext. Pa'!$B$3:$C$77,2,FALSE)</f>
        <v>5</v>
      </c>
      <c r="AB154" s="130">
        <f>VLOOKUP(N154,'Ext. Pa'!$B$3:$C$77,2,FALSE)</f>
        <v>5</v>
      </c>
      <c r="AC154" s="130">
        <f>VLOOKUP(O154,'Ext. Pa'!$B$3:$C$77,2,FALSE)</f>
        <v>3</v>
      </c>
      <c r="AD154" s="130">
        <f>VLOOKUP(P154,'Ext. Pa'!$B$3:$C$77,2,FALSE)</f>
        <v>5</v>
      </c>
      <c r="AE154" s="130">
        <f>VLOOKUP(Q154,'Ext. Pa'!$B$3:$C$77,2,FALSE)</f>
        <v>6</v>
      </c>
      <c r="AF154" s="132">
        <f t="shared" si="11"/>
        <v>3.25</v>
      </c>
      <c r="AG154" s="134">
        <f>Table2[[#This Row],[Coating defect survey10]]</f>
        <v>3</v>
      </c>
      <c r="AH154" s="134">
        <f>Table2[[#This Row],[CP Level within NACE Criteria4]]</f>
        <v>1</v>
      </c>
      <c r="AI154" s="135">
        <f>IF(Table2[[#This Row],[CP level]]&gt;9.9,1,0)</f>
        <v>0</v>
      </c>
      <c r="AJ154" s="135">
        <f>Table2[[#This Row],[Column3]]*Table2[[#This Row],[Coating defect survey2]]</f>
        <v>0</v>
      </c>
      <c r="AK154" s="170">
        <v>19.493670000000002</v>
      </c>
    </row>
    <row r="155" spans="1:37" s="100" customFormat="1">
      <c r="A155" s="94">
        <v>2</v>
      </c>
      <c r="B155" s="95" t="s">
        <v>403</v>
      </c>
      <c r="C155" s="96">
        <v>671210101</v>
      </c>
      <c r="D155" s="97" t="s">
        <v>276</v>
      </c>
      <c r="E155" s="98"/>
      <c r="F155" s="98">
        <v>2013</v>
      </c>
      <c r="G155" s="98">
        <f>2013-Table2[[#This Row],[Startup Year]]</f>
        <v>0</v>
      </c>
      <c r="H155" s="98" t="s">
        <v>101</v>
      </c>
      <c r="I155" s="98" t="s">
        <v>108</v>
      </c>
      <c r="J155" s="98" t="s">
        <v>113</v>
      </c>
      <c r="K155" s="98">
        <v>0</v>
      </c>
      <c r="L155" s="98" t="s">
        <v>105</v>
      </c>
      <c r="M155" s="98" t="s">
        <v>129</v>
      </c>
      <c r="N155" s="98" t="s">
        <v>129</v>
      </c>
      <c r="O155" s="98" t="s">
        <v>143</v>
      </c>
      <c r="P155" s="98" t="s">
        <v>105</v>
      </c>
      <c r="Q155" s="98" t="s">
        <v>66</v>
      </c>
      <c r="R155" s="98" t="s">
        <v>72</v>
      </c>
      <c r="S15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55" s="98">
        <v>19.493670000000002</v>
      </c>
      <c r="U155" s="98"/>
      <c r="V155" s="98">
        <f>VLOOKUP(H155,'Ext. Pa'!$B$3:$C$77,2,FALSE)</f>
        <v>1</v>
      </c>
      <c r="W155" s="98">
        <f>VLOOKUP(I155,'Ext. Pa'!$B$3:$C$77,2,FALSE)</f>
        <v>1</v>
      </c>
      <c r="X155" s="98">
        <f>VLOOKUP(J155,'Ext. Pa'!$B$3:$C$77,2,FALSE)</f>
        <v>4</v>
      </c>
      <c r="Y155" s="98">
        <f>VLOOKUP(K155,'Ext. Pa'!$B$3:$C$77,2,FALSE)</f>
        <v>0</v>
      </c>
      <c r="Z155" s="98">
        <f>VLOOKUP(L155,'Ext. Pa'!$B$3:$C$77,2,FALSE)</f>
        <v>5</v>
      </c>
      <c r="AA155" s="98">
        <f>VLOOKUP(M155,'Ext. Pa'!$B$3:$C$77,2,FALSE)</f>
        <v>1</v>
      </c>
      <c r="AB155" s="98">
        <f>VLOOKUP(N155,'Ext. Pa'!$B$3:$C$77,2,FALSE)</f>
        <v>1</v>
      </c>
      <c r="AC155" s="98">
        <f>VLOOKUP(O155,'Ext. Pa'!$B$3:$C$77,2,FALSE)</f>
        <v>1</v>
      </c>
      <c r="AD155" s="98">
        <f>VLOOKUP(P155,'Ext. Pa'!$B$3:$C$77,2,FALSE)</f>
        <v>5</v>
      </c>
      <c r="AE155" s="98">
        <f>VLOOKUP(Q155,'Ext. Pa'!$B$3:$C$77,2,FALSE)</f>
        <v>6</v>
      </c>
      <c r="AF155" s="99">
        <f t="shared" si="11"/>
        <v>0</v>
      </c>
      <c r="AG155" s="134">
        <f>Table2[[#This Row],[Coating defect survey10]]</f>
        <v>1</v>
      </c>
      <c r="AH155" s="134">
        <f>Table2[[#This Row],[CP Level within NACE Criteria4]]</f>
        <v>1</v>
      </c>
      <c r="AI155" s="135">
        <f>IF(Table2[[#This Row],[CP level]]&gt;9.9,1,0)</f>
        <v>0</v>
      </c>
      <c r="AJ155" s="135">
        <f>Table2[[#This Row],[Column3]]*Table2[[#This Row],[Coating defect survey2]]</f>
        <v>0</v>
      </c>
      <c r="AK155" s="170">
        <v>19.493670000000002</v>
      </c>
    </row>
    <row r="156" spans="1:37" s="100" customFormat="1">
      <c r="A156" s="128">
        <v>2</v>
      </c>
      <c r="B156" s="129" t="s">
        <v>691</v>
      </c>
      <c r="C156" s="96">
        <v>671210102</v>
      </c>
      <c r="D156" s="97" t="s">
        <v>692</v>
      </c>
      <c r="E156" s="130"/>
      <c r="F156" s="130">
        <v>2000</v>
      </c>
      <c r="G156" s="130">
        <f>2013-Table2[[#This Row],[Startup Year]]</f>
        <v>13</v>
      </c>
      <c r="H156" s="130" t="s">
        <v>101</v>
      </c>
      <c r="I156" s="130" t="s">
        <v>108</v>
      </c>
      <c r="J156" s="130" t="s">
        <v>113</v>
      </c>
      <c r="K156" s="98">
        <v>0</v>
      </c>
      <c r="L156" s="130" t="s">
        <v>105</v>
      </c>
      <c r="M156" s="130" t="s">
        <v>105</v>
      </c>
      <c r="N156" s="130" t="s">
        <v>105</v>
      </c>
      <c r="O156" s="130" t="s">
        <v>143</v>
      </c>
      <c r="P156" s="130" t="s">
        <v>105</v>
      </c>
      <c r="Q156" s="130" t="s">
        <v>66</v>
      </c>
      <c r="R156" s="130" t="s">
        <v>72</v>
      </c>
      <c r="S15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56" s="131">
        <v>19.493670000000002</v>
      </c>
      <c r="U156" s="130"/>
      <c r="V156" s="131">
        <f>VLOOKUP(H156,'Ext. Pa'!$B$3:$C$77,2,FALSE)</f>
        <v>1</v>
      </c>
      <c r="W156" s="130">
        <f>VLOOKUP(I156,'Ext. Pa'!$B$3:$C$77,2,FALSE)</f>
        <v>1</v>
      </c>
      <c r="X156" s="130">
        <f>VLOOKUP(J156,'Ext. Pa'!$B$3:$C$77,2,FALSE)</f>
        <v>4</v>
      </c>
      <c r="Y156" s="130">
        <f>VLOOKUP(K156,'Ext. Pa'!$B$3:$C$77,2,FALSE)</f>
        <v>0</v>
      </c>
      <c r="Z156" s="130">
        <f>VLOOKUP(L156,'Ext. Pa'!$B$3:$C$77,2,FALSE)</f>
        <v>5</v>
      </c>
      <c r="AA156" s="130">
        <f>VLOOKUP(M156,'Ext. Pa'!$B$3:$C$77,2,FALSE)</f>
        <v>5</v>
      </c>
      <c r="AB156" s="130">
        <f>VLOOKUP(N156,'Ext. Pa'!$B$3:$C$77,2,FALSE)</f>
        <v>5</v>
      </c>
      <c r="AC156" s="130">
        <f>VLOOKUP(O156,'Ext. Pa'!$B$3:$C$77,2,FALSE)</f>
        <v>1</v>
      </c>
      <c r="AD156" s="130">
        <f>VLOOKUP(P156,'Ext. Pa'!$B$3:$C$77,2,FALSE)</f>
        <v>5</v>
      </c>
      <c r="AE156" s="130">
        <f>VLOOKUP(Q156,'Ext. Pa'!$B$3:$C$77,2,FALSE)</f>
        <v>6</v>
      </c>
      <c r="AF156" s="132">
        <f t="shared" si="11"/>
        <v>3.25</v>
      </c>
      <c r="AG156" s="134">
        <f>Table2[[#This Row],[Coating defect survey10]]</f>
        <v>1</v>
      </c>
      <c r="AH156" s="134">
        <f>Table2[[#This Row],[CP Level within NACE Criteria4]]</f>
        <v>1</v>
      </c>
      <c r="AI156" s="135">
        <f>IF(Table2[[#This Row],[CP level]]&gt;9.9,1,0)</f>
        <v>0</v>
      </c>
      <c r="AJ156" s="135">
        <f>Table2[[#This Row],[Column3]]*Table2[[#This Row],[Coating defect survey2]]</f>
        <v>0</v>
      </c>
      <c r="AK156" s="170">
        <v>19.493670000000002</v>
      </c>
    </row>
    <row r="157" spans="1:37" s="100" customFormat="1">
      <c r="A157" s="94">
        <v>2</v>
      </c>
      <c r="B157" s="95" t="s">
        <v>404</v>
      </c>
      <c r="C157" s="96">
        <v>671500001</v>
      </c>
      <c r="D157" s="97" t="s">
        <v>725</v>
      </c>
      <c r="E157" s="98"/>
      <c r="F157" s="98">
        <v>2000</v>
      </c>
      <c r="G157" s="98">
        <f>2013-Table2[[#This Row],[Startup Year]]</f>
        <v>13</v>
      </c>
      <c r="H157" s="98" t="s">
        <v>101</v>
      </c>
      <c r="I157" s="98" t="s">
        <v>108</v>
      </c>
      <c r="J157" s="98" t="s">
        <v>113</v>
      </c>
      <c r="K157" s="98">
        <v>0</v>
      </c>
      <c r="L157" s="98" t="s">
        <v>105</v>
      </c>
      <c r="M157" s="98" t="s">
        <v>129</v>
      </c>
      <c r="N157" s="98" t="s">
        <v>129</v>
      </c>
      <c r="O157" s="98" t="s">
        <v>143</v>
      </c>
      <c r="P157" s="98" t="s">
        <v>105</v>
      </c>
      <c r="Q157" s="98" t="s">
        <v>66</v>
      </c>
      <c r="R157" s="98" t="s">
        <v>72</v>
      </c>
      <c r="S15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57" s="98">
        <v>19.493670000000002</v>
      </c>
      <c r="U157" s="98"/>
      <c r="V157" s="98">
        <f>VLOOKUP(H157,'Ext. Pa'!$B$3:$C$77,2,FALSE)</f>
        <v>1</v>
      </c>
      <c r="W157" s="98">
        <f>VLOOKUP(I157,'Ext. Pa'!$B$3:$C$77,2,FALSE)</f>
        <v>1</v>
      </c>
      <c r="X157" s="98">
        <f>VLOOKUP(J157,'Ext. Pa'!$B$3:$C$77,2,FALSE)</f>
        <v>4</v>
      </c>
      <c r="Y157" s="98">
        <f>VLOOKUP(K157,'Ext. Pa'!$B$3:$C$77,2,FALSE)</f>
        <v>0</v>
      </c>
      <c r="Z157" s="98">
        <f>VLOOKUP(L157,'Ext. Pa'!$B$3:$C$77,2,FALSE)</f>
        <v>5</v>
      </c>
      <c r="AA157" s="98">
        <f>VLOOKUP(M157,'Ext. Pa'!$B$3:$C$77,2,FALSE)</f>
        <v>1</v>
      </c>
      <c r="AB157" s="98">
        <f>VLOOKUP(N157,'Ext. Pa'!$B$3:$C$77,2,FALSE)</f>
        <v>1</v>
      </c>
      <c r="AC157" s="98">
        <f>VLOOKUP(O157,'Ext. Pa'!$B$3:$C$77,2,FALSE)</f>
        <v>1</v>
      </c>
      <c r="AD157" s="98">
        <f>VLOOKUP(P157,'Ext. Pa'!$B$3:$C$77,2,FALSE)</f>
        <v>5</v>
      </c>
      <c r="AE157" s="98">
        <f>VLOOKUP(Q157,'Ext. Pa'!$B$3:$C$77,2,FALSE)</f>
        <v>6</v>
      </c>
      <c r="AF157" s="99">
        <f t="shared" si="11"/>
        <v>3.25</v>
      </c>
      <c r="AG157" s="134">
        <f>Table2[[#This Row],[Coating defect survey10]]</f>
        <v>1</v>
      </c>
      <c r="AH157" s="134">
        <f>Table2[[#This Row],[CP Level within NACE Criteria4]]</f>
        <v>1</v>
      </c>
      <c r="AI157" s="135">
        <f>IF(Table2[[#This Row],[CP level]]&gt;9.9,1,0)</f>
        <v>0</v>
      </c>
      <c r="AJ157" s="135">
        <f>Table2[[#This Row],[Column3]]*Table2[[#This Row],[Coating defect survey2]]</f>
        <v>0</v>
      </c>
      <c r="AK157" s="170">
        <v>19.493670000000002</v>
      </c>
    </row>
    <row r="158" spans="1:37" s="100" customFormat="1">
      <c r="A158" s="94">
        <v>2</v>
      </c>
      <c r="B158" s="95" t="s">
        <v>405</v>
      </c>
      <c r="C158" s="96">
        <v>673110001</v>
      </c>
      <c r="D158" s="97" t="s">
        <v>277</v>
      </c>
      <c r="E158" s="98"/>
      <c r="F158" s="98">
        <v>1988</v>
      </c>
      <c r="G158" s="98">
        <f>2013-Table2[[#This Row],[Startup Year]]</f>
        <v>25</v>
      </c>
      <c r="H158" s="98" t="s">
        <v>103</v>
      </c>
      <c r="I158" s="98" t="s">
        <v>108</v>
      </c>
      <c r="J158" s="98" t="s">
        <v>113</v>
      </c>
      <c r="K158" s="98">
        <v>0</v>
      </c>
      <c r="L158" s="98" t="s">
        <v>105</v>
      </c>
      <c r="M158" s="98" t="s">
        <v>129</v>
      </c>
      <c r="N158" s="98" t="s">
        <v>129</v>
      </c>
      <c r="O158" s="98" t="s">
        <v>105</v>
      </c>
      <c r="P158" s="98" t="s">
        <v>105</v>
      </c>
      <c r="Q158" s="98" t="s">
        <v>66</v>
      </c>
      <c r="R158" s="98" t="s">
        <v>72</v>
      </c>
      <c r="S15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21.677215189873415</v>
      </c>
      <c r="T158" s="98">
        <v>19.493670000000002</v>
      </c>
      <c r="U158" s="98"/>
      <c r="V158" s="98">
        <f>VLOOKUP(H158,'Ext. Pa'!$B$3:$C$77,2,FALSE)</f>
        <v>5</v>
      </c>
      <c r="W158" s="98">
        <f>VLOOKUP(I158,'Ext. Pa'!$B$3:$C$77,2,FALSE)</f>
        <v>1</v>
      </c>
      <c r="X158" s="98">
        <f>VLOOKUP(J158,'Ext. Pa'!$B$3:$C$77,2,FALSE)</f>
        <v>4</v>
      </c>
      <c r="Y158" s="98">
        <f>VLOOKUP(K158,'Ext. Pa'!$B$3:$C$77,2,FALSE)</f>
        <v>0</v>
      </c>
      <c r="Z158" s="98">
        <f>VLOOKUP(L158,'Ext. Pa'!$B$3:$C$77,2,FALSE)</f>
        <v>5</v>
      </c>
      <c r="AA158" s="98">
        <f>VLOOKUP(M158,'Ext. Pa'!$B$3:$C$77,2,FALSE)</f>
        <v>1</v>
      </c>
      <c r="AB158" s="98">
        <f>VLOOKUP(N158,'Ext. Pa'!$B$3:$C$77,2,FALSE)</f>
        <v>1</v>
      </c>
      <c r="AC158" s="98">
        <f>VLOOKUP(O158,'Ext. Pa'!$B$3:$C$77,2,FALSE)</f>
        <v>5</v>
      </c>
      <c r="AD158" s="98">
        <f>VLOOKUP(P158,'Ext. Pa'!$B$3:$C$77,2,FALSE)</f>
        <v>5</v>
      </c>
      <c r="AE158" s="98">
        <f>VLOOKUP(Q158,'Ext. Pa'!$B$3:$C$77,2,FALSE)</f>
        <v>6</v>
      </c>
      <c r="AF158" s="99">
        <f t="shared" ref="AF158:AF256" si="12">IF(G158&lt;40,(G158)/4,40)</f>
        <v>6.25</v>
      </c>
      <c r="AG158" s="134">
        <f>Table2[[#This Row],[Coating defect survey10]]</f>
        <v>5</v>
      </c>
      <c r="AH158" s="134">
        <f>Table2[[#This Row],[CP Level within NACE Criteria4]]</f>
        <v>1</v>
      </c>
      <c r="AI158" s="135">
        <f>IF(Table2[[#This Row],[CP level]]&gt;9.9,1,0)</f>
        <v>0</v>
      </c>
      <c r="AJ158" s="135">
        <f>Table2[[#This Row],[Column3]]*Table2[[#This Row],[Coating defect survey2]]</f>
        <v>0</v>
      </c>
      <c r="AK158" s="170">
        <v>19.493670000000002</v>
      </c>
    </row>
    <row r="159" spans="1:37" s="100" customFormat="1">
      <c r="A159" s="94">
        <v>2</v>
      </c>
      <c r="B159" s="95" t="s">
        <v>406</v>
      </c>
      <c r="C159" s="96">
        <v>673110002</v>
      </c>
      <c r="D159" s="97" t="s">
        <v>278</v>
      </c>
      <c r="E159" s="98"/>
      <c r="F159" s="98">
        <v>1988</v>
      </c>
      <c r="G159" s="98">
        <f>2013-Table2[[#This Row],[Startup Year]]</f>
        <v>25</v>
      </c>
      <c r="H159" s="98" t="s">
        <v>103</v>
      </c>
      <c r="I159" s="98" t="s">
        <v>108</v>
      </c>
      <c r="J159" s="98" t="s">
        <v>113</v>
      </c>
      <c r="K159" s="98">
        <v>0</v>
      </c>
      <c r="L159" s="98" t="s">
        <v>105</v>
      </c>
      <c r="M159" s="98" t="s">
        <v>105</v>
      </c>
      <c r="N159" s="98" t="s">
        <v>105</v>
      </c>
      <c r="O159" s="98" t="s">
        <v>105</v>
      </c>
      <c r="P159" s="98" t="s">
        <v>105</v>
      </c>
      <c r="Q159" s="98" t="s">
        <v>66</v>
      </c>
      <c r="R159" s="98" t="s">
        <v>72</v>
      </c>
      <c r="S15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21.677215189873415</v>
      </c>
      <c r="T159" s="98">
        <v>19.493670000000002</v>
      </c>
      <c r="U159" s="98"/>
      <c r="V159" s="98">
        <f>VLOOKUP(H159,'Ext. Pa'!$B$3:$C$77,2,FALSE)</f>
        <v>5</v>
      </c>
      <c r="W159" s="98">
        <f>VLOOKUP(I159,'Ext. Pa'!$B$3:$C$77,2,FALSE)</f>
        <v>1</v>
      </c>
      <c r="X159" s="98">
        <f>VLOOKUP(J159,'Ext. Pa'!$B$3:$C$77,2,FALSE)</f>
        <v>4</v>
      </c>
      <c r="Y159" s="98">
        <f>VLOOKUP(K159,'Ext. Pa'!$B$3:$C$77,2,FALSE)</f>
        <v>0</v>
      </c>
      <c r="Z159" s="98">
        <f>VLOOKUP(L159,'Ext. Pa'!$B$3:$C$77,2,FALSE)</f>
        <v>5</v>
      </c>
      <c r="AA159" s="98">
        <f>VLOOKUP(M159,'Ext. Pa'!$B$3:$C$77,2,FALSE)</f>
        <v>5</v>
      </c>
      <c r="AB159" s="98">
        <f>VLOOKUP(N159,'Ext. Pa'!$B$3:$C$77,2,FALSE)</f>
        <v>5</v>
      </c>
      <c r="AC159" s="98">
        <f>VLOOKUP(O159,'Ext. Pa'!$B$3:$C$77,2,FALSE)</f>
        <v>5</v>
      </c>
      <c r="AD159" s="98">
        <f>VLOOKUP(P159,'Ext. Pa'!$B$3:$C$77,2,FALSE)</f>
        <v>5</v>
      </c>
      <c r="AE159" s="98">
        <f>VLOOKUP(Q159,'Ext. Pa'!$B$3:$C$77,2,FALSE)</f>
        <v>6</v>
      </c>
      <c r="AF159" s="99">
        <f t="shared" si="12"/>
        <v>6.25</v>
      </c>
      <c r="AG159" s="134">
        <f>Table2[[#This Row],[Coating defect survey10]]</f>
        <v>5</v>
      </c>
      <c r="AH159" s="134">
        <f>Table2[[#This Row],[CP Level within NACE Criteria4]]</f>
        <v>1</v>
      </c>
      <c r="AI159" s="135">
        <f>IF(Table2[[#This Row],[CP level]]&gt;9.9,1,0)</f>
        <v>0</v>
      </c>
      <c r="AJ159" s="135">
        <f>Table2[[#This Row],[Column3]]*Table2[[#This Row],[Coating defect survey2]]</f>
        <v>0</v>
      </c>
      <c r="AK159" s="170">
        <v>19.493670000000002</v>
      </c>
    </row>
    <row r="160" spans="1:37" s="100" customFormat="1">
      <c r="A160" s="94">
        <v>2</v>
      </c>
      <c r="B160" s="95" t="s">
        <v>407</v>
      </c>
      <c r="C160" s="96">
        <v>673110003</v>
      </c>
      <c r="D160" s="97" t="s">
        <v>279</v>
      </c>
      <c r="E160" s="98"/>
      <c r="F160" s="98">
        <v>2002</v>
      </c>
      <c r="G160" s="98">
        <f>2013-Table2[[#This Row],[Startup Year]]</f>
        <v>11</v>
      </c>
      <c r="H160" s="98" t="s">
        <v>101</v>
      </c>
      <c r="I160" s="98" t="s">
        <v>108</v>
      </c>
      <c r="J160" s="98" t="s">
        <v>113</v>
      </c>
      <c r="K160" s="98">
        <v>0</v>
      </c>
      <c r="L160" s="98" t="s">
        <v>105</v>
      </c>
      <c r="M160" s="98" t="s">
        <v>105</v>
      </c>
      <c r="N160" s="98" t="s">
        <v>105</v>
      </c>
      <c r="O160" s="98" t="s">
        <v>105</v>
      </c>
      <c r="P160" s="98" t="s">
        <v>105</v>
      </c>
      <c r="Q160" s="98" t="s">
        <v>66</v>
      </c>
      <c r="R160" s="98" t="s">
        <v>72</v>
      </c>
      <c r="S16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17.436708860759492</v>
      </c>
      <c r="T160" s="98">
        <v>19.493670000000002</v>
      </c>
      <c r="U160" s="98"/>
      <c r="V160" s="98">
        <f>VLOOKUP(H160,'Ext. Pa'!$B$3:$C$77,2,FALSE)</f>
        <v>1</v>
      </c>
      <c r="W160" s="98">
        <f>VLOOKUP(I160,'Ext. Pa'!$B$3:$C$77,2,FALSE)</f>
        <v>1</v>
      </c>
      <c r="X160" s="98">
        <f>VLOOKUP(J160,'Ext. Pa'!$B$3:$C$77,2,FALSE)</f>
        <v>4</v>
      </c>
      <c r="Y160" s="98">
        <f>VLOOKUP(K160,'Ext. Pa'!$B$3:$C$77,2,FALSE)</f>
        <v>0</v>
      </c>
      <c r="Z160" s="98">
        <f>VLOOKUP(L160,'Ext. Pa'!$B$3:$C$77,2,FALSE)</f>
        <v>5</v>
      </c>
      <c r="AA160" s="98">
        <f>VLOOKUP(M160,'Ext. Pa'!$B$3:$C$77,2,FALSE)</f>
        <v>5</v>
      </c>
      <c r="AB160" s="98">
        <f>VLOOKUP(N160,'Ext. Pa'!$B$3:$C$77,2,FALSE)</f>
        <v>5</v>
      </c>
      <c r="AC160" s="98">
        <f>VLOOKUP(O160,'Ext. Pa'!$B$3:$C$77,2,FALSE)</f>
        <v>5</v>
      </c>
      <c r="AD160" s="98">
        <f>VLOOKUP(P160,'Ext. Pa'!$B$3:$C$77,2,FALSE)</f>
        <v>5</v>
      </c>
      <c r="AE160" s="98">
        <f>VLOOKUP(Q160,'Ext. Pa'!$B$3:$C$77,2,FALSE)</f>
        <v>6</v>
      </c>
      <c r="AF160" s="99">
        <f t="shared" si="12"/>
        <v>2.75</v>
      </c>
      <c r="AG160" s="134">
        <f>Table2[[#This Row],[Coating defect survey10]]</f>
        <v>5</v>
      </c>
      <c r="AH160" s="134">
        <f>Table2[[#This Row],[CP Level within NACE Criteria4]]</f>
        <v>1</v>
      </c>
      <c r="AI160" s="135">
        <f>IF(Table2[[#This Row],[CP level]]&gt;9.9,1,0)</f>
        <v>0</v>
      </c>
      <c r="AJ160" s="135">
        <f>Table2[[#This Row],[Column3]]*Table2[[#This Row],[Coating defect survey2]]</f>
        <v>0</v>
      </c>
      <c r="AK160" s="170">
        <v>19.493670000000002</v>
      </c>
    </row>
    <row r="161" spans="1:37" s="100" customFormat="1">
      <c r="A161" s="94">
        <v>2</v>
      </c>
      <c r="B161" s="95" t="s">
        <v>408</v>
      </c>
      <c r="C161" s="96">
        <v>673110004</v>
      </c>
      <c r="D161" s="97" t="s">
        <v>280</v>
      </c>
      <c r="E161" s="98"/>
      <c r="F161" s="98">
        <v>2013</v>
      </c>
      <c r="G161" s="98">
        <f>2013-Table2[[#This Row],[Startup Year]]</f>
        <v>0</v>
      </c>
      <c r="H161" s="98" t="s">
        <v>101</v>
      </c>
      <c r="I161" s="98" t="s">
        <v>108</v>
      </c>
      <c r="J161" s="98" t="s">
        <v>113</v>
      </c>
      <c r="K161" s="98">
        <v>0</v>
      </c>
      <c r="L161" s="98" t="s">
        <v>105</v>
      </c>
      <c r="M161" s="98" t="s">
        <v>129</v>
      </c>
      <c r="N161" s="98" t="s">
        <v>129</v>
      </c>
      <c r="O161" s="98" t="s">
        <v>105</v>
      </c>
      <c r="P161" s="98" t="s">
        <v>105</v>
      </c>
      <c r="Q161" s="98" t="s">
        <v>66</v>
      </c>
      <c r="R161" s="98" t="s">
        <v>72</v>
      </c>
      <c r="S16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1" s="98">
        <v>19.493670000000002</v>
      </c>
      <c r="U161" s="98"/>
      <c r="V161" s="98">
        <f>VLOOKUP(H161,'Ext. Pa'!$B$3:$C$77,2,FALSE)</f>
        <v>1</v>
      </c>
      <c r="W161" s="98">
        <f>VLOOKUP(I161,'Ext. Pa'!$B$3:$C$77,2,FALSE)</f>
        <v>1</v>
      </c>
      <c r="X161" s="98">
        <f>VLOOKUP(J161,'Ext. Pa'!$B$3:$C$77,2,FALSE)</f>
        <v>4</v>
      </c>
      <c r="Y161" s="98">
        <f>VLOOKUP(K161,'Ext. Pa'!$B$3:$C$77,2,FALSE)</f>
        <v>0</v>
      </c>
      <c r="Z161" s="98">
        <f>VLOOKUP(L161,'Ext. Pa'!$B$3:$C$77,2,FALSE)</f>
        <v>5</v>
      </c>
      <c r="AA161" s="98">
        <f>VLOOKUP(M161,'Ext. Pa'!$B$3:$C$77,2,FALSE)</f>
        <v>1</v>
      </c>
      <c r="AB161" s="98">
        <f>VLOOKUP(N161,'Ext. Pa'!$B$3:$C$77,2,FALSE)</f>
        <v>1</v>
      </c>
      <c r="AC161" s="98">
        <f>VLOOKUP(O161,'Ext. Pa'!$B$3:$C$77,2,FALSE)</f>
        <v>5</v>
      </c>
      <c r="AD161" s="98">
        <f>VLOOKUP(P161,'Ext. Pa'!$B$3:$C$77,2,FALSE)</f>
        <v>5</v>
      </c>
      <c r="AE161" s="98">
        <f>VLOOKUP(Q161,'Ext. Pa'!$B$3:$C$77,2,FALSE)</f>
        <v>6</v>
      </c>
      <c r="AF161" s="99">
        <f t="shared" si="12"/>
        <v>0</v>
      </c>
      <c r="AG161" s="134">
        <f>Table2[[#This Row],[Coating defect survey10]]</f>
        <v>5</v>
      </c>
      <c r="AH161" s="134">
        <f>Table2[[#This Row],[CP Level within NACE Criteria4]]</f>
        <v>1</v>
      </c>
      <c r="AI161" s="135">
        <f>IF(Table2[[#This Row],[CP level]]&gt;9.9,1,0)</f>
        <v>0</v>
      </c>
      <c r="AJ161" s="135">
        <f>Table2[[#This Row],[Column3]]*Table2[[#This Row],[Coating defect survey2]]</f>
        <v>0</v>
      </c>
      <c r="AK161" s="170">
        <v>19.493670000000002</v>
      </c>
    </row>
    <row r="162" spans="1:37" s="100" customFormat="1">
      <c r="A162" s="94">
        <v>2</v>
      </c>
      <c r="B162" s="95" t="s">
        <v>409</v>
      </c>
      <c r="C162" s="96">
        <v>673110005</v>
      </c>
      <c r="D162" s="97" t="s">
        <v>281</v>
      </c>
      <c r="E162" s="98"/>
      <c r="F162" s="98">
        <v>2013</v>
      </c>
      <c r="G162" s="98">
        <f>2013-Table2[[#This Row],[Startup Year]]</f>
        <v>0</v>
      </c>
      <c r="H162" s="98" t="s">
        <v>101</v>
      </c>
      <c r="I162" s="98" t="s">
        <v>108</v>
      </c>
      <c r="J162" s="98" t="s">
        <v>113</v>
      </c>
      <c r="K162" s="98">
        <v>0</v>
      </c>
      <c r="L162" s="98" t="s">
        <v>105</v>
      </c>
      <c r="M162" s="98" t="s">
        <v>129</v>
      </c>
      <c r="N162" s="98" t="s">
        <v>129</v>
      </c>
      <c r="O162" s="98" t="s">
        <v>105</v>
      </c>
      <c r="P162" s="98" t="s">
        <v>105</v>
      </c>
      <c r="Q162" s="98" t="s">
        <v>66</v>
      </c>
      <c r="R162" s="98" t="s">
        <v>72</v>
      </c>
      <c r="S16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2" s="98">
        <v>19.493670000000002</v>
      </c>
      <c r="U162" s="98"/>
      <c r="V162" s="98">
        <f>VLOOKUP(H162,'Ext. Pa'!$B$3:$C$77,2,FALSE)</f>
        <v>1</v>
      </c>
      <c r="W162" s="98">
        <f>VLOOKUP(I162,'Ext. Pa'!$B$3:$C$77,2,FALSE)</f>
        <v>1</v>
      </c>
      <c r="X162" s="98">
        <f>VLOOKUP(J162,'Ext. Pa'!$B$3:$C$77,2,FALSE)</f>
        <v>4</v>
      </c>
      <c r="Y162" s="98">
        <f>VLOOKUP(K162,'Ext. Pa'!$B$3:$C$77,2,FALSE)</f>
        <v>0</v>
      </c>
      <c r="Z162" s="98">
        <f>VLOOKUP(L162,'Ext. Pa'!$B$3:$C$77,2,FALSE)</f>
        <v>5</v>
      </c>
      <c r="AA162" s="98">
        <f>VLOOKUP(M162,'Ext. Pa'!$B$3:$C$77,2,FALSE)</f>
        <v>1</v>
      </c>
      <c r="AB162" s="98">
        <f>VLOOKUP(N162,'Ext. Pa'!$B$3:$C$77,2,FALSE)</f>
        <v>1</v>
      </c>
      <c r="AC162" s="98">
        <f>VLOOKUP(O162,'Ext. Pa'!$B$3:$C$77,2,FALSE)</f>
        <v>5</v>
      </c>
      <c r="AD162" s="98">
        <f>VLOOKUP(P162,'Ext. Pa'!$B$3:$C$77,2,FALSE)</f>
        <v>5</v>
      </c>
      <c r="AE162" s="98">
        <f>VLOOKUP(Q162,'Ext. Pa'!$B$3:$C$77,2,FALSE)</f>
        <v>6</v>
      </c>
      <c r="AF162" s="99">
        <f t="shared" si="12"/>
        <v>0</v>
      </c>
      <c r="AG162" s="134">
        <f>Table2[[#This Row],[Coating defect survey10]]</f>
        <v>5</v>
      </c>
      <c r="AH162" s="134">
        <f>Table2[[#This Row],[CP Level within NACE Criteria4]]</f>
        <v>1</v>
      </c>
      <c r="AI162" s="135">
        <f>IF(Table2[[#This Row],[CP level]]&gt;9.9,1,0)</f>
        <v>0</v>
      </c>
      <c r="AJ162" s="135">
        <f>Table2[[#This Row],[Column3]]*Table2[[#This Row],[Coating defect survey2]]</f>
        <v>0</v>
      </c>
      <c r="AK162" s="170">
        <v>19.493670000000002</v>
      </c>
    </row>
    <row r="163" spans="1:37" s="100" customFormat="1">
      <c r="A163" s="94">
        <v>2</v>
      </c>
      <c r="B163" s="95" t="s">
        <v>410</v>
      </c>
      <c r="C163" s="96">
        <v>673110103</v>
      </c>
      <c r="D163" s="97" t="s">
        <v>282</v>
      </c>
      <c r="E163" s="98"/>
      <c r="F163" s="98">
        <v>2013</v>
      </c>
      <c r="G163" s="98">
        <f>2013-Table2[[#This Row],[Startup Year]]</f>
        <v>0</v>
      </c>
      <c r="H163" s="98" t="s">
        <v>101</v>
      </c>
      <c r="I163" s="98" t="s">
        <v>108</v>
      </c>
      <c r="J163" s="98" t="s">
        <v>113</v>
      </c>
      <c r="K163" s="98">
        <v>0</v>
      </c>
      <c r="L163" s="98" t="s">
        <v>105</v>
      </c>
      <c r="M163" s="98" t="s">
        <v>129</v>
      </c>
      <c r="N163" s="98" t="s">
        <v>129</v>
      </c>
      <c r="O163" s="98" t="s">
        <v>105</v>
      </c>
      <c r="P163" s="98" t="s">
        <v>105</v>
      </c>
      <c r="Q163" s="98" t="s">
        <v>66</v>
      </c>
      <c r="R163" s="98" t="s">
        <v>72</v>
      </c>
      <c r="S16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3" s="98">
        <v>19.493670000000002</v>
      </c>
      <c r="U163" s="98"/>
      <c r="V163" s="98">
        <f>VLOOKUP(H163,'Ext. Pa'!$B$3:$C$77,2,FALSE)</f>
        <v>1</v>
      </c>
      <c r="W163" s="98">
        <f>VLOOKUP(I163,'Ext. Pa'!$B$3:$C$77,2,FALSE)</f>
        <v>1</v>
      </c>
      <c r="X163" s="98">
        <f>VLOOKUP(J163,'Ext. Pa'!$B$3:$C$77,2,FALSE)</f>
        <v>4</v>
      </c>
      <c r="Y163" s="98">
        <f>VLOOKUP(K163,'Ext. Pa'!$B$3:$C$77,2,FALSE)</f>
        <v>0</v>
      </c>
      <c r="Z163" s="98">
        <f>VLOOKUP(L163,'Ext. Pa'!$B$3:$C$77,2,FALSE)</f>
        <v>5</v>
      </c>
      <c r="AA163" s="98">
        <f>VLOOKUP(M163,'Ext. Pa'!$B$3:$C$77,2,FALSE)</f>
        <v>1</v>
      </c>
      <c r="AB163" s="98">
        <f>VLOOKUP(N163,'Ext. Pa'!$B$3:$C$77,2,FALSE)</f>
        <v>1</v>
      </c>
      <c r="AC163" s="98">
        <f>VLOOKUP(O163,'Ext. Pa'!$B$3:$C$77,2,FALSE)</f>
        <v>5</v>
      </c>
      <c r="AD163" s="98">
        <f>VLOOKUP(P163,'Ext. Pa'!$B$3:$C$77,2,FALSE)</f>
        <v>5</v>
      </c>
      <c r="AE163" s="98">
        <f>VLOOKUP(Q163,'Ext. Pa'!$B$3:$C$77,2,FALSE)</f>
        <v>6</v>
      </c>
      <c r="AF163" s="99">
        <f t="shared" si="12"/>
        <v>0</v>
      </c>
      <c r="AG163" s="134">
        <f>Table2[[#This Row],[Coating defect survey10]]</f>
        <v>5</v>
      </c>
      <c r="AH163" s="134">
        <f>Table2[[#This Row],[CP Level within NACE Criteria4]]</f>
        <v>1</v>
      </c>
      <c r="AI163" s="135">
        <f>IF(Table2[[#This Row],[CP level]]&gt;9.9,1,0)</f>
        <v>0</v>
      </c>
      <c r="AJ163" s="135">
        <f>Table2[[#This Row],[Column3]]*Table2[[#This Row],[Coating defect survey2]]</f>
        <v>0</v>
      </c>
      <c r="AK163" s="170">
        <v>19.493670000000002</v>
      </c>
    </row>
    <row r="164" spans="1:37" s="100" customFormat="1">
      <c r="A164" s="94">
        <v>2</v>
      </c>
      <c r="B164" s="95" t="s">
        <v>411</v>
      </c>
      <c r="C164" s="96">
        <v>673200001</v>
      </c>
      <c r="D164" s="97" t="s">
        <v>283</v>
      </c>
      <c r="E164" s="98"/>
      <c r="F164" s="98">
        <v>1988</v>
      </c>
      <c r="G164" s="98">
        <f>2013-Table2[[#This Row],[Startup Year]]</f>
        <v>25</v>
      </c>
      <c r="H164" s="98" t="s">
        <v>103</v>
      </c>
      <c r="I164" s="98" t="s">
        <v>108</v>
      </c>
      <c r="J164" s="98" t="s">
        <v>113</v>
      </c>
      <c r="K164" s="98">
        <v>0</v>
      </c>
      <c r="L164" s="98" t="s">
        <v>105</v>
      </c>
      <c r="M164" s="98" t="s">
        <v>129</v>
      </c>
      <c r="N164" s="98" t="s">
        <v>129</v>
      </c>
      <c r="O164" s="98" t="s">
        <v>105</v>
      </c>
      <c r="P164" s="98" t="s">
        <v>105</v>
      </c>
      <c r="Q164" s="98" t="s">
        <v>66</v>
      </c>
      <c r="R164" s="98" t="s">
        <v>72</v>
      </c>
      <c r="S16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21.677215189873415</v>
      </c>
      <c r="T164" s="98">
        <v>19.493670000000002</v>
      </c>
      <c r="U164" s="98"/>
      <c r="V164" s="98">
        <f>VLOOKUP(H164,'Ext. Pa'!$B$3:$C$77,2,FALSE)</f>
        <v>5</v>
      </c>
      <c r="W164" s="98">
        <f>VLOOKUP(I164,'Ext. Pa'!$B$3:$C$77,2,FALSE)</f>
        <v>1</v>
      </c>
      <c r="X164" s="98">
        <f>VLOOKUP(J164,'Ext. Pa'!$B$3:$C$77,2,FALSE)</f>
        <v>4</v>
      </c>
      <c r="Y164" s="98">
        <f>VLOOKUP(K164,'Ext. Pa'!$B$3:$C$77,2,FALSE)</f>
        <v>0</v>
      </c>
      <c r="Z164" s="98">
        <f>VLOOKUP(L164,'Ext. Pa'!$B$3:$C$77,2,FALSE)</f>
        <v>5</v>
      </c>
      <c r="AA164" s="98">
        <f>VLOOKUP(M164,'Ext. Pa'!$B$3:$C$77,2,FALSE)</f>
        <v>1</v>
      </c>
      <c r="AB164" s="98">
        <f>VLOOKUP(N164,'Ext. Pa'!$B$3:$C$77,2,FALSE)</f>
        <v>1</v>
      </c>
      <c r="AC164" s="98">
        <f>VLOOKUP(O164,'Ext. Pa'!$B$3:$C$77,2,FALSE)</f>
        <v>5</v>
      </c>
      <c r="AD164" s="98">
        <f>VLOOKUP(P164,'Ext. Pa'!$B$3:$C$77,2,FALSE)</f>
        <v>5</v>
      </c>
      <c r="AE164" s="98">
        <f>VLOOKUP(Q164,'Ext. Pa'!$B$3:$C$77,2,FALSE)</f>
        <v>6</v>
      </c>
      <c r="AF164" s="99">
        <f t="shared" si="12"/>
        <v>6.25</v>
      </c>
      <c r="AG164" s="134">
        <f>Table2[[#This Row],[Coating defect survey10]]</f>
        <v>5</v>
      </c>
      <c r="AH164" s="134">
        <f>Table2[[#This Row],[CP Level within NACE Criteria4]]</f>
        <v>1</v>
      </c>
      <c r="AI164" s="135">
        <f>IF(Table2[[#This Row],[CP level]]&gt;9.9,1,0)</f>
        <v>0</v>
      </c>
      <c r="AJ164" s="135">
        <f>Table2[[#This Row],[Column3]]*Table2[[#This Row],[Coating defect survey2]]</f>
        <v>0</v>
      </c>
      <c r="AK164" s="170">
        <v>19.493670000000002</v>
      </c>
    </row>
    <row r="165" spans="1:37" s="100" customFormat="1">
      <c r="A165" s="94">
        <v>2</v>
      </c>
      <c r="B165" s="95" t="s">
        <v>412</v>
      </c>
      <c r="C165" s="96">
        <v>673200002</v>
      </c>
      <c r="D165" s="97" t="s">
        <v>284</v>
      </c>
      <c r="E165" s="98"/>
      <c r="F165" s="98">
        <v>1988</v>
      </c>
      <c r="G165" s="98">
        <f>2013-Table2[[#This Row],[Startup Year]]</f>
        <v>25</v>
      </c>
      <c r="H165" s="98" t="s">
        <v>103</v>
      </c>
      <c r="I165" s="98" t="s">
        <v>108</v>
      </c>
      <c r="J165" s="98" t="s">
        <v>113</v>
      </c>
      <c r="K165" s="98">
        <v>0</v>
      </c>
      <c r="L165" s="98" t="s">
        <v>105</v>
      </c>
      <c r="M165" s="98" t="s">
        <v>129</v>
      </c>
      <c r="N165" s="98" t="s">
        <v>129</v>
      </c>
      <c r="O165" s="98" t="s">
        <v>105</v>
      </c>
      <c r="P165" s="98" t="s">
        <v>105</v>
      </c>
      <c r="Q165" s="98" t="s">
        <v>66</v>
      </c>
      <c r="R165" s="98" t="s">
        <v>72</v>
      </c>
      <c r="S16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21.677215189873415</v>
      </c>
      <c r="T165" s="98">
        <v>19.493670000000002</v>
      </c>
      <c r="U165" s="98"/>
      <c r="V165" s="98">
        <f>VLOOKUP(H165,'Ext. Pa'!$B$3:$C$77,2,FALSE)</f>
        <v>5</v>
      </c>
      <c r="W165" s="98">
        <f>VLOOKUP(I165,'Ext. Pa'!$B$3:$C$77,2,FALSE)</f>
        <v>1</v>
      </c>
      <c r="X165" s="98">
        <f>VLOOKUP(J165,'Ext. Pa'!$B$3:$C$77,2,FALSE)</f>
        <v>4</v>
      </c>
      <c r="Y165" s="98">
        <f>VLOOKUP(K165,'Ext. Pa'!$B$3:$C$77,2,FALSE)</f>
        <v>0</v>
      </c>
      <c r="Z165" s="98">
        <f>VLOOKUP(L165,'Ext. Pa'!$B$3:$C$77,2,FALSE)</f>
        <v>5</v>
      </c>
      <c r="AA165" s="98">
        <f>VLOOKUP(M165,'Ext. Pa'!$B$3:$C$77,2,FALSE)</f>
        <v>1</v>
      </c>
      <c r="AB165" s="98">
        <f>VLOOKUP(N165,'Ext. Pa'!$B$3:$C$77,2,FALSE)</f>
        <v>1</v>
      </c>
      <c r="AC165" s="98">
        <f>VLOOKUP(O165,'Ext. Pa'!$B$3:$C$77,2,FALSE)</f>
        <v>5</v>
      </c>
      <c r="AD165" s="98">
        <f>VLOOKUP(P165,'Ext. Pa'!$B$3:$C$77,2,FALSE)</f>
        <v>5</v>
      </c>
      <c r="AE165" s="98">
        <f>VLOOKUP(Q165,'Ext. Pa'!$B$3:$C$77,2,FALSE)</f>
        <v>6</v>
      </c>
      <c r="AF165" s="99">
        <f t="shared" si="12"/>
        <v>6.25</v>
      </c>
      <c r="AG165" s="134">
        <f>Table2[[#This Row],[Coating defect survey10]]</f>
        <v>5</v>
      </c>
      <c r="AH165" s="134">
        <f>Table2[[#This Row],[CP Level within NACE Criteria4]]</f>
        <v>1</v>
      </c>
      <c r="AI165" s="135">
        <f>IF(Table2[[#This Row],[CP level]]&gt;9.9,1,0)</f>
        <v>0</v>
      </c>
      <c r="AJ165" s="135">
        <f>Table2[[#This Row],[Column3]]*Table2[[#This Row],[Coating defect survey2]]</f>
        <v>0</v>
      </c>
      <c r="AK165" s="170">
        <v>19.493670000000002</v>
      </c>
    </row>
    <row r="166" spans="1:37" s="100" customFormat="1">
      <c r="A166" s="94">
        <v>2</v>
      </c>
      <c r="B166" s="95" t="s">
        <v>413</v>
      </c>
      <c r="C166" s="96">
        <v>673500001</v>
      </c>
      <c r="D166" s="97" t="s">
        <v>285</v>
      </c>
      <c r="E166" s="98"/>
      <c r="F166" s="98">
        <v>2013</v>
      </c>
      <c r="G166" s="98">
        <f>2013-Table2[[#This Row],[Startup Year]]</f>
        <v>0</v>
      </c>
      <c r="H166" s="98" t="s">
        <v>101</v>
      </c>
      <c r="I166" s="98" t="s">
        <v>108</v>
      </c>
      <c r="J166" s="98" t="s">
        <v>113</v>
      </c>
      <c r="K166" s="98">
        <v>0</v>
      </c>
      <c r="L166" s="98" t="s">
        <v>105</v>
      </c>
      <c r="M166" s="98" t="s">
        <v>129</v>
      </c>
      <c r="N166" s="98" t="s">
        <v>129</v>
      </c>
      <c r="O166" s="98" t="s">
        <v>105</v>
      </c>
      <c r="P166" s="98" t="s">
        <v>105</v>
      </c>
      <c r="Q166" s="98" t="s">
        <v>66</v>
      </c>
      <c r="R166" s="98" t="s">
        <v>72</v>
      </c>
      <c r="S16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6" s="98">
        <v>19.493670000000002</v>
      </c>
      <c r="U166" s="98"/>
      <c r="V166" s="98">
        <f>VLOOKUP(H166,'Ext. Pa'!$B$3:$C$77,2,FALSE)</f>
        <v>1</v>
      </c>
      <c r="W166" s="98">
        <f>VLOOKUP(I166,'Ext. Pa'!$B$3:$C$77,2,FALSE)</f>
        <v>1</v>
      </c>
      <c r="X166" s="98">
        <f>VLOOKUP(J166,'Ext. Pa'!$B$3:$C$77,2,FALSE)</f>
        <v>4</v>
      </c>
      <c r="Y166" s="98">
        <f>VLOOKUP(K166,'Ext. Pa'!$B$3:$C$77,2,FALSE)</f>
        <v>0</v>
      </c>
      <c r="Z166" s="98">
        <f>VLOOKUP(L166,'Ext. Pa'!$B$3:$C$77,2,FALSE)</f>
        <v>5</v>
      </c>
      <c r="AA166" s="98">
        <f>VLOOKUP(M166,'Ext. Pa'!$B$3:$C$77,2,FALSE)</f>
        <v>1</v>
      </c>
      <c r="AB166" s="98">
        <f>VLOOKUP(N166,'Ext. Pa'!$B$3:$C$77,2,FALSE)</f>
        <v>1</v>
      </c>
      <c r="AC166" s="98">
        <f>VLOOKUP(O166,'Ext. Pa'!$B$3:$C$77,2,FALSE)</f>
        <v>5</v>
      </c>
      <c r="AD166" s="98">
        <f>VLOOKUP(P166,'Ext. Pa'!$B$3:$C$77,2,FALSE)</f>
        <v>5</v>
      </c>
      <c r="AE166" s="98">
        <f>VLOOKUP(Q166,'Ext. Pa'!$B$3:$C$77,2,FALSE)</f>
        <v>6</v>
      </c>
      <c r="AF166" s="99">
        <f t="shared" si="12"/>
        <v>0</v>
      </c>
      <c r="AG166" s="134">
        <f>Table2[[#This Row],[Coating defect survey10]]</f>
        <v>5</v>
      </c>
      <c r="AH166" s="134">
        <f>Table2[[#This Row],[CP Level within NACE Criteria4]]</f>
        <v>1</v>
      </c>
      <c r="AI166" s="135">
        <f>IF(Table2[[#This Row],[CP level]]&gt;9.9,1,0)</f>
        <v>0</v>
      </c>
      <c r="AJ166" s="135">
        <f>Table2[[#This Row],[Column3]]*Table2[[#This Row],[Coating defect survey2]]</f>
        <v>0</v>
      </c>
      <c r="AK166" s="170">
        <v>19.493670000000002</v>
      </c>
    </row>
    <row r="167" spans="1:37" s="100" customFormat="1">
      <c r="A167" s="94">
        <v>2</v>
      </c>
      <c r="B167" s="95" t="s">
        <v>414</v>
      </c>
      <c r="C167" s="96">
        <v>673600001</v>
      </c>
      <c r="D167" s="97" t="s">
        <v>286</v>
      </c>
      <c r="E167" s="98"/>
      <c r="F167" s="98">
        <v>2013</v>
      </c>
      <c r="G167" s="98">
        <f>2013-Table2[[#This Row],[Startup Year]]</f>
        <v>0</v>
      </c>
      <c r="H167" s="98" t="s">
        <v>101</v>
      </c>
      <c r="I167" s="98" t="s">
        <v>108</v>
      </c>
      <c r="J167" s="98" t="s">
        <v>113</v>
      </c>
      <c r="K167" s="98">
        <v>0</v>
      </c>
      <c r="L167" s="98" t="s">
        <v>105</v>
      </c>
      <c r="M167" s="98" t="s">
        <v>129</v>
      </c>
      <c r="N167" s="98" t="s">
        <v>129</v>
      </c>
      <c r="O167" s="98" t="s">
        <v>105</v>
      </c>
      <c r="P167" s="98" t="s">
        <v>105</v>
      </c>
      <c r="Q167" s="98" t="s">
        <v>66</v>
      </c>
      <c r="R167" s="98" t="s">
        <v>72</v>
      </c>
      <c r="S16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7" s="98">
        <v>19.493670000000002</v>
      </c>
      <c r="U167" s="98"/>
      <c r="V167" s="98">
        <f>VLOOKUP(H167,'Ext. Pa'!$B$3:$C$77,2,FALSE)</f>
        <v>1</v>
      </c>
      <c r="W167" s="98">
        <f>VLOOKUP(I167,'Ext. Pa'!$B$3:$C$77,2,FALSE)</f>
        <v>1</v>
      </c>
      <c r="X167" s="98">
        <f>VLOOKUP(J167,'Ext. Pa'!$B$3:$C$77,2,FALSE)</f>
        <v>4</v>
      </c>
      <c r="Y167" s="98">
        <f>VLOOKUP(K167,'Ext. Pa'!$B$3:$C$77,2,FALSE)</f>
        <v>0</v>
      </c>
      <c r="Z167" s="98">
        <f>VLOOKUP(L167,'Ext. Pa'!$B$3:$C$77,2,FALSE)</f>
        <v>5</v>
      </c>
      <c r="AA167" s="98">
        <f>VLOOKUP(M167,'Ext. Pa'!$B$3:$C$77,2,FALSE)</f>
        <v>1</v>
      </c>
      <c r="AB167" s="98">
        <f>VLOOKUP(N167,'Ext. Pa'!$B$3:$C$77,2,FALSE)</f>
        <v>1</v>
      </c>
      <c r="AC167" s="98">
        <f>VLOOKUP(O167,'Ext. Pa'!$B$3:$C$77,2,FALSE)</f>
        <v>5</v>
      </c>
      <c r="AD167" s="98">
        <f>VLOOKUP(P167,'Ext. Pa'!$B$3:$C$77,2,FALSE)</f>
        <v>5</v>
      </c>
      <c r="AE167" s="98">
        <f>VLOOKUP(Q167,'Ext. Pa'!$B$3:$C$77,2,FALSE)</f>
        <v>6</v>
      </c>
      <c r="AF167" s="99">
        <f t="shared" si="12"/>
        <v>0</v>
      </c>
      <c r="AG167" s="134">
        <f>Table2[[#This Row],[Coating defect survey10]]</f>
        <v>5</v>
      </c>
      <c r="AH167" s="134">
        <f>Table2[[#This Row],[CP Level within NACE Criteria4]]</f>
        <v>1</v>
      </c>
      <c r="AI167" s="135">
        <f>IF(Table2[[#This Row],[CP level]]&gt;9.9,1,0)</f>
        <v>0</v>
      </c>
      <c r="AJ167" s="135">
        <f>Table2[[#This Row],[Column3]]*Table2[[#This Row],[Coating defect survey2]]</f>
        <v>0</v>
      </c>
      <c r="AK167" s="170">
        <v>19.493670000000002</v>
      </c>
    </row>
    <row r="168" spans="1:37" s="100" customFormat="1">
      <c r="A168" s="94">
        <v>2</v>
      </c>
      <c r="B168" s="95" t="s">
        <v>415</v>
      </c>
      <c r="C168" s="96">
        <v>673700001</v>
      </c>
      <c r="D168" s="97" t="s">
        <v>287</v>
      </c>
      <c r="E168" s="98"/>
      <c r="F168" s="98">
        <v>2013</v>
      </c>
      <c r="G168" s="98">
        <f>2013-Table2[[#This Row],[Startup Year]]</f>
        <v>0</v>
      </c>
      <c r="H168" s="98" t="s">
        <v>101</v>
      </c>
      <c r="I168" s="98" t="s">
        <v>108</v>
      </c>
      <c r="J168" s="98" t="s">
        <v>113</v>
      </c>
      <c r="K168" s="98">
        <v>0</v>
      </c>
      <c r="L168" s="98" t="s">
        <v>105</v>
      </c>
      <c r="M168" s="98" t="s">
        <v>129</v>
      </c>
      <c r="N168" s="98" t="s">
        <v>129</v>
      </c>
      <c r="O168" s="98" t="s">
        <v>105</v>
      </c>
      <c r="P168" s="98" t="s">
        <v>105</v>
      </c>
      <c r="Q168" s="98" t="s">
        <v>66</v>
      </c>
      <c r="R168" s="98" t="s">
        <v>72</v>
      </c>
      <c r="S16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8" s="98">
        <v>19.493670000000002</v>
      </c>
      <c r="U168" s="98"/>
      <c r="V168" s="98">
        <f>VLOOKUP(H168,'Ext. Pa'!$B$3:$C$77,2,FALSE)</f>
        <v>1</v>
      </c>
      <c r="W168" s="98">
        <f>VLOOKUP(I168,'Ext. Pa'!$B$3:$C$77,2,FALSE)</f>
        <v>1</v>
      </c>
      <c r="X168" s="98">
        <f>VLOOKUP(J168,'Ext. Pa'!$B$3:$C$77,2,FALSE)</f>
        <v>4</v>
      </c>
      <c r="Y168" s="98">
        <f>VLOOKUP(K168,'Ext. Pa'!$B$3:$C$77,2,FALSE)</f>
        <v>0</v>
      </c>
      <c r="Z168" s="98">
        <f>VLOOKUP(L168,'Ext. Pa'!$B$3:$C$77,2,FALSE)</f>
        <v>5</v>
      </c>
      <c r="AA168" s="98">
        <f>VLOOKUP(M168,'Ext. Pa'!$B$3:$C$77,2,FALSE)</f>
        <v>1</v>
      </c>
      <c r="AB168" s="98">
        <f>VLOOKUP(N168,'Ext. Pa'!$B$3:$C$77,2,FALSE)</f>
        <v>1</v>
      </c>
      <c r="AC168" s="98">
        <f>VLOOKUP(O168,'Ext. Pa'!$B$3:$C$77,2,FALSE)</f>
        <v>5</v>
      </c>
      <c r="AD168" s="98">
        <f>VLOOKUP(P168,'Ext. Pa'!$B$3:$C$77,2,FALSE)</f>
        <v>5</v>
      </c>
      <c r="AE168" s="98">
        <f>VLOOKUP(Q168,'Ext. Pa'!$B$3:$C$77,2,FALSE)</f>
        <v>6</v>
      </c>
      <c r="AF168" s="99">
        <f t="shared" si="12"/>
        <v>0</v>
      </c>
      <c r="AG168" s="134">
        <f>Table2[[#This Row],[Coating defect survey10]]</f>
        <v>5</v>
      </c>
      <c r="AH168" s="134">
        <f>Table2[[#This Row],[CP Level within NACE Criteria4]]</f>
        <v>1</v>
      </c>
      <c r="AI168" s="135">
        <f>IF(Table2[[#This Row],[CP level]]&gt;9.9,1,0)</f>
        <v>0</v>
      </c>
      <c r="AJ168" s="135">
        <f>Table2[[#This Row],[Column3]]*Table2[[#This Row],[Coating defect survey2]]</f>
        <v>0</v>
      </c>
      <c r="AK168" s="170">
        <v>19.493670000000002</v>
      </c>
    </row>
    <row r="169" spans="1:37" s="100" customFormat="1">
      <c r="A169" s="94">
        <v>2</v>
      </c>
      <c r="B169" s="95" t="s">
        <v>416</v>
      </c>
      <c r="C169" s="96">
        <v>674100001</v>
      </c>
      <c r="D169" s="97" t="s">
        <v>288</v>
      </c>
      <c r="E169" s="98"/>
      <c r="F169" s="98">
        <v>2013</v>
      </c>
      <c r="G169" s="98">
        <f>2013-Table2[[#This Row],[Startup Year]]</f>
        <v>0</v>
      </c>
      <c r="H169" s="98" t="s">
        <v>101</v>
      </c>
      <c r="I169" s="98" t="s">
        <v>108</v>
      </c>
      <c r="J169" s="98" t="s">
        <v>113</v>
      </c>
      <c r="K169" s="98">
        <v>0</v>
      </c>
      <c r="L169" s="98" t="s">
        <v>105</v>
      </c>
      <c r="M169" s="98" t="s">
        <v>129</v>
      </c>
      <c r="N169" s="98" t="s">
        <v>129</v>
      </c>
      <c r="O169" s="98" t="s">
        <v>105</v>
      </c>
      <c r="P169" s="98" t="s">
        <v>105</v>
      </c>
      <c r="Q169" s="98" t="s">
        <v>66</v>
      </c>
      <c r="R169" s="98" t="s">
        <v>72</v>
      </c>
      <c r="S16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69" s="98">
        <v>19.493670000000002</v>
      </c>
      <c r="U169" s="98"/>
      <c r="V169" s="98">
        <f>VLOOKUP(H169,'Ext. Pa'!$B$3:$C$77,2,FALSE)</f>
        <v>1</v>
      </c>
      <c r="W169" s="98">
        <f>VLOOKUP(I169,'Ext. Pa'!$B$3:$C$77,2,FALSE)</f>
        <v>1</v>
      </c>
      <c r="X169" s="98">
        <f>VLOOKUP(J169,'Ext. Pa'!$B$3:$C$77,2,FALSE)</f>
        <v>4</v>
      </c>
      <c r="Y169" s="98">
        <f>VLOOKUP(K169,'Ext. Pa'!$B$3:$C$77,2,FALSE)</f>
        <v>0</v>
      </c>
      <c r="Z169" s="98">
        <f>VLOOKUP(L169,'Ext. Pa'!$B$3:$C$77,2,FALSE)</f>
        <v>5</v>
      </c>
      <c r="AA169" s="98">
        <f>VLOOKUP(M169,'Ext. Pa'!$B$3:$C$77,2,FALSE)</f>
        <v>1</v>
      </c>
      <c r="AB169" s="98">
        <f>VLOOKUP(N169,'Ext. Pa'!$B$3:$C$77,2,FALSE)</f>
        <v>1</v>
      </c>
      <c r="AC169" s="98">
        <f>VLOOKUP(O169,'Ext. Pa'!$B$3:$C$77,2,FALSE)</f>
        <v>5</v>
      </c>
      <c r="AD169" s="98">
        <f>VLOOKUP(P169,'Ext. Pa'!$B$3:$C$77,2,FALSE)</f>
        <v>5</v>
      </c>
      <c r="AE169" s="98">
        <f>VLOOKUP(Q169,'Ext. Pa'!$B$3:$C$77,2,FALSE)</f>
        <v>6</v>
      </c>
      <c r="AF169" s="99">
        <f t="shared" si="12"/>
        <v>0</v>
      </c>
      <c r="AG169" s="134">
        <f>Table2[[#This Row],[Coating defect survey10]]</f>
        <v>5</v>
      </c>
      <c r="AH169" s="134">
        <f>Table2[[#This Row],[CP Level within NACE Criteria4]]</f>
        <v>1</v>
      </c>
      <c r="AI169" s="135">
        <f>IF(Table2[[#This Row],[CP level]]&gt;9.9,1,0)</f>
        <v>0</v>
      </c>
      <c r="AJ169" s="135">
        <f>Table2[[#This Row],[Column3]]*Table2[[#This Row],[Coating defect survey2]]</f>
        <v>0</v>
      </c>
      <c r="AK169" s="170">
        <v>19.493670000000002</v>
      </c>
    </row>
    <row r="170" spans="1:37" s="100" customFormat="1">
      <c r="A170" s="94">
        <v>2</v>
      </c>
      <c r="B170" s="95" t="s">
        <v>417</v>
      </c>
      <c r="C170" s="96">
        <v>692110101</v>
      </c>
      <c r="D170" s="97" t="s">
        <v>712</v>
      </c>
      <c r="E170" s="98"/>
      <c r="F170" s="98">
        <v>2013</v>
      </c>
      <c r="G170" s="98">
        <f>2013-Table2[[#This Row],[Startup Year]]</f>
        <v>0</v>
      </c>
      <c r="H170" s="98" t="s">
        <v>101</v>
      </c>
      <c r="I170" s="98" t="s">
        <v>108</v>
      </c>
      <c r="J170" s="98" t="s">
        <v>113</v>
      </c>
      <c r="K170" s="98">
        <v>0</v>
      </c>
      <c r="L170" s="98" t="s">
        <v>105</v>
      </c>
      <c r="M170" s="98" t="s">
        <v>129</v>
      </c>
      <c r="N170" s="98" t="s">
        <v>129</v>
      </c>
      <c r="O170" s="98" t="s">
        <v>105</v>
      </c>
      <c r="P170" s="98" t="s">
        <v>105</v>
      </c>
      <c r="Q170" s="98" t="s">
        <v>66</v>
      </c>
      <c r="R170" s="98" t="s">
        <v>72</v>
      </c>
      <c r="S17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15.696202531645568</v>
      </c>
      <c r="T170" s="98">
        <v>19.493670000000002</v>
      </c>
      <c r="U170" s="98"/>
      <c r="V170" s="98">
        <f>VLOOKUP(H170,'Ext. Pa'!$B$3:$C$77,2,FALSE)</f>
        <v>1</v>
      </c>
      <c r="W170" s="98">
        <f>VLOOKUP(I170,'Ext. Pa'!$B$3:$C$77,2,FALSE)</f>
        <v>1</v>
      </c>
      <c r="X170" s="98">
        <f>VLOOKUP(J170,'Ext. Pa'!$B$3:$C$77,2,FALSE)</f>
        <v>4</v>
      </c>
      <c r="Y170" s="98">
        <f>VLOOKUP(K170,'Ext. Pa'!$B$3:$C$77,2,FALSE)</f>
        <v>0</v>
      </c>
      <c r="Z170" s="98">
        <f>VLOOKUP(L170,'Ext. Pa'!$B$3:$C$77,2,FALSE)</f>
        <v>5</v>
      </c>
      <c r="AA170" s="98">
        <f>VLOOKUP(M170,'Ext. Pa'!$B$3:$C$77,2,FALSE)</f>
        <v>1</v>
      </c>
      <c r="AB170" s="98">
        <f>VLOOKUP(N170,'Ext. Pa'!$B$3:$C$77,2,FALSE)</f>
        <v>1</v>
      </c>
      <c r="AC170" s="98">
        <f>VLOOKUP(O170,'Ext. Pa'!$B$3:$C$77,2,FALSE)</f>
        <v>5</v>
      </c>
      <c r="AD170" s="98">
        <f>VLOOKUP(P170,'Ext. Pa'!$B$3:$C$77,2,FALSE)</f>
        <v>5</v>
      </c>
      <c r="AE170" s="98">
        <f>VLOOKUP(Q170,'Ext. Pa'!$B$3:$C$77,2,FALSE)</f>
        <v>6</v>
      </c>
      <c r="AF170" s="99">
        <f t="shared" si="12"/>
        <v>0</v>
      </c>
      <c r="AG170" s="134">
        <f>Table2[[#This Row],[Coating defect survey10]]</f>
        <v>5</v>
      </c>
      <c r="AH170" s="134">
        <f>Table2[[#This Row],[CP Level within NACE Criteria4]]</f>
        <v>1</v>
      </c>
      <c r="AI170" s="135">
        <f>IF(Table2[[#This Row],[CP level]]&gt;9.9,1,0)</f>
        <v>0</v>
      </c>
      <c r="AJ170" s="135">
        <f>Table2[[#This Row],[Column3]]*Table2[[#This Row],[Coating defect survey2]]</f>
        <v>0</v>
      </c>
      <c r="AK170" s="170">
        <v>19.493670000000002</v>
      </c>
    </row>
    <row r="171" spans="1:37" s="100" customFormat="1">
      <c r="A171" s="94">
        <v>2</v>
      </c>
      <c r="B171" s="95" t="s">
        <v>418</v>
      </c>
      <c r="C171" s="96">
        <v>692110103</v>
      </c>
      <c r="D171" s="97" t="s">
        <v>289</v>
      </c>
      <c r="E171" s="98"/>
      <c r="F171" s="98">
        <v>2000</v>
      </c>
      <c r="G171" s="98">
        <f>2013-Table2[[#This Row],[Startup Year]]</f>
        <v>13</v>
      </c>
      <c r="H171" s="98" t="s">
        <v>101</v>
      </c>
      <c r="I171" s="98" t="s">
        <v>108</v>
      </c>
      <c r="J171" s="98" t="s">
        <v>113</v>
      </c>
      <c r="K171" s="98">
        <v>0</v>
      </c>
      <c r="L171" s="98" t="s">
        <v>105</v>
      </c>
      <c r="M171" s="98" t="s">
        <v>105</v>
      </c>
      <c r="N171" s="98" t="s">
        <v>105</v>
      </c>
      <c r="O171" s="98" t="s">
        <v>105</v>
      </c>
      <c r="P171" s="98" t="s">
        <v>105</v>
      </c>
      <c r="Q171" s="98" t="s">
        <v>66</v>
      </c>
      <c r="R171" s="98" t="s">
        <v>72</v>
      </c>
      <c r="S17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1" s="98">
        <v>19.493670000000002</v>
      </c>
      <c r="U171" s="98"/>
      <c r="V171" s="98">
        <f>VLOOKUP(H171,'Ext. Pa'!$B$3:$C$77,2,FALSE)</f>
        <v>1</v>
      </c>
      <c r="W171" s="98">
        <f>VLOOKUP(I171,'Ext. Pa'!$B$3:$C$77,2,FALSE)</f>
        <v>1</v>
      </c>
      <c r="X171" s="98">
        <f>VLOOKUP(J171,'Ext. Pa'!$B$3:$C$77,2,FALSE)</f>
        <v>4</v>
      </c>
      <c r="Y171" s="98">
        <f>VLOOKUP(K171,'Ext. Pa'!$B$3:$C$77,2,FALSE)</f>
        <v>0</v>
      </c>
      <c r="Z171" s="98">
        <f>VLOOKUP(L171,'Ext. Pa'!$B$3:$C$77,2,FALSE)</f>
        <v>5</v>
      </c>
      <c r="AA171" s="98">
        <f>VLOOKUP(M171,'Ext. Pa'!$B$3:$C$77,2,FALSE)</f>
        <v>5</v>
      </c>
      <c r="AB171" s="98">
        <f>VLOOKUP(N171,'Ext. Pa'!$B$3:$C$77,2,FALSE)</f>
        <v>5</v>
      </c>
      <c r="AC171" s="98">
        <f>VLOOKUP(O171,'Ext. Pa'!$B$3:$C$77,2,FALSE)</f>
        <v>5</v>
      </c>
      <c r="AD171" s="98">
        <f>VLOOKUP(P171,'Ext. Pa'!$B$3:$C$77,2,FALSE)</f>
        <v>5</v>
      </c>
      <c r="AE171" s="98">
        <f>VLOOKUP(Q171,'Ext. Pa'!$B$3:$C$77,2,FALSE)</f>
        <v>6</v>
      </c>
      <c r="AF171" s="99">
        <f t="shared" si="12"/>
        <v>3.25</v>
      </c>
      <c r="AG171" s="134">
        <f>Table2[[#This Row],[Coating defect survey10]]</f>
        <v>5</v>
      </c>
      <c r="AH171" s="134">
        <f>Table2[[#This Row],[CP Level within NACE Criteria4]]</f>
        <v>1</v>
      </c>
      <c r="AI171" s="135">
        <f>IF(Table2[[#This Row],[CP level]]&gt;9.9,1,0)</f>
        <v>0</v>
      </c>
      <c r="AJ171" s="135">
        <f>Table2[[#This Row],[Column3]]*Table2[[#This Row],[Coating defect survey2]]</f>
        <v>0</v>
      </c>
      <c r="AK171" s="170">
        <v>19.493670000000002</v>
      </c>
    </row>
    <row r="172" spans="1:37" s="100" customFormat="1">
      <c r="A172" s="94">
        <v>3</v>
      </c>
      <c r="B172" s="95" t="s">
        <v>419</v>
      </c>
      <c r="C172" s="96">
        <v>330</v>
      </c>
      <c r="D172" s="97" t="s">
        <v>290</v>
      </c>
      <c r="E172" s="98"/>
      <c r="F172" s="98">
        <v>2000</v>
      </c>
      <c r="G172" s="98">
        <f>2013-Table2[[#This Row],[Startup Year]]</f>
        <v>13</v>
      </c>
      <c r="H172" s="98" t="s">
        <v>101</v>
      </c>
      <c r="I172" s="98" t="s">
        <v>108</v>
      </c>
      <c r="J172" s="98" t="s">
        <v>113</v>
      </c>
      <c r="K172" s="98">
        <v>0</v>
      </c>
      <c r="L172" s="98" t="s">
        <v>105</v>
      </c>
      <c r="M172" s="98" t="s">
        <v>105</v>
      </c>
      <c r="N172" s="98" t="s">
        <v>105</v>
      </c>
      <c r="O172" s="98" t="s">
        <v>105</v>
      </c>
      <c r="P172" s="98" t="s">
        <v>105</v>
      </c>
      <c r="Q172" s="98" t="s">
        <v>66</v>
      </c>
      <c r="R172" s="98" t="s">
        <v>72</v>
      </c>
      <c r="S17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2" s="98">
        <v>19.493670000000002</v>
      </c>
      <c r="U172" s="98"/>
      <c r="V172" s="98">
        <f>VLOOKUP(H172,'Ext. Pa'!$B$3:$C$77,2,FALSE)</f>
        <v>1</v>
      </c>
      <c r="W172" s="98">
        <f>VLOOKUP(I172,'Ext. Pa'!$B$3:$C$77,2,FALSE)</f>
        <v>1</v>
      </c>
      <c r="X172" s="98">
        <f>VLOOKUP(J172,'Ext. Pa'!$B$3:$C$77,2,FALSE)</f>
        <v>4</v>
      </c>
      <c r="Y172" s="98">
        <f>VLOOKUP(K172,'Ext. Pa'!$B$3:$C$77,2,FALSE)</f>
        <v>0</v>
      </c>
      <c r="Z172" s="98">
        <f>VLOOKUP(L172,'Ext. Pa'!$B$3:$C$77,2,FALSE)</f>
        <v>5</v>
      </c>
      <c r="AA172" s="98">
        <f>VLOOKUP(M172,'Ext. Pa'!$B$3:$C$77,2,FALSE)</f>
        <v>5</v>
      </c>
      <c r="AB172" s="98">
        <f>VLOOKUP(N172,'Ext. Pa'!$B$3:$C$77,2,FALSE)</f>
        <v>5</v>
      </c>
      <c r="AC172" s="98">
        <f>VLOOKUP(O172,'Ext. Pa'!$B$3:$C$77,2,FALSE)</f>
        <v>5</v>
      </c>
      <c r="AD172" s="98">
        <f>VLOOKUP(P172,'Ext. Pa'!$B$3:$C$77,2,FALSE)</f>
        <v>5</v>
      </c>
      <c r="AE172" s="98">
        <f>VLOOKUP(Q172,'Ext. Pa'!$B$3:$C$77,2,FALSE)</f>
        <v>6</v>
      </c>
      <c r="AF172" s="99">
        <f t="shared" si="12"/>
        <v>3.25</v>
      </c>
      <c r="AG172" s="133">
        <f>Table2[[#This Row],[Coating defect survey10]]</f>
        <v>5</v>
      </c>
      <c r="AH172" s="134">
        <f>Table2[[#This Row],[CP Level within NACE Criteria4]]</f>
        <v>1</v>
      </c>
      <c r="AI172" s="135">
        <f>IF(Table2[[#This Row],[CP level]]&gt;9.9,1,0)</f>
        <v>0</v>
      </c>
      <c r="AJ172" s="135">
        <f>Table2[[#This Row],[Column3]]*Table2[[#This Row],[Coating defect survey2]]</f>
        <v>0</v>
      </c>
      <c r="AK172" s="170">
        <v>19.493670000000002</v>
      </c>
    </row>
    <row r="173" spans="1:37" s="100" customFormat="1">
      <c r="A173" s="128">
        <v>3</v>
      </c>
      <c r="B173" s="129" t="s">
        <v>942</v>
      </c>
      <c r="C173" s="96">
        <v>3301</v>
      </c>
      <c r="D173" s="97" t="s">
        <v>943</v>
      </c>
      <c r="E173" s="168"/>
      <c r="F173" s="168">
        <v>2000</v>
      </c>
      <c r="G173" s="168">
        <f>2013-Table2[[#This Row],[Startup Year]]</f>
        <v>13</v>
      </c>
      <c r="H173" s="168" t="s">
        <v>101</v>
      </c>
      <c r="I173" s="130" t="s">
        <v>108</v>
      </c>
      <c r="J173" s="98" t="s">
        <v>113</v>
      </c>
      <c r="K173" s="98">
        <v>0</v>
      </c>
      <c r="L173" s="98" t="s">
        <v>105</v>
      </c>
      <c r="M173" s="98" t="s">
        <v>105</v>
      </c>
      <c r="N173" s="98" t="s">
        <v>105</v>
      </c>
      <c r="O173" s="98" t="s">
        <v>105</v>
      </c>
      <c r="P173" s="98" t="s">
        <v>105</v>
      </c>
      <c r="Q173" s="98" t="s">
        <v>66</v>
      </c>
      <c r="R173" s="130" t="s">
        <v>72</v>
      </c>
      <c r="S17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3" s="131">
        <v>19.493670000000002</v>
      </c>
      <c r="U173" s="130"/>
      <c r="V173" s="131">
        <f>VLOOKUP(H173,'Ext. Pa'!$B$3:$C$77,2,FALSE)</f>
        <v>1</v>
      </c>
      <c r="W173" s="130">
        <f>VLOOKUP(I173,'Ext. Pa'!$B$3:$C$77,2,FALSE)</f>
        <v>1</v>
      </c>
      <c r="X173" s="130">
        <f>VLOOKUP(J173,'Ext. Pa'!$B$3:$C$77,2,FALSE)</f>
        <v>4</v>
      </c>
      <c r="Y173" s="130">
        <f>VLOOKUP(K173,'Ext. Pa'!$B$3:$C$77,2,FALSE)</f>
        <v>0</v>
      </c>
      <c r="Z173" s="130">
        <f>VLOOKUP(L173,'Ext. Pa'!$B$3:$C$77,2,FALSE)</f>
        <v>5</v>
      </c>
      <c r="AA173" s="130">
        <f>VLOOKUP(M173,'Ext. Pa'!$B$3:$C$77,2,FALSE)</f>
        <v>5</v>
      </c>
      <c r="AB173" s="130">
        <f>VLOOKUP(N173,'Ext. Pa'!$B$3:$C$77,2,FALSE)</f>
        <v>5</v>
      </c>
      <c r="AC173" s="130">
        <f>VLOOKUP(O173,'Ext. Pa'!$B$3:$C$77,2,FALSE)</f>
        <v>5</v>
      </c>
      <c r="AD173" s="130">
        <f>VLOOKUP(P173,'Ext. Pa'!$B$3:$C$77,2,FALSE)</f>
        <v>5</v>
      </c>
      <c r="AE173" s="130">
        <f>VLOOKUP(Q173,'Ext. Pa'!$B$3:$C$77,2,FALSE)</f>
        <v>6</v>
      </c>
      <c r="AF173" s="132">
        <f t="shared" ref="AF173:AF201" si="13">IF(G173&lt;40,(G173)/4,40)</f>
        <v>3.25</v>
      </c>
      <c r="AG173" s="131">
        <f>Table2[[#This Row],[Coating defect survey10]]</f>
        <v>5</v>
      </c>
      <c r="AH173" s="131">
        <f>Table2[[#This Row],[CP Level within NACE Criteria4]]</f>
        <v>1</v>
      </c>
      <c r="AI173" s="186">
        <f>IF(Table2[[#This Row],[CP level]]&gt;9.9,1,0)</f>
        <v>0</v>
      </c>
      <c r="AJ173" s="186">
        <f>Table2[[#This Row],[Column3]]*Table2[[#This Row],[Coating defect survey2]]</f>
        <v>0</v>
      </c>
      <c r="AK173" s="170">
        <v>19.493670000000002</v>
      </c>
    </row>
    <row r="174" spans="1:37" s="100" customFormat="1">
      <c r="A174" s="128">
        <v>3</v>
      </c>
      <c r="B174" s="129" t="s">
        <v>929</v>
      </c>
      <c r="C174" s="96">
        <v>330100001</v>
      </c>
      <c r="D174" s="97" t="s">
        <v>930</v>
      </c>
      <c r="E174" s="168"/>
      <c r="F174" s="168">
        <v>2000</v>
      </c>
      <c r="G174" s="168">
        <f>2013-Table2[[#This Row],[Startup Year]]</f>
        <v>13</v>
      </c>
      <c r="H174" s="168" t="s">
        <v>101</v>
      </c>
      <c r="I174" s="130" t="s">
        <v>108</v>
      </c>
      <c r="J174" s="98" t="s">
        <v>113</v>
      </c>
      <c r="K174" s="98">
        <v>0</v>
      </c>
      <c r="L174" s="98" t="s">
        <v>105</v>
      </c>
      <c r="M174" s="98" t="s">
        <v>105</v>
      </c>
      <c r="N174" s="98" t="s">
        <v>105</v>
      </c>
      <c r="O174" s="98" t="s">
        <v>105</v>
      </c>
      <c r="P174" s="98" t="s">
        <v>105</v>
      </c>
      <c r="Q174" s="98" t="s">
        <v>66</v>
      </c>
      <c r="R174" s="130" t="s">
        <v>72</v>
      </c>
      <c r="S17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4" s="131">
        <v>19.493670000000002</v>
      </c>
      <c r="U174" s="130"/>
      <c r="V174" s="131">
        <f>VLOOKUP(H174,'Ext. Pa'!$B$3:$C$77,2,FALSE)</f>
        <v>1</v>
      </c>
      <c r="W174" s="130">
        <f>VLOOKUP(I174,'Ext. Pa'!$B$3:$C$77,2,FALSE)</f>
        <v>1</v>
      </c>
      <c r="X174" s="130">
        <f>VLOOKUP(J174,'Ext. Pa'!$B$3:$C$77,2,FALSE)</f>
        <v>4</v>
      </c>
      <c r="Y174" s="130">
        <f>VLOOKUP(K174,'Ext. Pa'!$B$3:$C$77,2,FALSE)</f>
        <v>0</v>
      </c>
      <c r="Z174" s="130">
        <f>VLOOKUP(L174,'Ext. Pa'!$B$3:$C$77,2,FALSE)</f>
        <v>5</v>
      </c>
      <c r="AA174" s="130">
        <f>VLOOKUP(M174,'Ext. Pa'!$B$3:$C$77,2,FALSE)</f>
        <v>5</v>
      </c>
      <c r="AB174" s="130">
        <f>VLOOKUP(N174,'Ext. Pa'!$B$3:$C$77,2,FALSE)</f>
        <v>5</v>
      </c>
      <c r="AC174" s="130">
        <f>VLOOKUP(O174,'Ext. Pa'!$B$3:$C$77,2,FALSE)</f>
        <v>5</v>
      </c>
      <c r="AD174" s="130">
        <f>VLOOKUP(P174,'Ext. Pa'!$B$3:$C$77,2,FALSE)</f>
        <v>5</v>
      </c>
      <c r="AE174" s="130">
        <f>VLOOKUP(Q174,'Ext. Pa'!$B$3:$C$77,2,FALSE)</f>
        <v>6</v>
      </c>
      <c r="AF174" s="132">
        <f t="shared" si="13"/>
        <v>3.25</v>
      </c>
      <c r="AG174" s="131">
        <f>Table2[[#This Row],[Coating defect survey10]]</f>
        <v>5</v>
      </c>
      <c r="AH174" s="131">
        <f>Table2[[#This Row],[CP Level within NACE Criteria4]]</f>
        <v>1</v>
      </c>
      <c r="AI174" s="186">
        <f>IF(Table2[[#This Row],[CP level]]&gt;9.9,1,0)</f>
        <v>0</v>
      </c>
      <c r="AJ174" s="186">
        <f>Table2[[#This Row],[Column3]]*Table2[[#This Row],[Coating defect survey2]]</f>
        <v>0</v>
      </c>
      <c r="AK174" s="170">
        <v>19.493670000000002</v>
      </c>
    </row>
    <row r="175" spans="1:37" s="100" customFormat="1" ht="14.45" customHeight="1">
      <c r="A175" s="128">
        <v>3</v>
      </c>
      <c r="B175" s="129" t="s">
        <v>741</v>
      </c>
      <c r="C175" s="96">
        <v>330100002</v>
      </c>
      <c r="D175" s="97" t="s">
        <v>742</v>
      </c>
      <c r="E175" s="130"/>
      <c r="F175" s="130">
        <v>2000</v>
      </c>
      <c r="G175" s="130">
        <f>2013-Table2[[#This Row],[Startup Year]]</f>
        <v>13</v>
      </c>
      <c r="H175" s="130" t="s">
        <v>101</v>
      </c>
      <c r="I175" s="130" t="s">
        <v>108</v>
      </c>
      <c r="J175" s="130" t="s">
        <v>113</v>
      </c>
      <c r="K175" s="98">
        <v>0</v>
      </c>
      <c r="L175" s="130" t="s">
        <v>105</v>
      </c>
      <c r="M175" s="130" t="s">
        <v>105</v>
      </c>
      <c r="N175" s="130" t="s">
        <v>105</v>
      </c>
      <c r="O175" s="130" t="s">
        <v>143</v>
      </c>
      <c r="P175" s="130" t="s">
        <v>105</v>
      </c>
      <c r="Q175" s="130" t="s">
        <v>66</v>
      </c>
      <c r="R175" s="130" t="s">
        <v>72</v>
      </c>
      <c r="S17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5" s="98">
        <v>19.493670000000002</v>
      </c>
      <c r="U175" s="130"/>
      <c r="V175" s="131">
        <f>VLOOKUP(H175,'Ext. Pa'!$B$3:$C$77,2,FALSE)</f>
        <v>1</v>
      </c>
      <c r="W175" s="130">
        <f>VLOOKUP(I175,'Ext. Pa'!$B$3:$C$77,2,FALSE)</f>
        <v>1</v>
      </c>
      <c r="X175" s="130">
        <f>VLOOKUP(J175,'Ext. Pa'!$B$3:$C$77,2,FALSE)</f>
        <v>4</v>
      </c>
      <c r="Y175" s="130">
        <f>VLOOKUP(K175,'Ext. Pa'!$B$3:$C$77,2,FALSE)</f>
        <v>0</v>
      </c>
      <c r="Z175" s="130">
        <f>VLOOKUP(L175,'Ext. Pa'!$B$3:$C$77,2,FALSE)</f>
        <v>5</v>
      </c>
      <c r="AA175" s="130">
        <f>VLOOKUP(M175,'Ext. Pa'!$B$3:$C$77,2,FALSE)</f>
        <v>5</v>
      </c>
      <c r="AB175" s="130">
        <f>VLOOKUP(N175,'Ext. Pa'!$B$3:$C$77,2,FALSE)</f>
        <v>5</v>
      </c>
      <c r="AC175" s="130">
        <f>VLOOKUP(O175,'Ext. Pa'!$B$3:$C$77,2,FALSE)</f>
        <v>1</v>
      </c>
      <c r="AD175" s="130">
        <f>VLOOKUP(P175,'Ext. Pa'!$B$3:$C$77,2,FALSE)</f>
        <v>5</v>
      </c>
      <c r="AE175" s="130">
        <f>VLOOKUP(Q175,'Ext. Pa'!$B$3:$C$77,2,FALSE)</f>
        <v>6</v>
      </c>
      <c r="AF175" s="132">
        <f t="shared" si="13"/>
        <v>3.25</v>
      </c>
      <c r="AG175" s="133">
        <f>Table2[[#This Row],[Coating defect survey10]]</f>
        <v>1</v>
      </c>
      <c r="AH175" s="134">
        <f>Table2[[#This Row],[CP Level within NACE Criteria4]]</f>
        <v>1</v>
      </c>
      <c r="AI175" s="135">
        <f>IF(Table2[[#This Row],[CP level]]&gt;9.9,1,0)</f>
        <v>0</v>
      </c>
      <c r="AJ175" s="135">
        <f>Table2[[#This Row],[Column3]]*Table2[[#This Row],[Coating defect survey2]]</f>
        <v>0</v>
      </c>
      <c r="AK175" s="170">
        <v>19.493670000000002</v>
      </c>
    </row>
    <row r="176" spans="1:37" s="100" customFormat="1">
      <c r="A176" s="128">
        <v>3</v>
      </c>
      <c r="B176" s="129" t="s">
        <v>749</v>
      </c>
      <c r="C176" s="96">
        <v>330100003</v>
      </c>
      <c r="D176" s="97" t="s">
        <v>750</v>
      </c>
      <c r="E176" s="130"/>
      <c r="F176" s="130">
        <v>2000</v>
      </c>
      <c r="G176" s="130">
        <f>2013-Table2[[#This Row],[Startup Year]]</f>
        <v>13</v>
      </c>
      <c r="H176" s="130" t="s">
        <v>101</v>
      </c>
      <c r="I176" s="130" t="s">
        <v>108</v>
      </c>
      <c r="J176" s="130" t="s">
        <v>113</v>
      </c>
      <c r="K176" s="98">
        <v>0</v>
      </c>
      <c r="L176" s="130" t="s">
        <v>105</v>
      </c>
      <c r="M176" s="130" t="s">
        <v>105</v>
      </c>
      <c r="N176" s="130" t="s">
        <v>105</v>
      </c>
      <c r="O176" s="130" t="s">
        <v>143</v>
      </c>
      <c r="P176" s="130" t="s">
        <v>105</v>
      </c>
      <c r="Q176" s="130" t="s">
        <v>66</v>
      </c>
      <c r="R176" s="130" t="s">
        <v>72</v>
      </c>
      <c r="S17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6" s="131">
        <v>19.493670000000002</v>
      </c>
      <c r="U176" s="130"/>
      <c r="V176" s="131">
        <f>VLOOKUP(H176,'Ext. Pa'!$B$3:$C$77,2,FALSE)</f>
        <v>1</v>
      </c>
      <c r="W176" s="130">
        <f>VLOOKUP(I176,'Ext. Pa'!$B$3:$C$77,2,FALSE)</f>
        <v>1</v>
      </c>
      <c r="X176" s="130">
        <f>VLOOKUP(J176,'Ext. Pa'!$B$3:$C$77,2,FALSE)</f>
        <v>4</v>
      </c>
      <c r="Y176" s="130">
        <f>VLOOKUP(K176,'Ext. Pa'!$B$3:$C$77,2,FALSE)</f>
        <v>0</v>
      </c>
      <c r="Z176" s="130">
        <f>VLOOKUP(L176,'Ext. Pa'!$B$3:$C$77,2,FALSE)</f>
        <v>5</v>
      </c>
      <c r="AA176" s="130">
        <f>VLOOKUP(M176,'Ext. Pa'!$B$3:$C$77,2,FALSE)</f>
        <v>5</v>
      </c>
      <c r="AB176" s="130">
        <f>VLOOKUP(N176,'Ext. Pa'!$B$3:$C$77,2,FALSE)</f>
        <v>5</v>
      </c>
      <c r="AC176" s="130">
        <f>VLOOKUP(O176,'Ext. Pa'!$B$3:$C$77,2,FALSE)</f>
        <v>1</v>
      </c>
      <c r="AD176" s="130">
        <f>VLOOKUP(P176,'Ext. Pa'!$B$3:$C$77,2,FALSE)</f>
        <v>5</v>
      </c>
      <c r="AE176" s="130">
        <f>VLOOKUP(Q176,'Ext. Pa'!$B$3:$C$77,2,FALSE)</f>
        <v>6</v>
      </c>
      <c r="AF176" s="132">
        <f t="shared" si="13"/>
        <v>3.25</v>
      </c>
      <c r="AG176" s="134">
        <f>Table2[[#This Row],[Coating defect survey10]]</f>
        <v>1</v>
      </c>
      <c r="AH176" s="134">
        <f>Table2[[#This Row],[CP Level within NACE Criteria4]]</f>
        <v>1</v>
      </c>
      <c r="AI176" s="135">
        <f>IF(Table2[[#This Row],[CP level]]&gt;9.9,1,0)</f>
        <v>0</v>
      </c>
      <c r="AJ176" s="135">
        <f>Table2[[#This Row],[Column3]]*Table2[[#This Row],[Coating defect survey2]]</f>
        <v>0</v>
      </c>
      <c r="AK176" s="170">
        <v>19.493670000000002</v>
      </c>
    </row>
    <row r="177" spans="1:37" s="207" customFormat="1">
      <c r="A177" s="110">
        <v>3</v>
      </c>
      <c r="B177" s="210" t="s">
        <v>928</v>
      </c>
      <c r="C177" s="111">
        <v>330100004</v>
      </c>
      <c r="D177" s="112" t="s">
        <v>769</v>
      </c>
      <c r="E177" s="211"/>
      <c r="F177" s="211">
        <v>2000</v>
      </c>
      <c r="G177" s="211">
        <f>2013-Table2[[#This Row],[Startup Year]]</f>
        <v>13</v>
      </c>
      <c r="H177" s="211" t="s">
        <v>101</v>
      </c>
      <c r="I177" s="212" t="s">
        <v>107</v>
      </c>
      <c r="J177" s="212" t="s">
        <v>113</v>
      </c>
      <c r="K177" s="86">
        <v>0</v>
      </c>
      <c r="L177" s="212" t="s">
        <v>105</v>
      </c>
      <c r="M177" s="212" t="s">
        <v>105</v>
      </c>
      <c r="N177" s="212" t="s">
        <v>105</v>
      </c>
      <c r="O177" s="212" t="s">
        <v>143</v>
      </c>
      <c r="P177" s="212" t="s">
        <v>105</v>
      </c>
      <c r="Q177" s="212" t="s">
        <v>66</v>
      </c>
      <c r="R177" s="212" t="s">
        <v>72</v>
      </c>
      <c r="S177" s="213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20.284810076962025</v>
      </c>
      <c r="T177" s="213">
        <v>19.493670000000002</v>
      </c>
      <c r="U177" s="212"/>
      <c r="V177" s="213">
        <f>VLOOKUP(H177,'Ext. Pa'!$B$3:$C$77,2,FALSE)</f>
        <v>1</v>
      </c>
      <c r="W177" s="212">
        <f>VLOOKUP(I177,'Ext. Pa'!$B$3:$C$77,2,FALSE)</f>
        <v>10</v>
      </c>
      <c r="X177" s="212">
        <f>VLOOKUP(J177,'Ext. Pa'!$B$3:$C$77,2,FALSE)</f>
        <v>4</v>
      </c>
      <c r="Y177" s="212">
        <f>VLOOKUP(K177,'Ext. Pa'!$B$3:$C$77,2,FALSE)</f>
        <v>0</v>
      </c>
      <c r="Z177" s="212">
        <f>VLOOKUP(L177,'Ext. Pa'!$B$3:$C$77,2,FALSE)</f>
        <v>5</v>
      </c>
      <c r="AA177" s="212">
        <f>VLOOKUP(M177,'Ext. Pa'!$B$3:$C$77,2,FALSE)</f>
        <v>5</v>
      </c>
      <c r="AB177" s="212">
        <f>VLOOKUP(N177,'Ext. Pa'!$B$3:$C$77,2,FALSE)</f>
        <v>5</v>
      </c>
      <c r="AC177" s="212">
        <f>VLOOKUP(O177,'Ext. Pa'!$B$3:$C$77,2,FALSE)</f>
        <v>1</v>
      </c>
      <c r="AD177" s="212">
        <f>VLOOKUP(P177,'Ext. Pa'!$B$3:$C$77,2,FALSE)</f>
        <v>5</v>
      </c>
      <c r="AE177" s="212">
        <f>VLOOKUP(Q177,'Ext. Pa'!$B$3:$C$77,2,FALSE)</f>
        <v>6</v>
      </c>
      <c r="AF177" s="214">
        <f t="shared" si="13"/>
        <v>3.25</v>
      </c>
      <c r="AG177" s="213">
        <f>Table2[[#This Row],[Coating defect survey10]]</f>
        <v>1</v>
      </c>
      <c r="AH177" s="213">
        <f>Table2[[#This Row],[CP Level within NACE Criteria4]]</f>
        <v>10</v>
      </c>
      <c r="AI177" s="215">
        <f>IF(Table2[[#This Row],[CP level]]&gt;9.9,1,0)</f>
        <v>1</v>
      </c>
      <c r="AJ177" s="215">
        <f>Table2[[#This Row],[Column3]]*Table2[[#This Row],[Coating defect survey2]]</f>
        <v>1</v>
      </c>
      <c r="AK177" s="209">
        <v>19.493670000000002</v>
      </c>
    </row>
    <row r="178" spans="1:37" s="100" customFormat="1">
      <c r="A178" s="128">
        <v>3</v>
      </c>
      <c r="B178" s="129" t="s">
        <v>768</v>
      </c>
      <c r="C178" s="96">
        <v>33010009</v>
      </c>
      <c r="D178" s="97" t="s">
        <v>769</v>
      </c>
      <c r="E178" s="130"/>
      <c r="F178" s="130">
        <v>2000</v>
      </c>
      <c r="G178" s="130">
        <f>2013-Table2[[#This Row],[Startup Year]]</f>
        <v>13</v>
      </c>
      <c r="H178" s="130" t="s">
        <v>101</v>
      </c>
      <c r="I178" s="130" t="s">
        <v>108</v>
      </c>
      <c r="J178" s="130" t="s">
        <v>113</v>
      </c>
      <c r="K178" s="98">
        <v>0</v>
      </c>
      <c r="L178" s="130" t="s">
        <v>105</v>
      </c>
      <c r="M178" s="130" t="s">
        <v>105</v>
      </c>
      <c r="N178" s="130" t="s">
        <v>105</v>
      </c>
      <c r="O178" s="130" t="s">
        <v>143</v>
      </c>
      <c r="P178" s="130" t="s">
        <v>105</v>
      </c>
      <c r="Q178" s="130" t="s">
        <v>66</v>
      </c>
      <c r="R178" s="130" t="s">
        <v>72</v>
      </c>
      <c r="S17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8" s="131">
        <v>19.493670000000002</v>
      </c>
      <c r="U178" s="130"/>
      <c r="V178" s="131">
        <f>VLOOKUP(H178,'Ext. Pa'!$B$3:$C$77,2,FALSE)</f>
        <v>1</v>
      </c>
      <c r="W178" s="130">
        <f>VLOOKUP(I178,'Ext. Pa'!$B$3:$C$77,2,FALSE)</f>
        <v>1</v>
      </c>
      <c r="X178" s="130">
        <f>VLOOKUP(J178,'Ext. Pa'!$B$3:$C$77,2,FALSE)</f>
        <v>4</v>
      </c>
      <c r="Y178" s="130">
        <f>VLOOKUP(K178,'Ext. Pa'!$B$3:$C$77,2,FALSE)</f>
        <v>0</v>
      </c>
      <c r="Z178" s="130">
        <f>VLOOKUP(L178,'Ext. Pa'!$B$3:$C$77,2,FALSE)</f>
        <v>5</v>
      </c>
      <c r="AA178" s="130">
        <f>VLOOKUP(M178,'Ext. Pa'!$B$3:$C$77,2,FALSE)</f>
        <v>5</v>
      </c>
      <c r="AB178" s="130">
        <f>VLOOKUP(N178,'Ext. Pa'!$B$3:$C$77,2,FALSE)</f>
        <v>5</v>
      </c>
      <c r="AC178" s="130">
        <f>VLOOKUP(O178,'Ext. Pa'!$B$3:$C$77,2,FALSE)</f>
        <v>1</v>
      </c>
      <c r="AD178" s="130">
        <f>VLOOKUP(P178,'Ext. Pa'!$B$3:$C$77,2,FALSE)</f>
        <v>5</v>
      </c>
      <c r="AE178" s="130">
        <f>VLOOKUP(Q178,'Ext. Pa'!$B$3:$C$77,2,FALSE)</f>
        <v>6</v>
      </c>
      <c r="AF178" s="132">
        <f t="shared" si="13"/>
        <v>3.25</v>
      </c>
      <c r="AG178" s="134">
        <f>Table2[[#This Row],[Coating defect survey10]]</f>
        <v>1</v>
      </c>
      <c r="AH178" s="134">
        <f>Table2[[#This Row],[CP Level within NACE Criteria4]]</f>
        <v>1</v>
      </c>
      <c r="AI178" s="135">
        <f>IF(Table2[[#This Row],[CP level]]&gt;9.9,1,0)</f>
        <v>0</v>
      </c>
      <c r="AJ178" s="135">
        <f>Table2[[#This Row],[Column3]]*Table2[[#This Row],[Coating defect survey2]]</f>
        <v>0</v>
      </c>
      <c r="AK178" s="170">
        <v>19.493670000000002</v>
      </c>
    </row>
    <row r="179" spans="1:37" s="100" customFormat="1">
      <c r="A179" s="128">
        <v>3</v>
      </c>
      <c r="B179" s="129" t="s">
        <v>916</v>
      </c>
      <c r="C179" s="96">
        <v>3302</v>
      </c>
      <c r="D179" s="187" t="s">
        <v>917</v>
      </c>
      <c r="E179" s="188"/>
      <c r="F179" s="188">
        <v>2000</v>
      </c>
      <c r="G179" s="188">
        <f>2013-Table2[[#This Row],[Startup Year]]</f>
        <v>13</v>
      </c>
      <c r="H179" s="188" t="s">
        <v>101</v>
      </c>
      <c r="I179" s="130" t="s">
        <v>108</v>
      </c>
      <c r="J179" s="130" t="s">
        <v>113</v>
      </c>
      <c r="K179" s="98">
        <v>0</v>
      </c>
      <c r="L179" s="130" t="s">
        <v>105</v>
      </c>
      <c r="M179" s="130" t="s">
        <v>105</v>
      </c>
      <c r="N179" s="130" t="s">
        <v>105</v>
      </c>
      <c r="O179" s="130" t="s">
        <v>143</v>
      </c>
      <c r="P179" s="130" t="s">
        <v>105</v>
      </c>
      <c r="Q179" s="130" t="s">
        <v>66</v>
      </c>
      <c r="R179" s="130" t="s">
        <v>72</v>
      </c>
      <c r="S17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79" s="131">
        <v>19.493670000000002</v>
      </c>
      <c r="U179" s="130"/>
      <c r="V179" s="131">
        <f>VLOOKUP(H179,'Ext. Pa'!$B$3:$C$77,2,FALSE)</f>
        <v>1</v>
      </c>
      <c r="W179" s="130">
        <f>VLOOKUP(I179,'Ext. Pa'!$B$3:$C$77,2,FALSE)</f>
        <v>1</v>
      </c>
      <c r="X179" s="130">
        <f>VLOOKUP(J179,'Ext. Pa'!$B$3:$C$77,2,FALSE)</f>
        <v>4</v>
      </c>
      <c r="Y179" s="130">
        <f>VLOOKUP(K179,'Ext. Pa'!$B$3:$C$77,2,FALSE)</f>
        <v>0</v>
      </c>
      <c r="Z179" s="130">
        <f>VLOOKUP(L179,'Ext. Pa'!$B$3:$C$77,2,FALSE)</f>
        <v>5</v>
      </c>
      <c r="AA179" s="130">
        <f>VLOOKUP(M179,'Ext. Pa'!$B$3:$C$77,2,FALSE)</f>
        <v>5</v>
      </c>
      <c r="AB179" s="130">
        <f>VLOOKUP(N179,'Ext. Pa'!$B$3:$C$77,2,FALSE)</f>
        <v>5</v>
      </c>
      <c r="AC179" s="130">
        <f>VLOOKUP(O179,'Ext. Pa'!$B$3:$C$77,2,FALSE)</f>
        <v>1</v>
      </c>
      <c r="AD179" s="130">
        <f>VLOOKUP(P179,'Ext. Pa'!$B$3:$C$77,2,FALSE)</f>
        <v>5</v>
      </c>
      <c r="AE179" s="130">
        <f>VLOOKUP(Q179,'Ext. Pa'!$B$3:$C$77,2,FALSE)</f>
        <v>6</v>
      </c>
      <c r="AF179" s="132">
        <f t="shared" si="13"/>
        <v>3.25</v>
      </c>
      <c r="AG179" s="131">
        <f>Table2[[#This Row],[Coating defect survey10]]</f>
        <v>1</v>
      </c>
      <c r="AH179" s="131">
        <f>Table2[[#This Row],[CP Level within NACE Criteria4]]</f>
        <v>1</v>
      </c>
      <c r="AI179" s="186">
        <f>IF(Table2[[#This Row],[CP level]]&gt;9.9,1,0)</f>
        <v>0</v>
      </c>
      <c r="AJ179" s="186">
        <f>Table2[[#This Row],[Column3]]*Table2[[#This Row],[Coating defect survey2]]</f>
        <v>0</v>
      </c>
      <c r="AK179" s="170">
        <v>19.493670000000002</v>
      </c>
    </row>
    <row r="180" spans="1:37" s="207" customFormat="1">
      <c r="A180" s="110">
        <v>3</v>
      </c>
      <c r="B180" s="210" t="s">
        <v>922</v>
      </c>
      <c r="C180" s="111">
        <v>3303</v>
      </c>
      <c r="D180" s="112" t="s">
        <v>923</v>
      </c>
      <c r="E180" s="211"/>
      <c r="F180" s="211">
        <v>2000</v>
      </c>
      <c r="G180" s="211">
        <f>2013-Table2[[#This Row],[Startup Year]]</f>
        <v>13</v>
      </c>
      <c r="H180" s="211" t="s">
        <v>101</v>
      </c>
      <c r="I180" s="212" t="s">
        <v>108</v>
      </c>
      <c r="J180" s="212" t="s">
        <v>113</v>
      </c>
      <c r="K180" s="86">
        <v>0</v>
      </c>
      <c r="L180" s="212" t="s">
        <v>105</v>
      </c>
      <c r="M180" s="212" t="s">
        <v>105</v>
      </c>
      <c r="N180" s="212" t="s">
        <v>105</v>
      </c>
      <c r="O180" s="212" t="s">
        <v>145</v>
      </c>
      <c r="P180" s="212" t="s">
        <v>105</v>
      </c>
      <c r="Q180" s="212" t="s">
        <v>66</v>
      </c>
      <c r="R180" s="212" t="s">
        <v>72</v>
      </c>
      <c r="S180" s="213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0" s="213">
        <v>19.493670000000002</v>
      </c>
      <c r="U180" s="212"/>
      <c r="V180" s="213">
        <f>VLOOKUP(H180,'Ext. Pa'!$B$3:$C$77,2,FALSE)</f>
        <v>1</v>
      </c>
      <c r="W180" s="212">
        <f>VLOOKUP(I180,'Ext. Pa'!$B$3:$C$77,2,FALSE)</f>
        <v>1</v>
      </c>
      <c r="X180" s="212">
        <f>VLOOKUP(J180,'Ext. Pa'!$B$3:$C$77,2,FALSE)</f>
        <v>4</v>
      </c>
      <c r="Y180" s="212">
        <f>VLOOKUP(K180,'Ext. Pa'!$B$3:$C$77,2,FALSE)</f>
        <v>0</v>
      </c>
      <c r="Z180" s="212">
        <f>VLOOKUP(L180,'Ext. Pa'!$B$3:$C$77,2,FALSE)</f>
        <v>5</v>
      </c>
      <c r="AA180" s="212">
        <f>VLOOKUP(M180,'Ext. Pa'!$B$3:$C$77,2,FALSE)</f>
        <v>5</v>
      </c>
      <c r="AB180" s="212">
        <f>VLOOKUP(N180,'Ext. Pa'!$B$3:$C$77,2,FALSE)</f>
        <v>5</v>
      </c>
      <c r="AC180" s="212">
        <f>VLOOKUP(O180,'Ext. Pa'!$B$3:$C$77,2,FALSE)</f>
        <v>5</v>
      </c>
      <c r="AD180" s="212">
        <f>VLOOKUP(P180,'Ext. Pa'!$B$3:$C$77,2,FALSE)</f>
        <v>5</v>
      </c>
      <c r="AE180" s="212">
        <f>VLOOKUP(Q180,'Ext. Pa'!$B$3:$C$77,2,FALSE)</f>
        <v>6</v>
      </c>
      <c r="AF180" s="214">
        <f t="shared" si="13"/>
        <v>3.25</v>
      </c>
      <c r="AG180" s="213">
        <f>Table2[[#This Row],[Coating defect survey10]]</f>
        <v>5</v>
      </c>
      <c r="AH180" s="213">
        <f>Table2[[#This Row],[CP Level within NACE Criteria4]]</f>
        <v>1</v>
      </c>
      <c r="AI180" s="215">
        <f>IF(Table2[[#This Row],[CP level]]&gt;9.9,1,0)</f>
        <v>0</v>
      </c>
      <c r="AJ180" s="215">
        <f>Table2[[#This Row],[Column3]]*Table2[[#This Row],[Coating defect survey2]]</f>
        <v>0</v>
      </c>
      <c r="AK180" s="209">
        <v>19.493670000000002</v>
      </c>
    </row>
    <row r="181" spans="1:37" s="100" customFormat="1">
      <c r="A181" s="179">
        <v>3</v>
      </c>
      <c r="B181" s="180" t="s">
        <v>726</v>
      </c>
      <c r="C181" s="181">
        <v>330200002</v>
      </c>
      <c r="D181" s="182" t="s">
        <v>727</v>
      </c>
      <c r="E181" s="183"/>
      <c r="F181" s="183">
        <v>2000</v>
      </c>
      <c r="G181" s="183">
        <f>2013-Table2[[#This Row],[Startup Year]]</f>
        <v>13</v>
      </c>
      <c r="H181" s="183" t="s">
        <v>101</v>
      </c>
      <c r="I181" s="183" t="s">
        <v>108</v>
      </c>
      <c r="J181" s="183" t="s">
        <v>113</v>
      </c>
      <c r="K181" s="98">
        <v>0</v>
      </c>
      <c r="L181" s="183" t="s">
        <v>105</v>
      </c>
      <c r="M181" s="183" t="s">
        <v>105</v>
      </c>
      <c r="N181" s="183" t="s">
        <v>105</v>
      </c>
      <c r="O181" s="183" t="s">
        <v>143</v>
      </c>
      <c r="P181" s="183" t="s">
        <v>105</v>
      </c>
      <c r="Q181" s="183" t="s">
        <v>66</v>
      </c>
      <c r="R181" s="183" t="s">
        <v>72</v>
      </c>
      <c r="S181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1" s="184">
        <v>19.493670000000002</v>
      </c>
      <c r="U181" s="183"/>
      <c r="V181" s="184">
        <f>VLOOKUP(H181,'Ext. Pa'!$B$3:$C$77,2,FALSE)</f>
        <v>1</v>
      </c>
      <c r="W181" s="183">
        <f>VLOOKUP(I181,'Ext. Pa'!$B$3:$C$77,2,FALSE)</f>
        <v>1</v>
      </c>
      <c r="X181" s="183">
        <f>VLOOKUP(J181,'Ext. Pa'!$B$3:$C$77,2,FALSE)</f>
        <v>4</v>
      </c>
      <c r="Y181" s="183">
        <f>VLOOKUP(K181,'Ext. Pa'!$B$3:$C$77,2,FALSE)</f>
        <v>0</v>
      </c>
      <c r="Z181" s="183">
        <f>VLOOKUP(L181,'Ext. Pa'!$B$3:$C$77,2,FALSE)</f>
        <v>5</v>
      </c>
      <c r="AA181" s="183">
        <f>VLOOKUP(M181,'Ext. Pa'!$B$3:$C$77,2,FALSE)</f>
        <v>5</v>
      </c>
      <c r="AB181" s="183">
        <f>VLOOKUP(N181,'Ext. Pa'!$B$3:$C$77,2,FALSE)</f>
        <v>5</v>
      </c>
      <c r="AC181" s="183">
        <f>VLOOKUP(O181,'Ext. Pa'!$B$3:$C$77,2,FALSE)</f>
        <v>1</v>
      </c>
      <c r="AD181" s="183">
        <f>VLOOKUP(P181,'Ext. Pa'!$B$3:$C$77,2,FALSE)</f>
        <v>5</v>
      </c>
      <c r="AE181" s="183">
        <f>VLOOKUP(Q181,'Ext. Pa'!$B$3:$C$77,2,FALSE)</f>
        <v>6</v>
      </c>
      <c r="AF181" s="185">
        <f t="shared" si="13"/>
        <v>3.25</v>
      </c>
      <c r="AG181" s="134">
        <f>Table2[[#This Row],[Coating defect survey10]]</f>
        <v>1</v>
      </c>
      <c r="AH181" s="134">
        <f>Table2[[#This Row],[CP Level within NACE Criteria4]]</f>
        <v>1</v>
      </c>
      <c r="AI181" s="135">
        <f>IF(Table2[[#This Row],[CP level]]&gt;9.9,1,0)</f>
        <v>0</v>
      </c>
      <c r="AJ181" s="135">
        <f>Table2[[#This Row],[Column3]]*Table2[[#This Row],[Coating defect survey2]]</f>
        <v>0</v>
      </c>
      <c r="AK181" s="170">
        <v>19.493670000000002</v>
      </c>
    </row>
    <row r="182" spans="1:37" s="100" customFormat="1">
      <c r="A182" s="128">
        <v>3</v>
      </c>
      <c r="B182" s="129" t="s">
        <v>732</v>
      </c>
      <c r="C182" s="96">
        <v>330300001</v>
      </c>
      <c r="D182" s="97" t="s">
        <v>733</v>
      </c>
      <c r="E182" s="130"/>
      <c r="F182" s="130">
        <v>2000</v>
      </c>
      <c r="G182" s="130">
        <f>2013-Table2[[#This Row],[Startup Year]]</f>
        <v>13</v>
      </c>
      <c r="H182" s="130" t="s">
        <v>101</v>
      </c>
      <c r="I182" s="130" t="s">
        <v>108</v>
      </c>
      <c r="J182" s="130" t="s">
        <v>113</v>
      </c>
      <c r="K182" s="98">
        <v>0</v>
      </c>
      <c r="L182" s="130" t="s">
        <v>105</v>
      </c>
      <c r="M182" s="130" t="s">
        <v>105</v>
      </c>
      <c r="N182" s="130" t="s">
        <v>105</v>
      </c>
      <c r="O182" s="130" t="s">
        <v>143</v>
      </c>
      <c r="P182" s="130" t="s">
        <v>105</v>
      </c>
      <c r="Q182" s="130" t="s">
        <v>66</v>
      </c>
      <c r="R182" s="130" t="s">
        <v>72</v>
      </c>
      <c r="S18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2" s="131">
        <v>19.493670000000002</v>
      </c>
      <c r="U182" s="130"/>
      <c r="V182" s="131">
        <f>VLOOKUP(H182,'Ext. Pa'!$B$3:$C$77,2,FALSE)</f>
        <v>1</v>
      </c>
      <c r="W182" s="130">
        <f>VLOOKUP(I182,'Ext. Pa'!$B$3:$C$77,2,FALSE)</f>
        <v>1</v>
      </c>
      <c r="X182" s="130">
        <f>VLOOKUP(J182,'Ext. Pa'!$B$3:$C$77,2,FALSE)</f>
        <v>4</v>
      </c>
      <c r="Y182" s="130">
        <f>VLOOKUP(K182,'Ext. Pa'!$B$3:$C$77,2,FALSE)</f>
        <v>0</v>
      </c>
      <c r="Z182" s="130">
        <f>VLOOKUP(L182,'Ext. Pa'!$B$3:$C$77,2,FALSE)</f>
        <v>5</v>
      </c>
      <c r="AA182" s="130">
        <f>VLOOKUP(M182,'Ext. Pa'!$B$3:$C$77,2,FALSE)</f>
        <v>5</v>
      </c>
      <c r="AB182" s="130">
        <f>VLOOKUP(N182,'Ext. Pa'!$B$3:$C$77,2,FALSE)</f>
        <v>5</v>
      </c>
      <c r="AC182" s="130">
        <f>VLOOKUP(O182,'Ext. Pa'!$B$3:$C$77,2,FALSE)</f>
        <v>1</v>
      </c>
      <c r="AD182" s="130">
        <f>VLOOKUP(P182,'Ext. Pa'!$B$3:$C$77,2,FALSE)</f>
        <v>5</v>
      </c>
      <c r="AE182" s="130">
        <f>VLOOKUP(Q182,'Ext. Pa'!$B$3:$C$77,2,FALSE)</f>
        <v>6</v>
      </c>
      <c r="AF182" s="132">
        <f t="shared" si="13"/>
        <v>3.25</v>
      </c>
      <c r="AG182" s="134">
        <f>Table2[[#This Row],[Coating defect survey10]]</f>
        <v>1</v>
      </c>
      <c r="AH182" s="134">
        <f>Table2[[#This Row],[CP Level within NACE Criteria4]]</f>
        <v>1</v>
      </c>
      <c r="AI182" s="135">
        <f>IF(Table2[[#This Row],[CP level]]&gt;9.9,1,0)</f>
        <v>0</v>
      </c>
      <c r="AJ182" s="135">
        <f>Table2[[#This Row],[Column3]]*Table2[[#This Row],[Coating defect survey2]]</f>
        <v>0</v>
      </c>
      <c r="AK182" s="170">
        <v>19.493670000000002</v>
      </c>
    </row>
    <row r="183" spans="1:37" s="100" customFormat="1">
      <c r="A183" s="128">
        <v>3</v>
      </c>
      <c r="B183" s="129" t="s">
        <v>732</v>
      </c>
      <c r="C183" s="96">
        <v>330300001</v>
      </c>
      <c r="D183" s="97" t="s">
        <v>734</v>
      </c>
      <c r="E183" s="130"/>
      <c r="F183" s="130">
        <v>2000</v>
      </c>
      <c r="G183" s="130">
        <f>2013-Table2[[#This Row],[Startup Year]]</f>
        <v>13</v>
      </c>
      <c r="H183" s="130" t="s">
        <v>101</v>
      </c>
      <c r="I183" s="130" t="s">
        <v>108</v>
      </c>
      <c r="J183" s="130" t="s">
        <v>113</v>
      </c>
      <c r="K183" s="98">
        <v>0</v>
      </c>
      <c r="L183" s="130" t="s">
        <v>105</v>
      </c>
      <c r="M183" s="130" t="s">
        <v>105</v>
      </c>
      <c r="N183" s="130" t="s">
        <v>105</v>
      </c>
      <c r="O183" s="130" t="s">
        <v>143</v>
      </c>
      <c r="P183" s="130" t="s">
        <v>105</v>
      </c>
      <c r="Q183" s="130" t="s">
        <v>66</v>
      </c>
      <c r="R183" s="130" t="s">
        <v>72</v>
      </c>
      <c r="S18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3" s="98">
        <v>19.493670000000002</v>
      </c>
      <c r="U183" s="130"/>
      <c r="V183" s="131">
        <f>VLOOKUP(H183,'Ext. Pa'!$B$3:$C$77,2,FALSE)</f>
        <v>1</v>
      </c>
      <c r="W183" s="130">
        <f>VLOOKUP(I183,'Ext. Pa'!$B$3:$C$77,2,FALSE)</f>
        <v>1</v>
      </c>
      <c r="X183" s="130">
        <f>VLOOKUP(J183,'Ext. Pa'!$B$3:$C$77,2,FALSE)</f>
        <v>4</v>
      </c>
      <c r="Y183" s="130">
        <f>VLOOKUP(K183,'Ext. Pa'!$B$3:$C$77,2,FALSE)</f>
        <v>0</v>
      </c>
      <c r="Z183" s="130">
        <f>VLOOKUP(L183,'Ext. Pa'!$B$3:$C$77,2,FALSE)</f>
        <v>5</v>
      </c>
      <c r="AA183" s="130">
        <f>VLOOKUP(M183,'Ext. Pa'!$B$3:$C$77,2,FALSE)</f>
        <v>5</v>
      </c>
      <c r="AB183" s="130">
        <f>VLOOKUP(N183,'Ext. Pa'!$B$3:$C$77,2,FALSE)</f>
        <v>5</v>
      </c>
      <c r="AC183" s="130">
        <f>VLOOKUP(O183,'Ext. Pa'!$B$3:$C$77,2,FALSE)</f>
        <v>1</v>
      </c>
      <c r="AD183" s="130">
        <f>VLOOKUP(P183,'Ext. Pa'!$B$3:$C$77,2,FALSE)</f>
        <v>5</v>
      </c>
      <c r="AE183" s="130">
        <f>VLOOKUP(Q183,'Ext. Pa'!$B$3:$C$77,2,FALSE)</f>
        <v>6</v>
      </c>
      <c r="AF183" s="132">
        <f t="shared" si="13"/>
        <v>3.25</v>
      </c>
      <c r="AG183" s="133">
        <f>Table2[[#This Row],[Coating defect survey10]]</f>
        <v>1</v>
      </c>
      <c r="AH183" s="134">
        <f>Table2[[#This Row],[CP Level within NACE Criteria4]]</f>
        <v>1</v>
      </c>
      <c r="AI183" s="135">
        <f>IF(Table2[[#This Row],[CP level]]&gt;9.9,1,0)</f>
        <v>0</v>
      </c>
      <c r="AJ183" s="135">
        <f>Table2[[#This Row],[Column3]]*Table2[[#This Row],[Coating defect survey2]]</f>
        <v>0</v>
      </c>
      <c r="AK183" s="170">
        <v>19.493670000000002</v>
      </c>
    </row>
    <row r="184" spans="1:37" s="100" customFormat="1">
      <c r="A184" s="128">
        <v>3</v>
      </c>
      <c r="B184" s="129" t="s">
        <v>926</v>
      </c>
      <c r="C184" s="96">
        <v>330300002</v>
      </c>
      <c r="D184" s="97" t="s">
        <v>927</v>
      </c>
      <c r="E184" s="168"/>
      <c r="F184" s="168">
        <v>2000</v>
      </c>
      <c r="G184" s="168">
        <f>2013-Table2[[#This Row],[Startup Year]]</f>
        <v>13</v>
      </c>
      <c r="H184" s="168" t="s">
        <v>101</v>
      </c>
      <c r="I184" s="130" t="s">
        <v>108</v>
      </c>
      <c r="J184" s="130" t="s">
        <v>113</v>
      </c>
      <c r="K184" s="98">
        <v>0</v>
      </c>
      <c r="L184" s="130" t="s">
        <v>105</v>
      </c>
      <c r="M184" s="130" t="s">
        <v>105</v>
      </c>
      <c r="N184" s="130" t="s">
        <v>105</v>
      </c>
      <c r="O184" s="130" t="s">
        <v>143</v>
      </c>
      <c r="P184" s="130" t="s">
        <v>105</v>
      </c>
      <c r="Q184" s="130" t="s">
        <v>66</v>
      </c>
      <c r="R184" s="130" t="s">
        <v>72</v>
      </c>
      <c r="S18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4" s="131">
        <v>19.493670000000002</v>
      </c>
      <c r="U184" s="130"/>
      <c r="V184" s="131">
        <f>VLOOKUP(H184,'Ext. Pa'!$B$3:$C$77,2,FALSE)</f>
        <v>1</v>
      </c>
      <c r="W184" s="130">
        <f>VLOOKUP(I184,'Ext. Pa'!$B$3:$C$77,2,FALSE)</f>
        <v>1</v>
      </c>
      <c r="X184" s="130">
        <f>VLOOKUP(J184,'Ext. Pa'!$B$3:$C$77,2,FALSE)</f>
        <v>4</v>
      </c>
      <c r="Y184" s="130">
        <f>VLOOKUP(K184,'Ext. Pa'!$B$3:$C$77,2,FALSE)</f>
        <v>0</v>
      </c>
      <c r="Z184" s="130">
        <f>VLOOKUP(L184,'Ext. Pa'!$B$3:$C$77,2,FALSE)</f>
        <v>5</v>
      </c>
      <c r="AA184" s="130">
        <f>VLOOKUP(M184,'Ext. Pa'!$B$3:$C$77,2,FALSE)</f>
        <v>5</v>
      </c>
      <c r="AB184" s="130">
        <f>VLOOKUP(N184,'Ext. Pa'!$B$3:$C$77,2,FALSE)</f>
        <v>5</v>
      </c>
      <c r="AC184" s="130">
        <f>VLOOKUP(O184,'Ext. Pa'!$B$3:$C$77,2,FALSE)</f>
        <v>1</v>
      </c>
      <c r="AD184" s="130">
        <f>VLOOKUP(P184,'Ext. Pa'!$B$3:$C$77,2,FALSE)</f>
        <v>5</v>
      </c>
      <c r="AE184" s="130">
        <f>VLOOKUP(Q184,'Ext. Pa'!$B$3:$C$77,2,FALSE)</f>
        <v>6</v>
      </c>
      <c r="AF184" s="132">
        <f t="shared" si="13"/>
        <v>3.25</v>
      </c>
      <c r="AG184" s="131">
        <f>Table2[[#This Row],[Coating defect survey10]]</f>
        <v>1</v>
      </c>
      <c r="AH184" s="131">
        <f>Table2[[#This Row],[CP Level within NACE Criteria4]]</f>
        <v>1</v>
      </c>
      <c r="AI184" s="186">
        <f>IF(Table2[[#This Row],[CP level]]&gt;9.9,1,0)</f>
        <v>0</v>
      </c>
      <c r="AJ184" s="186">
        <f>Table2[[#This Row],[Column3]]*Table2[[#This Row],[Coating defect survey2]]</f>
        <v>0</v>
      </c>
      <c r="AK184" s="170">
        <v>19.493670000000002</v>
      </c>
    </row>
    <row r="185" spans="1:37" s="100" customFormat="1">
      <c r="A185" s="128">
        <v>3</v>
      </c>
      <c r="B185" s="129" t="s">
        <v>924</v>
      </c>
      <c r="C185" s="96">
        <v>330300004</v>
      </c>
      <c r="D185" s="97" t="s">
        <v>925</v>
      </c>
      <c r="E185" s="168"/>
      <c r="F185" s="168">
        <v>2000</v>
      </c>
      <c r="G185" s="168">
        <f>2013-Table2[[#This Row],[Startup Year]]</f>
        <v>13</v>
      </c>
      <c r="H185" s="168" t="s">
        <v>101</v>
      </c>
      <c r="I185" s="130" t="s">
        <v>108</v>
      </c>
      <c r="J185" s="130" t="s">
        <v>113</v>
      </c>
      <c r="K185" s="98">
        <v>0</v>
      </c>
      <c r="L185" s="130" t="s">
        <v>105</v>
      </c>
      <c r="M185" s="130" t="s">
        <v>105</v>
      </c>
      <c r="N185" s="130" t="s">
        <v>105</v>
      </c>
      <c r="O185" s="130" t="s">
        <v>143</v>
      </c>
      <c r="P185" s="130" t="s">
        <v>105</v>
      </c>
      <c r="Q185" s="130" t="s">
        <v>66</v>
      </c>
      <c r="R185" s="130" t="s">
        <v>72</v>
      </c>
      <c r="S18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5" s="131">
        <v>19.493670000000002</v>
      </c>
      <c r="U185" s="130"/>
      <c r="V185" s="131">
        <f>VLOOKUP(H185,'Ext. Pa'!$B$3:$C$77,2,FALSE)</f>
        <v>1</v>
      </c>
      <c r="W185" s="130">
        <f>VLOOKUP(I185,'Ext. Pa'!$B$3:$C$77,2,FALSE)</f>
        <v>1</v>
      </c>
      <c r="X185" s="130">
        <f>VLOOKUP(J185,'Ext. Pa'!$B$3:$C$77,2,FALSE)</f>
        <v>4</v>
      </c>
      <c r="Y185" s="130">
        <f>VLOOKUP(K185,'Ext. Pa'!$B$3:$C$77,2,FALSE)</f>
        <v>0</v>
      </c>
      <c r="Z185" s="130">
        <f>VLOOKUP(L185,'Ext. Pa'!$B$3:$C$77,2,FALSE)</f>
        <v>5</v>
      </c>
      <c r="AA185" s="130">
        <f>VLOOKUP(M185,'Ext. Pa'!$B$3:$C$77,2,FALSE)</f>
        <v>5</v>
      </c>
      <c r="AB185" s="130">
        <f>VLOOKUP(N185,'Ext. Pa'!$B$3:$C$77,2,FALSE)</f>
        <v>5</v>
      </c>
      <c r="AC185" s="130">
        <f>VLOOKUP(O185,'Ext. Pa'!$B$3:$C$77,2,FALSE)</f>
        <v>1</v>
      </c>
      <c r="AD185" s="130">
        <f>VLOOKUP(P185,'Ext. Pa'!$B$3:$C$77,2,FALSE)</f>
        <v>5</v>
      </c>
      <c r="AE185" s="130">
        <f>VLOOKUP(Q185,'Ext. Pa'!$B$3:$C$77,2,FALSE)</f>
        <v>6</v>
      </c>
      <c r="AF185" s="132">
        <f t="shared" si="13"/>
        <v>3.25</v>
      </c>
      <c r="AG185" s="131">
        <f>Table2[[#This Row],[Coating defect survey10]]</f>
        <v>1</v>
      </c>
      <c r="AH185" s="131">
        <f>Table2[[#This Row],[CP Level within NACE Criteria4]]</f>
        <v>1</v>
      </c>
      <c r="AI185" s="186">
        <f>IF(Table2[[#This Row],[CP level]]&gt;9.9,1,0)</f>
        <v>0</v>
      </c>
      <c r="AJ185" s="186">
        <f>Table2[[#This Row],[Column3]]*Table2[[#This Row],[Coating defect survey2]]</f>
        <v>0</v>
      </c>
      <c r="AK185" s="170">
        <v>19.493670000000002</v>
      </c>
    </row>
    <row r="186" spans="1:37" s="100" customFormat="1">
      <c r="A186" s="197">
        <v>3</v>
      </c>
      <c r="B186" s="198" t="s">
        <v>971</v>
      </c>
      <c r="C186" s="174"/>
      <c r="D186" s="175"/>
      <c r="E186" s="168"/>
      <c r="F186" s="168">
        <v>2000</v>
      </c>
      <c r="G186" s="168">
        <f>2013-Table2[[#This Row],[Startup Year]]</f>
        <v>13</v>
      </c>
      <c r="H186" s="168" t="s">
        <v>101</v>
      </c>
      <c r="I186" s="168" t="s">
        <v>108</v>
      </c>
      <c r="J186" s="168" t="s">
        <v>113</v>
      </c>
      <c r="K186" s="168">
        <v>0</v>
      </c>
      <c r="L186" s="168" t="s">
        <v>105</v>
      </c>
      <c r="M186" s="168" t="s">
        <v>105</v>
      </c>
      <c r="N186" s="168" t="s">
        <v>105</v>
      </c>
      <c r="O186" s="168" t="s">
        <v>143</v>
      </c>
      <c r="P186" s="168" t="s">
        <v>105</v>
      </c>
      <c r="Q186" s="168" t="s">
        <v>66</v>
      </c>
      <c r="R186" s="168" t="s">
        <v>72</v>
      </c>
      <c r="S18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6" s="170">
        <v>19.493670000000002</v>
      </c>
      <c r="U186" s="168"/>
      <c r="V186" s="170">
        <f>VLOOKUP(H186,'Ext. Pa'!$B$3:$C$77,2,FALSE)</f>
        <v>1</v>
      </c>
      <c r="W186" s="168">
        <f>VLOOKUP(I186,'Ext. Pa'!$B$3:$C$77,2,FALSE)</f>
        <v>1</v>
      </c>
      <c r="X186" s="168">
        <f>VLOOKUP(J186,'Ext. Pa'!$B$3:$C$77,2,FALSE)</f>
        <v>4</v>
      </c>
      <c r="Y186" s="168">
        <f>VLOOKUP(K186,'Ext. Pa'!$B$3:$C$77,2,FALSE)</f>
        <v>0</v>
      </c>
      <c r="Z186" s="168">
        <f>VLOOKUP(L186,'Ext. Pa'!$B$3:$C$77,2,FALSE)</f>
        <v>5</v>
      </c>
      <c r="AA186" s="168">
        <f>VLOOKUP(M186,'Ext. Pa'!$B$3:$C$77,2,FALSE)</f>
        <v>5</v>
      </c>
      <c r="AB186" s="168">
        <f>VLOOKUP(N186,'Ext. Pa'!$B$3:$C$77,2,FALSE)</f>
        <v>5</v>
      </c>
      <c r="AC186" s="168">
        <f>VLOOKUP(O186,'Ext. Pa'!$B$3:$C$77,2,FALSE)</f>
        <v>1</v>
      </c>
      <c r="AD186" s="168">
        <f>VLOOKUP(P186,'Ext. Pa'!$B$3:$C$77,2,FALSE)</f>
        <v>5</v>
      </c>
      <c r="AE186" s="168">
        <f>VLOOKUP(Q186,'Ext. Pa'!$B$3:$C$77,2,FALSE)</f>
        <v>6</v>
      </c>
      <c r="AF186" s="199">
        <f>IF(G186&lt;40,(G186)/4,40)</f>
        <v>3.25</v>
      </c>
      <c r="AG186" s="170">
        <f>Table2[[#This Row],[Coating defect survey10]]</f>
        <v>1</v>
      </c>
      <c r="AH186" s="170">
        <f>Table2[[#This Row],[CP Level within NACE Criteria4]]</f>
        <v>1</v>
      </c>
      <c r="AI186" s="200">
        <f>IF(Table2[[#This Row],[CP level]]&gt;9.9,1,0)</f>
        <v>0</v>
      </c>
      <c r="AJ186" s="200">
        <f>Table2[[#This Row],[Column3]]*Table2[[#This Row],[Coating defect survey2]]</f>
        <v>0</v>
      </c>
      <c r="AK186" s="170">
        <v>19.493670000000002</v>
      </c>
    </row>
    <row r="187" spans="1:37" s="218" customFormat="1">
      <c r="A187" s="80">
        <v>3</v>
      </c>
      <c r="B187" s="219" t="s">
        <v>932</v>
      </c>
      <c r="C187" s="81">
        <v>330400005</v>
      </c>
      <c r="D187" s="82" t="s">
        <v>931</v>
      </c>
      <c r="E187" s="64"/>
      <c r="F187" s="64">
        <v>2000</v>
      </c>
      <c r="G187" s="64">
        <f>2013-Table2[[#This Row],[Startup Year]]</f>
        <v>13</v>
      </c>
      <c r="H187" s="64" t="s">
        <v>101</v>
      </c>
      <c r="I187" s="83" t="s">
        <v>111</v>
      </c>
      <c r="J187" s="83" t="s">
        <v>113</v>
      </c>
      <c r="K187" s="85">
        <v>0</v>
      </c>
      <c r="L187" s="83" t="s">
        <v>105</v>
      </c>
      <c r="M187" s="83" t="s">
        <v>105</v>
      </c>
      <c r="N187" s="83" t="s">
        <v>105</v>
      </c>
      <c r="O187" s="83" t="s">
        <v>143</v>
      </c>
      <c r="P187" s="83" t="s">
        <v>105</v>
      </c>
      <c r="Q187" s="83" t="s">
        <v>66</v>
      </c>
      <c r="R187" s="83" t="s">
        <v>72</v>
      </c>
      <c r="S187" s="22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7" s="220">
        <v>19.493670000000002</v>
      </c>
      <c r="U187" s="83"/>
      <c r="V187" s="220">
        <f>VLOOKUP(H187,'Ext. Pa'!$B$3:$C$77,2,FALSE)</f>
        <v>1</v>
      </c>
      <c r="W187" s="83">
        <f>VLOOKUP(I187,'Ext. Pa'!$B$3:$C$77,2,FALSE)</f>
        <v>8</v>
      </c>
      <c r="X187" s="83">
        <f>VLOOKUP(J187,'Ext. Pa'!$B$3:$C$77,2,FALSE)</f>
        <v>4</v>
      </c>
      <c r="Y187" s="83">
        <f>VLOOKUP(K187,'Ext. Pa'!$B$3:$C$77,2,FALSE)</f>
        <v>0</v>
      </c>
      <c r="Z187" s="83">
        <f>VLOOKUP(L187,'Ext. Pa'!$B$3:$C$77,2,FALSE)</f>
        <v>5</v>
      </c>
      <c r="AA187" s="83">
        <f>VLOOKUP(M187,'Ext. Pa'!$B$3:$C$77,2,FALSE)</f>
        <v>5</v>
      </c>
      <c r="AB187" s="83">
        <f>VLOOKUP(N187,'Ext. Pa'!$B$3:$C$77,2,FALSE)</f>
        <v>5</v>
      </c>
      <c r="AC187" s="83">
        <f>VLOOKUP(O187,'Ext. Pa'!$B$3:$C$77,2,FALSE)</f>
        <v>1</v>
      </c>
      <c r="AD187" s="83">
        <f>VLOOKUP(P187,'Ext. Pa'!$B$3:$C$77,2,FALSE)</f>
        <v>5</v>
      </c>
      <c r="AE187" s="83">
        <f>VLOOKUP(Q187,'Ext. Pa'!$B$3:$C$77,2,FALSE)</f>
        <v>6</v>
      </c>
      <c r="AF187" s="221">
        <f t="shared" si="13"/>
        <v>3.25</v>
      </c>
      <c r="AG187" s="220">
        <f>Table2[[#This Row],[Coating defect survey10]]</f>
        <v>1</v>
      </c>
      <c r="AH187" s="220">
        <f>Table2[[#This Row],[CP Level within NACE Criteria4]]</f>
        <v>8</v>
      </c>
      <c r="AI187" s="222">
        <f>IF(Table2[[#This Row],[CP level]]&gt;9.9,1,0)</f>
        <v>0</v>
      </c>
      <c r="AJ187" s="222">
        <f>Table2[[#This Row],[Column3]]*Table2[[#This Row],[Coating defect survey2]]</f>
        <v>0</v>
      </c>
      <c r="AK187" s="65">
        <v>19.493670000000002</v>
      </c>
    </row>
    <row r="188" spans="1:37" s="100" customFormat="1">
      <c r="A188" s="128">
        <v>3</v>
      </c>
      <c r="B188" s="129" t="s">
        <v>728</v>
      </c>
      <c r="C188" s="96">
        <v>330400008</v>
      </c>
      <c r="D188" s="97" t="s">
        <v>729</v>
      </c>
      <c r="E188" s="130"/>
      <c r="F188" s="130">
        <v>2000</v>
      </c>
      <c r="G188" s="130">
        <f>2013-Table2[[#This Row],[Startup Year]]</f>
        <v>13</v>
      </c>
      <c r="H188" s="130" t="s">
        <v>101</v>
      </c>
      <c r="I188" s="130" t="s">
        <v>108</v>
      </c>
      <c r="J188" s="130" t="s">
        <v>113</v>
      </c>
      <c r="K188" s="98">
        <v>0</v>
      </c>
      <c r="L188" s="130" t="s">
        <v>105</v>
      </c>
      <c r="M188" s="130" t="s">
        <v>105</v>
      </c>
      <c r="N188" s="130" t="s">
        <v>105</v>
      </c>
      <c r="O188" s="130" t="s">
        <v>143</v>
      </c>
      <c r="P188" s="130" t="s">
        <v>105</v>
      </c>
      <c r="Q188" s="130" t="s">
        <v>66</v>
      </c>
      <c r="R188" s="130" t="s">
        <v>72</v>
      </c>
      <c r="S18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8" s="98">
        <v>19.493670000000002</v>
      </c>
      <c r="U188" s="130"/>
      <c r="V188" s="131">
        <f>VLOOKUP(H188,'Ext. Pa'!$B$3:$C$77,2,FALSE)</f>
        <v>1</v>
      </c>
      <c r="W188" s="130">
        <f>VLOOKUP(I188,'Ext. Pa'!$B$3:$C$77,2,FALSE)</f>
        <v>1</v>
      </c>
      <c r="X188" s="130">
        <f>VLOOKUP(J188,'Ext. Pa'!$B$3:$C$77,2,FALSE)</f>
        <v>4</v>
      </c>
      <c r="Y188" s="130">
        <f>VLOOKUP(K188,'Ext. Pa'!$B$3:$C$77,2,FALSE)</f>
        <v>0</v>
      </c>
      <c r="Z188" s="130">
        <f>VLOOKUP(L188,'Ext. Pa'!$B$3:$C$77,2,FALSE)</f>
        <v>5</v>
      </c>
      <c r="AA188" s="130">
        <f>VLOOKUP(M188,'Ext. Pa'!$B$3:$C$77,2,FALSE)</f>
        <v>5</v>
      </c>
      <c r="AB188" s="130">
        <f>VLOOKUP(N188,'Ext. Pa'!$B$3:$C$77,2,FALSE)</f>
        <v>5</v>
      </c>
      <c r="AC188" s="130">
        <f>VLOOKUP(O188,'Ext. Pa'!$B$3:$C$77,2,FALSE)</f>
        <v>1</v>
      </c>
      <c r="AD188" s="130">
        <f>VLOOKUP(P188,'Ext. Pa'!$B$3:$C$77,2,FALSE)</f>
        <v>5</v>
      </c>
      <c r="AE188" s="130">
        <f>VLOOKUP(Q188,'Ext. Pa'!$B$3:$C$77,2,FALSE)</f>
        <v>6</v>
      </c>
      <c r="AF188" s="132">
        <f t="shared" si="13"/>
        <v>3.25</v>
      </c>
      <c r="AG188" s="133">
        <f>Table2[[#This Row],[Coating defect survey10]]</f>
        <v>1</v>
      </c>
      <c r="AH188" s="134">
        <f>Table2[[#This Row],[CP Level within NACE Criteria4]]</f>
        <v>1</v>
      </c>
      <c r="AI188" s="135">
        <f>IF(Table2[[#This Row],[CP level]]&gt;9.9,1,0)</f>
        <v>0</v>
      </c>
      <c r="AJ188" s="135">
        <f>Table2[[#This Row],[Column3]]*Table2[[#This Row],[Coating defect survey2]]</f>
        <v>0</v>
      </c>
      <c r="AK188" s="170">
        <v>19.493670000000002</v>
      </c>
    </row>
    <row r="189" spans="1:37" s="207" customFormat="1">
      <c r="A189" s="231">
        <v>3</v>
      </c>
      <c r="B189" s="232" t="s">
        <v>914</v>
      </c>
      <c r="C189" s="233">
        <v>3304</v>
      </c>
      <c r="D189" s="234" t="s">
        <v>915</v>
      </c>
      <c r="E189" s="235"/>
      <c r="F189" s="235">
        <v>2000</v>
      </c>
      <c r="G189" s="235">
        <f>2013-Table2[[#This Row],[Startup Year]]</f>
        <v>13</v>
      </c>
      <c r="H189" s="235" t="s">
        <v>101</v>
      </c>
      <c r="I189" s="236" t="s">
        <v>109</v>
      </c>
      <c r="J189" s="212" t="s">
        <v>113</v>
      </c>
      <c r="K189" s="86">
        <v>0</v>
      </c>
      <c r="L189" s="212" t="s">
        <v>105</v>
      </c>
      <c r="M189" s="212" t="s">
        <v>105</v>
      </c>
      <c r="N189" s="212" t="s">
        <v>105</v>
      </c>
      <c r="O189" s="212" t="s">
        <v>144</v>
      </c>
      <c r="P189" s="212" t="s">
        <v>105</v>
      </c>
      <c r="Q189" s="212" t="s">
        <v>66</v>
      </c>
      <c r="R189" s="236" t="s">
        <v>72</v>
      </c>
      <c r="S189" s="237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89" s="237">
        <v>19.493670000000002</v>
      </c>
      <c r="U189" s="236"/>
      <c r="V189" s="237">
        <f>VLOOKUP(H189,'Ext. Pa'!$B$3:$C$77,2,FALSE)</f>
        <v>1</v>
      </c>
      <c r="W189" s="236">
        <f>VLOOKUP(I189,'Ext. Pa'!$B$3:$C$77,2,FALSE)</f>
        <v>3</v>
      </c>
      <c r="X189" s="236">
        <f>VLOOKUP(J189,'Ext. Pa'!$B$3:$C$77,2,FALSE)</f>
        <v>4</v>
      </c>
      <c r="Y189" s="236">
        <f>VLOOKUP(K189,'Ext. Pa'!$B$3:$C$77,2,FALSE)</f>
        <v>0</v>
      </c>
      <c r="Z189" s="236">
        <f>VLOOKUP(L189,'Ext. Pa'!$B$3:$C$77,2,FALSE)</f>
        <v>5</v>
      </c>
      <c r="AA189" s="236">
        <f>VLOOKUP(M189,'Ext. Pa'!$B$3:$C$77,2,FALSE)</f>
        <v>5</v>
      </c>
      <c r="AB189" s="236">
        <f>VLOOKUP(N189,'Ext. Pa'!$B$3:$C$77,2,FALSE)</f>
        <v>5</v>
      </c>
      <c r="AC189" s="236">
        <f>VLOOKUP(O189,'Ext. Pa'!$B$3:$C$77,2,FALSE)</f>
        <v>3</v>
      </c>
      <c r="AD189" s="236">
        <f>VLOOKUP(P189,'Ext. Pa'!$B$3:$C$77,2,FALSE)</f>
        <v>5</v>
      </c>
      <c r="AE189" s="236">
        <f>VLOOKUP(Q189,'Ext. Pa'!$B$3:$C$77,2,FALSE)</f>
        <v>6</v>
      </c>
      <c r="AF189" s="238">
        <f t="shared" si="13"/>
        <v>3.25</v>
      </c>
      <c r="AG189" s="237">
        <f>Table2[[#This Row],[Coating defect survey10]]</f>
        <v>3</v>
      </c>
      <c r="AH189" s="237">
        <f>Table2[[#This Row],[CP Level within NACE Criteria4]]</f>
        <v>3</v>
      </c>
      <c r="AI189" s="239">
        <f>IF(Table2[[#This Row],[CP level]]&gt;9.9,1,0)</f>
        <v>0</v>
      </c>
      <c r="AJ189" s="239">
        <f>Table2[[#This Row],[Column3]]*Table2[[#This Row],[Coating defect survey2]]</f>
        <v>0</v>
      </c>
      <c r="AK189" s="209">
        <v>19.493670000000002</v>
      </c>
    </row>
    <row r="190" spans="1:37" s="100" customFormat="1">
      <c r="A190" s="128">
        <v>3</v>
      </c>
      <c r="B190" s="129" t="s">
        <v>918</v>
      </c>
      <c r="C190" s="96">
        <v>330401</v>
      </c>
      <c r="D190" s="97" t="s">
        <v>919</v>
      </c>
      <c r="E190" s="168"/>
      <c r="F190" s="168">
        <v>2000</v>
      </c>
      <c r="G190" s="168">
        <f>2013-Table2[[#This Row],[Startup Year]]</f>
        <v>13</v>
      </c>
      <c r="H190" s="168" t="s">
        <v>101</v>
      </c>
      <c r="I190" s="130" t="s">
        <v>108</v>
      </c>
      <c r="J190" s="130" t="s">
        <v>113</v>
      </c>
      <c r="K190" s="98">
        <v>0</v>
      </c>
      <c r="L190" s="130" t="s">
        <v>105</v>
      </c>
      <c r="M190" s="130" t="s">
        <v>105</v>
      </c>
      <c r="N190" s="130" t="s">
        <v>105</v>
      </c>
      <c r="O190" s="130" t="s">
        <v>143</v>
      </c>
      <c r="P190" s="130" t="s">
        <v>105</v>
      </c>
      <c r="Q190" s="130" t="s">
        <v>66</v>
      </c>
      <c r="R190" s="130" t="s">
        <v>72</v>
      </c>
      <c r="S19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0" s="131">
        <v>19.493670000000002</v>
      </c>
      <c r="U190" s="130"/>
      <c r="V190" s="131">
        <f>VLOOKUP(H190,'Ext. Pa'!$B$3:$C$77,2,FALSE)</f>
        <v>1</v>
      </c>
      <c r="W190" s="130">
        <f>VLOOKUP(I190,'Ext. Pa'!$B$3:$C$77,2,FALSE)</f>
        <v>1</v>
      </c>
      <c r="X190" s="130">
        <f>VLOOKUP(J190,'Ext. Pa'!$B$3:$C$77,2,FALSE)</f>
        <v>4</v>
      </c>
      <c r="Y190" s="130">
        <f>VLOOKUP(K190,'Ext. Pa'!$B$3:$C$77,2,FALSE)</f>
        <v>0</v>
      </c>
      <c r="Z190" s="130">
        <f>VLOOKUP(L190,'Ext. Pa'!$B$3:$C$77,2,FALSE)</f>
        <v>5</v>
      </c>
      <c r="AA190" s="130">
        <f>VLOOKUP(M190,'Ext. Pa'!$B$3:$C$77,2,FALSE)</f>
        <v>5</v>
      </c>
      <c r="AB190" s="130">
        <f>VLOOKUP(N190,'Ext. Pa'!$B$3:$C$77,2,FALSE)</f>
        <v>5</v>
      </c>
      <c r="AC190" s="130">
        <f>VLOOKUP(O190,'Ext. Pa'!$B$3:$C$77,2,FALSE)</f>
        <v>1</v>
      </c>
      <c r="AD190" s="130">
        <f>VLOOKUP(P190,'Ext. Pa'!$B$3:$C$77,2,FALSE)</f>
        <v>5</v>
      </c>
      <c r="AE190" s="130">
        <f>VLOOKUP(Q190,'Ext. Pa'!$B$3:$C$77,2,FALSE)</f>
        <v>6</v>
      </c>
      <c r="AF190" s="132">
        <f t="shared" si="13"/>
        <v>3.25</v>
      </c>
      <c r="AG190" s="131">
        <f>Table2[[#This Row],[Coating defect survey10]]</f>
        <v>1</v>
      </c>
      <c r="AH190" s="131">
        <f>Table2[[#This Row],[CP Level within NACE Criteria4]]</f>
        <v>1</v>
      </c>
      <c r="AI190" s="186">
        <f>IF(Table2[[#This Row],[CP level]]&gt;9.9,1,0)</f>
        <v>0</v>
      </c>
      <c r="AJ190" s="186">
        <f>Table2[[#This Row],[Column3]]*Table2[[#This Row],[Coating defect survey2]]</f>
        <v>0</v>
      </c>
      <c r="AK190" s="170">
        <v>19.493670000000002</v>
      </c>
    </row>
    <row r="191" spans="1:37" s="100" customFormat="1">
      <c r="A191" s="189">
        <v>3</v>
      </c>
      <c r="B191" s="190" t="s">
        <v>911</v>
      </c>
      <c r="C191" s="191">
        <v>3305</v>
      </c>
      <c r="D191" s="192" t="s">
        <v>910</v>
      </c>
      <c r="E191" s="188"/>
      <c r="F191" s="188">
        <v>2000</v>
      </c>
      <c r="G191" s="188">
        <f>2013-Table2[[#This Row],[Startup Year]]</f>
        <v>13</v>
      </c>
      <c r="H191" s="188" t="s">
        <v>101</v>
      </c>
      <c r="I191" s="193" t="s">
        <v>108</v>
      </c>
      <c r="J191" s="193" t="s">
        <v>113</v>
      </c>
      <c r="K191" s="193">
        <v>0</v>
      </c>
      <c r="L191" s="193" t="s">
        <v>105</v>
      </c>
      <c r="M191" s="130" t="s">
        <v>105</v>
      </c>
      <c r="N191" s="130" t="s">
        <v>105</v>
      </c>
      <c r="O191" s="130" t="s">
        <v>143</v>
      </c>
      <c r="P191" s="130" t="s">
        <v>105</v>
      </c>
      <c r="Q191" s="130" t="s">
        <v>66</v>
      </c>
      <c r="R191" s="193" t="s">
        <v>72</v>
      </c>
      <c r="S191" s="19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1" s="194">
        <v>19.493670000000002</v>
      </c>
      <c r="U191" s="193"/>
      <c r="V191" s="194">
        <f>VLOOKUP(H191,'Ext. Pa'!$B$3:$C$77,2,FALSE)</f>
        <v>1</v>
      </c>
      <c r="W191" s="193">
        <f>VLOOKUP(I191,'Ext. Pa'!$B$3:$C$77,2,FALSE)</f>
        <v>1</v>
      </c>
      <c r="X191" s="193">
        <f>VLOOKUP(J191,'Ext. Pa'!$B$3:$C$77,2,FALSE)</f>
        <v>4</v>
      </c>
      <c r="Y191" s="193">
        <f>VLOOKUP(K191,'Ext. Pa'!$B$3:$C$77,2,FALSE)</f>
        <v>0</v>
      </c>
      <c r="Z191" s="193">
        <f>VLOOKUP(L191,'Ext. Pa'!$B$3:$C$77,2,FALSE)</f>
        <v>5</v>
      </c>
      <c r="AA191" s="193">
        <f>VLOOKUP(M191,'Ext. Pa'!$B$3:$C$77,2,FALSE)</f>
        <v>5</v>
      </c>
      <c r="AB191" s="193">
        <f>VLOOKUP(N191,'Ext. Pa'!$B$3:$C$77,2,FALSE)</f>
        <v>5</v>
      </c>
      <c r="AC191" s="193">
        <f>VLOOKUP(O191,'Ext. Pa'!$B$3:$C$77,2,FALSE)</f>
        <v>1</v>
      </c>
      <c r="AD191" s="193">
        <f>VLOOKUP(P191,'Ext. Pa'!$B$3:$C$77,2,FALSE)</f>
        <v>5</v>
      </c>
      <c r="AE191" s="193">
        <f>VLOOKUP(Q191,'Ext. Pa'!$B$3:$C$77,2,FALSE)</f>
        <v>6</v>
      </c>
      <c r="AF191" s="195">
        <f t="shared" si="13"/>
        <v>3.25</v>
      </c>
      <c r="AG191" s="194">
        <f>Table2[[#This Row],[Coating defect survey10]]</f>
        <v>1</v>
      </c>
      <c r="AH191" s="194">
        <f>Table2[[#This Row],[CP Level within NACE Criteria4]]</f>
        <v>1</v>
      </c>
      <c r="AI191" s="196">
        <f>IF(Table2[[#This Row],[CP level]]&gt;9.9,1,0)</f>
        <v>0</v>
      </c>
      <c r="AJ191" s="196">
        <f>Table2[[#This Row],[Column3]]*Table2[[#This Row],[Coating defect survey2]]</f>
        <v>0</v>
      </c>
      <c r="AK191" s="170">
        <v>19.493670000000002</v>
      </c>
    </row>
    <row r="192" spans="1:37" s="100" customFormat="1">
      <c r="A192" s="128">
        <v>3</v>
      </c>
      <c r="B192" s="129" t="s">
        <v>941</v>
      </c>
      <c r="C192" s="96">
        <v>33050001</v>
      </c>
      <c r="D192" s="97" t="s">
        <v>760</v>
      </c>
      <c r="E192" s="168"/>
      <c r="F192" s="168">
        <v>2000</v>
      </c>
      <c r="G192" s="168">
        <f>2013-Table2[[#This Row],[Startup Year]]</f>
        <v>13</v>
      </c>
      <c r="H192" s="168" t="s">
        <v>101</v>
      </c>
      <c r="I192" s="130" t="s">
        <v>108</v>
      </c>
      <c r="J192" s="193" t="s">
        <v>113</v>
      </c>
      <c r="K192" s="193">
        <v>0</v>
      </c>
      <c r="L192" s="193" t="s">
        <v>105</v>
      </c>
      <c r="M192" s="130" t="s">
        <v>105</v>
      </c>
      <c r="N192" s="130" t="s">
        <v>105</v>
      </c>
      <c r="O192" s="130" t="s">
        <v>143</v>
      </c>
      <c r="P192" s="130" t="s">
        <v>105</v>
      </c>
      <c r="Q192" s="130" t="s">
        <v>66</v>
      </c>
      <c r="R192" s="130" t="s">
        <v>72</v>
      </c>
      <c r="S19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2" s="131">
        <v>19.493670000000002</v>
      </c>
      <c r="U192" s="130"/>
      <c r="V192" s="131">
        <f>VLOOKUP(H192,'Ext. Pa'!$B$3:$C$77,2,FALSE)</f>
        <v>1</v>
      </c>
      <c r="W192" s="130">
        <f>VLOOKUP(I192,'Ext. Pa'!$B$3:$C$77,2,FALSE)</f>
        <v>1</v>
      </c>
      <c r="X192" s="130">
        <f>VLOOKUP(J192,'Ext. Pa'!$B$3:$C$77,2,FALSE)</f>
        <v>4</v>
      </c>
      <c r="Y192" s="130">
        <f>VLOOKUP(K192,'Ext. Pa'!$B$3:$C$77,2,FALSE)</f>
        <v>0</v>
      </c>
      <c r="Z192" s="130">
        <f>VLOOKUP(L192,'Ext. Pa'!$B$3:$C$77,2,FALSE)</f>
        <v>5</v>
      </c>
      <c r="AA192" s="130">
        <f>VLOOKUP(M192,'Ext. Pa'!$B$3:$C$77,2,FALSE)</f>
        <v>5</v>
      </c>
      <c r="AB192" s="130">
        <f>VLOOKUP(N192,'Ext. Pa'!$B$3:$C$77,2,FALSE)</f>
        <v>5</v>
      </c>
      <c r="AC192" s="130">
        <f>VLOOKUP(O192,'Ext. Pa'!$B$3:$C$77,2,FALSE)</f>
        <v>1</v>
      </c>
      <c r="AD192" s="130">
        <f>VLOOKUP(P192,'Ext. Pa'!$B$3:$C$77,2,FALSE)</f>
        <v>5</v>
      </c>
      <c r="AE192" s="130">
        <f>VLOOKUP(Q192,'Ext. Pa'!$B$3:$C$77,2,FALSE)</f>
        <v>6</v>
      </c>
      <c r="AF192" s="132">
        <f t="shared" si="13"/>
        <v>3.25</v>
      </c>
      <c r="AG192" s="131">
        <f>Table2[[#This Row],[Coating defect survey10]]</f>
        <v>1</v>
      </c>
      <c r="AH192" s="131">
        <f>Table2[[#This Row],[CP Level within NACE Criteria4]]</f>
        <v>1</v>
      </c>
      <c r="AI192" s="186">
        <f>IF(Table2[[#This Row],[CP level]]&gt;9.9,1,0)</f>
        <v>0</v>
      </c>
      <c r="AJ192" s="186">
        <f>Table2[[#This Row],[Column3]]*Table2[[#This Row],[Coating defect survey2]]</f>
        <v>0</v>
      </c>
      <c r="AK192" s="170">
        <v>19.493670000000002</v>
      </c>
    </row>
    <row r="193" spans="1:37" s="100" customFormat="1">
      <c r="A193" s="128">
        <v>3</v>
      </c>
      <c r="B193" s="129" t="s">
        <v>737</v>
      </c>
      <c r="C193" s="96">
        <v>330500001</v>
      </c>
      <c r="D193" s="97" t="s">
        <v>738</v>
      </c>
      <c r="E193" s="130"/>
      <c r="F193" s="130">
        <v>2000</v>
      </c>
      <c r="G193" s="130">
        <f>2013-Table2[[#This Row],[Startup Year]]</f>
        <v>13</v>
      </c>
      <c r="H193" s="130" t="s">
        <v>101</v>
      </c>
      <c r="I193" s="130" t="s">
        <v>108</v>
      </c>
      <c r="J193" s="130" t="s">
        <v>113</v>
      </c>
      <c r="K193" s="98">
        <v>0</v>
      </c>
      <c r="L193" s="130" t="s">
        <v>105</v>
      </c>
      <c r="M193" s="130" t="s">
        <v>105</v>
      </c>
      <c r="N193" s="130" t="s">
        <v>105</v>
      </c>
      <c r="O193" s="130" t="s">
        <v>143</v>
      </c>
      <c r="P193" s="130" t="s">
        <v>105</v>
      </c>
      <c r="Q193" s="130" t="s">
        <v>66</v>
      </c>
      <c r="R193" s="130" t="s">
        <v>72</v>
      </c>
      <c r="S19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3" s="98">
        <v>19.493670000000002</v>
      </c>
      <c r="U193" s="130"/>
      <c r="V193" s="131">
        <f>VLOOKUP(H193,'Ext. Pa'!$B$3:$C$77,2,FALSE)</f>
        <v>1</v>
      </c>
      <c r="W193" s="130">
        <f>VLOOKUP(I193,'Ext. Pa'!$B$3:$C$77,2,FALSE)</f>
        <v>1</v>
      </c>
      <c r="X193" s="130">
        <f>VLOOKUP(J193,'Ext. Pa'!$B$3:$C$77,2,FALSE)</f>
        <v>4</v>
      </c>
      <c r="Y193" s="130">
        <f>VLOOKUP(K193,'Ext. Pa'!$B$3:$C$77,2,FALSE)</f>
        <v>0</v>
      </c>
      <c r="Z193" s="130">
        <f>VLOOKUP(L193,'Ext. Pa'!$B$3:$C$77,2,FALSE)</f>
        <v>5</v>
      </c>
      <c r="AA193" s="130">
        <f>VLOOKUP(M193,'Ext. Pa'!$B$3:$C$77,2,FALSE)</f>
        <v>5</v>
      </c>
      <c r="AB193" s="130">
        <f>VLOOKUP(N193,'Ext. Pa'!$B$3:$C$77,2,FALSE)</f>
        <v>5</v>
      </c>
      <c r="AC193" s="130">
        <f>VLOOKUP(O193,'Ext. Pa'!$B$3:$C$77,2,FALSE)</f>
        <v>1</v>
      </c>
      <c r="AD193" s="130">
        <f>VLOOKUP(P193,'Ext. Pa'!$B$3:$C$77,2,FALSE)</f>
        <v>5</v>
      </c>
      <c r="AE193" s="130">
        <f>VLOOKUP(Q193,'Ext. Pa'!$B$3:$C$77,2,FALSE)</f>
        <v>6</v>
      </c>
      <c r="AF193" s="132">
        <f t="shared" si="13"/>
        <v>3.25</v>
      </c>
      <c r="AG193" s="133">
        <f>Table2[[#This Row],[Coating defect survey10]]</f>
        <v>1</v>
      </c>
      <c r="AH193" s="134">
        <f>Table2[[#This Row],[CP Level within NACE Criteria4]]</f>
        <v>1</v>
      </c>
      <c r="AI193" s="135">
        <f>IF(Table2[[#This Row],[CP level]]&gt;9.9,1,0)</f>
        <v>0</v>
      </c>
      <c r="AJ193" s="135">
        <f>Table2[[#This Row],[Column3]]*Table2[[#This Row],[Coating defect survey2]]</f>
        <v>0</v>
      </c>
      <c r="AK193" s="170">
        <v>19.493670000000002</v>
      </c>
    </row>
    <row r="194" spans="1:37" s="100" customFormat="1">
      <c r="A194" s="128">
        <v>3</v>
      </c>
      <c r="B194" s="129" t="s">
        <v>764</v>
      </c>
      <c r="C194" s="96">
        <v>33050002</v>
      </c>
      <c r="D194" s="97" t="s">
        <v>765</v>
      </c>
      <c r="E194" s="130"/>
      <c r="F194" s="130">
        <v>2000</v>
      </c>
      <c r="G194" s="130">
        <f>2013-Table2[[#This Row],[Startup Year]]</f>
        <v>13</v>
      </c>
      <c r="H194" s="130" t="s">
        <v>101</v>
      </c>
      <c r="I194" s="130" t="s">
        <v>108</v>
      </c>
      <c r="J194" s="130" t="s">
        <v>113</v>
      </c>
      <c r="K194" s="98">
        <v>0</v>
      </c>
      <c r="L194" s="130" t="s">
        <v>105</v>
      </c>
      <c r="M194" s="130" t="s">
        <v>105</v>
      </c>
      <c r="N194" s="130" t="s">
        <v>105</v>
      </c>
      <c r="O194" s="130" t="s">
        <v>143</v>
      </c>
      <c r="P194" s="130" t="s">
        <v>105</v>
      </c>
      <c r="Q194" s="130" t="s">
        <v>66</v>
      </c>
      <c r="R194" s="130" t="s">
        <v>72</v>
      </c>
      <c r="S19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4" s="131">
        <v>19.493670000000002</v>
      </c>
      <c r="U194" s="130"/>
      <c r="V194" s="131">
        <f>VLOOKUP(H194,'Ext. Pa'!$B$3:$C$77,2,FALSE)</f>
        <v>1</v>
      </c>
      <c r="W194" s="130">
        <f>VLOOKUP(I194,'Ext. Pa'!$B$3:$C$77,2,FALSE)</f>
        <v>1</v>
      </c>
      <c r="X194" s="130">
        <f>VLOOKUP(J194,'Ext. Pa'!$B$3:$C$77,2,FALSE)</f>
        <v>4</v>
      </c>
      <c r="Y194" s="130">
        <f>VLOOKUP(K194,'Ext. Pa'!$B$3:$C$77,2,FALSE)</f>
        <v>0</v>
      </c>
      <c r="Z194" s="130">
        <f>VLOOKUP(L194,'Ext. Pa'!$B$3:$C$77,2,FALSE)</f>
        <v>5</v>
      </c>
      <c r="AA194" s="130">
        <f>VLOOKUP(M194,'Ext. Pa'!$B$3:$C$77,2,FALSE)</f>
        <v>5</v>
      </c>
      <c r="AB194" s="130">
        <f>VLOOKUP(N194,'Ext. Pa'!$B$3:$C$77,2,FALSE)</f>
        <v>5</v>
      </c>
      <c r="AC194" s="130">
        <f>VLOOKUP(O194,'Ext. Pa'!$B$3:$C$77,2,FALSE)</f>
        <v>1</v>
      </c>
      <c r="AD194" s="130">
        <f>VLOOKUP(P194,'Ext. Pa'!$B$3:$C$77,2,FALSE)</f>
        <v>5</v>
      </c>
      <c r="AE194" s="130">
        <f>VLOOKUP(Q194,'Ext. Pa'!$B$3:$C$77,2,FALSE)</f>
        <v>6</v>
      </c>
      <c r="AF194" s="132">
        <f t="shared" si="13"/>
        <v>3.25</v>
      </c>
      <c r="AG194" s="134">
        <f>Table2[[#This Row],[Coating defect survey10]]</f>
        <v>1</v>
      </c>
      <c r="AH194" s="134">
        <f>Table2[[#This Row],[CP Level within NACE Criteria4]]</f>
        <v>1</v>
      </c>
      <c r="AI194" s="135">
        <f>IF(Table2[[#This Row],[CP level]]&gt;9.9,1,0)</f>
        <v>0</v>
      </c>
      <c r="AJ194" s="135">
        <f>Table2[[#This Row],[Column3]]*Table2[[#This Row],[Coating defect survey2]]</f>
        <v>0</v>
      </c>
      <c r="AK194" s="170">
        <v>19.493670000000002</v>
      </c>
    </row>
    <row r="195" spans="1:37" s="100" customFormat="1">
      <c r="A195" s="128">
        <v>3</v>
      </c>
      <c r="B195" s="129" t="s">
        <v>737</v>
      </c>
      <c r="C195" s="96">
        <v>330500001</v>
      </c>
      <c r="D195" s="97" t="s">
        <v>760</v>
      </c>
      <c r="E195" s="130"/>
      <c r="F195" s="130">
        <v>2000</v>
      </c>
      <c r="G195" s="130">
        <f>2013-Table2[[#This Row],[Startup Year]]</f>
        <v>13</v>
      </c>
      <c r="H195" s="130" t="s">
        <v>101</v>
      </c>
      <c r="I195" s="130" t="s">
        <v>108</v>
      </c>
      <c r="J195" s="130" t="s">
        <v>113</v>
      </c>
      <c r="K195" s="98">
        <v>0</v>
      </c>
      <c r="L195" s="130" t="s">
        <v>105</v>
      </c>
      <c r="M195" s="130" t="s">
        <v>105</v>
      </c>
      <c r="N195" s="130" t="s">
        <v>105</v>
      </c>
      <c r="O195" s="130" t="s">
        <v>143</v>
      </c>
      <c r="P195" s="130" t="s">
        <v>105</v>
      </c>
      <c r="Q195" s="130" t="s">
        <v>66</v>
      </c>
      <c r="R195" s="130" t="s">
        <v>72</v>
      </c>
      <c r="S19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5" s="131">
        <v>19.493670000000002</v>
      </c>
      <c r="U195" s="130"/>
      <c r="V195" s="131">
        <f>VLOOKUP(H195,'Ext. Pa'!$B$3:$C$77,2,FALSE)</f>
        <v>1</v>
      </c>
      <c r="W195" s="130">
        <f>VLOOKUP(I195,'Ext. Pa'!$B$3:$C$77,2,FALSE)</f>
        <v>1</v>
      </c>
      <c r="X195" s="130">
        <f>VLOOKUP(J195,'Ext. Pa'!$B$3:$C$77,2,FALSE)</f>
        <v>4</v>
      </c>
      <c r="Y195" s="130">
        <f>VLOOKUP(K195,'Ext. Pa'!$B$3:$C$77,2,FALSE)</f>
        <v>0</v>
      </c>
      <c r="Z195" s="130">
        <f>VLOOKUP(L195,'Ext. Pa'!$B$3:$C$77,2,FALSE)</f>
        <v>5</v>
      </c>
      <c r="AA195" s="130">
        <f>VLOOKUP(M195,'Ext. Pa'!$B$3:$C$77,2,FALSE)</f>
        <v>5</v>
      </c>
      <c r="AB195" s="130">
        <f>VLOOKUP(N195,'Ext. Pa'!$B$3:$C$77,2,FALSE)</f>
        <v>5</v>
      </c>
      <c r="AC195" s="130">
        <f>VLOOKUP(O195,'Ext. Pa'!$B$3:$C$77,2,FALSE)</f>
        <v>1</v>
      </c>
      <c r="AD195" s="130">
        <f>VLOOKUP(P195,'Ext. Pa'!$B$3:$C$77,2,FALSE)</f>
        <v>5</v>
      </c>
      <c r="AE195" s="130">
        <f>VLOOKUP(Q195,'Ext. Pa'!$B$3:$C$77,2,FALSE)</f>
        <v>6</v>
      </c>
      <c r="AF195" s="132">
        <f t="shared" si="13"/>
        <v>3.25</v>
      </c>
      <c r="AG195" s="134">
        <f>Table2[[#This Row],[Coating defect survey10]]</f>
        <v>1</v>
      </c>
      <c r="AH195" s="134">
        <f>Table2[[#This Row],[CP Level within NACE Criteria4]]</f>
        <v>1</v>
      </c>
      <c r="AI195" s="135">
        <f>IF(Table2[[#This Row],[CP level]]&gt;9.9,1,0)</f>
        <v>0</v>
      </c>
      <c r="AJ195" s="135">
        <f>Table2[[#This Row],[Column3]]*Table2[[#This Row],[Coating defect survey2]]</f>
        <v>0</v>
      </c>
      <c r="AK195" s="170">
        <v>19.493670000000002</v>
      </c>
    </row>
    <row r="196" spans="1:37" s="100" customFormat="1">
      <c r="A196" s="128">
        <v>3</v>
      </c>
      <c r="B196" s="129" t="s">
        <v>735</v>
      </c>
      <c r="C196" s="96">
        <v>330500004</v>
      </c>
      <c r="D196" s="97" t="s">
        <v>736</v>
      </c>
      <c r="E196" s="130"/>
      <c r="F196" s="130">
        <v>2000</v>
      </c>
      <c r="G196" s="130">
        <f>2013-Table2[[#This Row],[Startup Year]]</f>
        <v>13</v>
      </c>
      <c r="H196" s="130" t="s">
        <v>101</v>
      </c>
      <c r="I196" s="130" t="s">
        <v>108</v>
      </c>
      <c r="J196" s="130" t="s">
        <v>113</v>
      </c>
      <c r="K196" s="98">
        <v>0</v>
      </c>
      <c r="L196" s="130" t="s">
        <v>105</v>
      </c>
      <c r="M196" s="130" t="s">
        <v>105</v>
      </c>
      <c r="N196" s="130" t="s">
        <v>105</v>
      </c>
      <c r="O196" s="130" t="s">
        <v>143</v>
      </c>
      <c r="P196" s="130" t="s">
        <v>105</v>
      </c>
      <c r="Q196" s="130" t="s">
        <v>66</v>
      </c>
      <c r="R196" s="130" t="s">
        <v>72</v>
      </c>
      <c r="S19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6" s="98">
        <v>19.493670000000002</v>
      </c>
      <c r="U196" s="130"/>
      <c r="V196" s="131">
        <f>VLOOKUP(H196,'Ext. Pa'!$B$3:$C$77,2,FALSE)</f>
        <v>1</v>
      </c>
      <c r="W196" s="130">
        <f>VLOOKUP(I196,'Ext. Pa'!$B$3:$C$77,2,FALSE)</f>
        <v>1</v>
      </c>
      <c r="X196" s="130">
        <f>VLOOKUP(J196,'Ext. Pa'!$B$3:$C$77,2,FALSE)</f>
        <v>4</v>
      </c>
      <c r="Y196" s="130">
        <f>VLOOKUP(K196,'Ext. Pa'!$B$3:$C$77,2,FALSE)</f>
        <v>0</v>
      </c>
      <c r="Z196" s="130">
        <f>VLOOKUP(L196,'Ext. Pa'!$B$3:$C$77,2,FALSE)</f>
        <v>5</v>
      </c>
      <c r="AA196" s="130">
        <f>VLOOKUP(M196,'Ext. Pa'!$B$3:$C$77,2,FALSE)</f>
        <v>5</v>
      </c>
      <c r="AB196" s="130">
        <f>VLOOKUP(N196,'Ext. Pa'!$B$3:$C$77,2,FALSE)</f>
        <v>5</v>
      </c>
      <c r="AC196" s="130">
        <f>VLOOKUP(O196,'Ext. Pa'!$B$3:$C$77,2,FALSE)</f>
        <v>1</v>
      </c>
      <c r="AD196" s="130">
        <f>VLOOKUP(P196,'Ext. Pa'!$B$3:$C$77,2,FALSE)</f>
        <v>5</v>
      </c>
      <c r="AE196" s="130">
        <f>VLOOKUP(Q196,'Ext. Pa'!$B$3:$C$77,2,FALSE)</f>
        <v>6</v>
      </c>
      <c r="AF196" s="132">
        <f t="shared" si="13"/>
        <v>3.25</v>
      </c>
      <c r="AG196" s="133">
        <f>Table2[[#This Row],[Coating defect survey10]]</f>
        <v>1</v>
      </c>
      <c r="AH196" s="134">
        <f>Table2[[#This Row],[CP Level within NACE Criteria4]]</f>
        <v>1</v>
      </c>
      <c r="AI196" s="135">
        <f>IF(Table2[[#This Row],[CP level]]&gt;9.9,1,0)</f>
        <v>0</v>
      </c>
      <c r="AJ196" s="135">
        <f>Table2[[#This Row],[Column3]]*Table2[[#This Row],[Coating defect survey2]]</f>
        <v>0</v>
      </c>
      <c r="AK196" s="170">
        <v>19.493670000000002</v>
      </c>
    </row>
    <row r="197" spans="1:37" s="100" customFormat="1">
      <c r="A197" s="128">
        <v>3</v>
      </c>
      <c r="B197" s="129" t="s">
        <v>937</v>
      </c>
      <c r="C197" s="96">
        <v>330500005</v>
      </c>
      <c r="D197" s="97" t="s">
        <v>938</v>
      </c>
      <c r="E197" s="168"/>
      <c r="F197" s="168">
        <v>2000</v>
      </c>
      <c r="G197" s="168">
        <f>2013-Table2[[#This Row],[Startup Year]]</f>
        <v>13</v>
      </c>
      <c r="H197" s="168" t="s">
        <v>101</v>
      </c>
      <c r="I197" s="130" t="s">
        <v>108</v>
      </c>
      <c r="J197" s="130" t="s">
        <v>113</v>
      </c>
      <c r="K197" s="98">
        <v>0</v>
      </c>
      <c r="L197" s="130" t="s">
        <v>105</v>
      </c>
      <c r="M197" s="130" t="s">
        <v>105</v>
      </c>
      <c r="N197" s="130" t="s">
        <v>105</v>
      </c>
      <c r="O197" s="130" t="s">
        <v>143</v>
      </c>
      <c r="P197" s="130" t="s">
        <v>105</v>
      </c>
      <c r="Q197" s="130" t="s">
        <v>66</v>
      </c>
      <c r="R197" s="130" t="s">
        <v>72</v>
      </c>
      <c r="S19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7" s="131">
        <v>19.493670000000002</v>
      </c>
      <c r="U197" s="130"/>
      <c r="V197" s="131">
        <f>VLOOKUP(H197,'Ext. Pa'!$B$3:$C$77,2,FALSE)</f>
        <v>1</v>
      </c>
      <c r="W197" s="130">
        <f>VLOOKUP(I197,'Ext. Pa'!$B$3:$C$77,2,FALSE)</f>
        <v>1</v>
      </c>
      <c r="X197" s="130">
        <f>VLOOKUP(J197,'Ext. Pa'!$B$3:$C$77,2,FALSE)</f>
        <v>4</v>
      </c>
      <c r="Y197" s="130">
        <f>VLOOKUP(K197,'Ext. Pa'!$B$3:$C$77,2,FALSE)</f>
        <v>0</v>
      </c>
      <c r="Z197" s="130">
        <f>VLOOKUP(L197,'Ext. Pa'!$B$3:$C$77,2,FALSE)</f>
        <v>5</v>
      </c>
      <c r="AA197" s="130">
        <f>VLOOKUP(M197,'Ext. Pa'!$B$3:$C$77,2,FALSE)</f>
        <v>5</v>
      </c>
      <c r="AB197" s="130">
        <f>VLOOKUP(N197,'Ext. Pa'!$B$3:$C$77,2,FALSE)</f>
        <v>5</v>
      </c>
      <c r="AC197" s="130">
        <f>VLOOKUP(O197,'Ext. Pa'!$B$3:$C$77,2,FALSE)</f>
        <v>1</v>
      </c>
      <c r="AD197" s="130">
        <f>VLOOKUP(P197,'Ext. Pa'!$B$3:$C$77,2,FALSE)</f>
        <v>5</v>
      </c>
      <c r="AE197" s="130">
        <f>VLOOKUP(Q197,'Ext. Pa'!$B$3:$C$77,2,FALSE)</f>
        <v>6</v>
      </c>
      <c r="AF197" s="132">
        <f t="shared" si="13"/>
        <v>3.25</v>
      </c>
      <c r="AG197" s="131">
        <f>Table2[[#This Row],[Coating defect survey10]]</f>
        <v>1</v>
      </c>
      <c r="AH197" s="131">
        <f>Table2[[#This Row],[CP Level within NACE Criteria4]]</f>
        <v>1</v>
      </c>
      <c r="AI197" s="186">
        <f>IF(Table2[[#This Row],[CP level]]&gt;9.9,1,0)</f>
        <v>0</v>
      </c>
      <c r="AJ197" s="186">
        <f>Table2[[#This Row],[Column3]]*Table2[[#This Row],[Coating defect survey2]]</f>
        <v>0</v>
      </c>
      <c r="AK197" s="170">
        <v>19.493670000000002</v>
      </c>
    </row>
    <row r="198" spans="1:37" s="100" customFormat="1">
      <c r="A198" s="128">
        <v>3</v>
      </c>
      <c r="B198" s="129" t="s">
        <v>739</v>
      </c>
      <c r="C198" s="96">
        <v>330500003</v>
      </c>
      <c r="D198" s="97" t="s">
        <v>740</v>
      </c>
      <c r="E198" s="130"/>
      <c r="F198" s="130">
        <v>2000</v>
      </c>
      <c r="G198" s="130">
        <f>2013-Table2[[#This Row],[Startup Year]]</f>
        <v>13</v>
      </c>
      <c r="H198" s="130" t="s">
        <v>101</v>
      </c>
      <c r="I198" s="130" t="s">
        <v>108</v>
      </c>
      <c r="J198" s="130" t="s">
        <v>113</v>
      </c>
      <c r="K198" s="98">
        <v>0</v>
      </c>
      <c r="L198" s="130" t="s">
        <v>105</v>
      </c>
      <c r="M198" s="130" t="s">
        <v>105</v>
      </c>
      <c r="N198" s="130" t="s">
        <v>105</v>
      </c>
      <c r="O198" s="130" t="s">
        <v>143</v>
      </c>
      <c r="P198" s="130" t="s">
        <v>105</v>
      </c>
      <c r="Q198" s="130" t="s">
        <v>66</v>
      </c>
      <c r="R198" s="130" t="s">
        <v>72</v>
      </c>
      <c r="S19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8" s="98">
        <v>19.493670000000002</v>
      </c>
      <c r="U198" s="130"/>
      <c r="V198" s="131">
        <f>VLOOKUP(H198,'Ext. Pa'!$B$3:$C$77,2,FALSE)</f>
        <v>1</v>
      </c>
      <c r="W198" s="130">
        <f>VLOOKUP(I198,'Ext. Pa'!$B$3:$C$77,2,FALSE)</f>
        <v>1</v>
      </c>
      <c r="X198" s="130">
        <f>VLOOKUP(J198,'Ext. Pa'!$B$3:$C$77,2,FALSE)</f>
        <v>4</v>
      </c>
      <c r="Y198" s="130">
        <f>VLOOKUP(K198,'Ext. Pa'!$B$3:$C$77,2,FALSE)</f>
        <v>0</v>
      </c>
      <c r="Z198" s="130">
        <f>VLOOKUP(L198,'Ext. Pa'!$B$3:$C$77,2,FALSE)</f>
        <v>5</v>
      </c>
      <c r="AA198" s="130">
        <f>VLOOKUP(M198,'Ext. Pa'!$B$3:$C$77,2,FALSE)</f>
        <v>5</v>
      </c>
      <c r="AB198" s="130">
        <f>VLOOKUP(N198,'Ext. Pa'!$B$3:$C$77,2,FALSE)</f>
        <v>5</v>
      </c>
      <c r="AC198" s="130">
        <f>VLOOKUP(O198,'Ext. Pa'!$B$3:$C$77,2,FALSE)</f>
        <v>1</v>
      </c>
      <c r="AD198" s="130">
        <f>VLOOKUP(P198,'Ext. Pa'!$B$3:$C$77,2,FALSE)</f>
        <v>5</v>
      </c>
      <c r="AE198" s="130">
        <f>VLOOKUP(Q198,'Ext. Pa'!$B$3:$C$77,2,FALSE)</f>
        <v>6</v>
      </c>
      <c r="AF198" s="132">
        <f t="shared" si="13"/>
        <v>3.25</v>
      </c>
      <c r="AG198" s="133">
        <f>Table2[[#This Row],[Coating defect survey10]]</f>
        <v>1</v>
      </c>
      <c r="AH198" s="134">
        <f>Table2[[#This Row],[CP Level within NACE Criteria4]]</f>
        <v>1</v>
      </c>
      <c r="AI198" s="135">
        <f>IF(Table2[[#This Row],[CP level]]&gt;9.9,1,0)</f>
        <v>0</v>
      </c>
      <c r="AJ198" s="135">
        <f>Table2[[#This Row],[Column3]]*Table2[[#This Row],[Coating defect survey2]]</f>
        <v>0</v>
      </c>
      <c r="AK198" s="170">
        <v>19.493670000000002</v>
      </c>
    </row>
    <row r="199" spans="1:37" s="100" customFormat="1">
      <c r="A199" s="128">
        <v>3</v>
      </c>
      <c r="B199" s="129" t="s">
        <v>933</v>
      </c>
      <c r="C199" s="96">
        <v>330500006</v>
      </c>
      <c r="D199" s="97" t="s">
        <v>934</v>
      </c>
      <c r="E199" s="168"/>
      <c r="F199" s="168">
        <v>2000</v>
      </c>
      <c r="G199" s="168">
        <f>2013-Table2[[#This Row],[Startup Year]]</f>
        <v>13</v>
      </c>
      <c r="H199" s="168" t="s">
        <v>101</v>
      </c>
      <c r="I199" s="130" t="s">
        <v>108</v>
      </c>
      <c r="J199" s="130" t="s">
        <v>113</v>
      </c>
      <c r="K199" s="98">
        <v>0</v>
      </c>
      <c r="L199" s="130" t="s">
        <v>105</v>
      </c>
      <c r="M199" s="130" t="s">
        <v>105</v>
      </c>
      <c r="N199" s="130" t="s">
        <v>105</v>
      </c>
      <c r="O199" s="130" t="s">
        <v>143</v>
      </c>
      <c r="P199" s="130" t="s">
        <v>105</v>
      </c>
      <c r="Q199" s="130" t="s">
        <v>66</v>
      </c>
      <c r="R199" s="130" t="s">
        <v>72</v>
      </c>
      <c r="S19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199" s="131">
        <v>19.493670000000002</v>
      </c>
      <c r="U199" s="130"/>
      <c r="V199" s="131">
        <f>VLOOKUP(H199,'Ext. Pa'!$B$3:$C$77,2,FALSE)</f>
        <v>1</v>
      </c>
      <c r="W199" s="130">
        <f>VLOOKUP(I199,'Ext. Pa'!$B$3:$C$77,2,FALSE)</f>
        <v>1</v>
      </c>
      <c r="X199" s="130">
        <f>VLOOKUP(J199,'Ext. Pa'!$B$3:$C$77,2,FALSE)</f>
        <v>4</v>
      </c>
      <c r="Y199" s="130">
        <f>VLOOKUP(K199,'Ext. Pa'!$B$3:$C$77,2,FALSE)</f>
        <v>0</v>
      </c>
      <c r="Z199" s="130">
        <f>VLOOKUP(L199,'Ext. Pa'!$B$3:$C$77,2,FALSE)</f>
        <v>5</v>
      </c>
      <c r="AA199" s="130">
        <f>VLOOKUP(M199,'Ext. Pa'!$B$3:$C$77,2,FALSE)</f>
        <v>5</v>
      </c>
      <c r="AB199" s="130">
        <f>VLOOKUP(N199,'Ext. Pa'!$B$3:$C$77,2,FALSE)</f>
        <v>5</v>
      </c>
      <c r="AC199" s="130">
        <f>VLOOKUP(O199,'Ext. Pa'!$B$3:$C$77,2,FALSE)</f>
        <v>1</v>
      </c>
      <c r="AD199" s="130">
        <f>VLOOKUP(P199,'Ext. Pa'!$B$3:$C$77,2,FALSE)</f>
        <v>5</v>
      </c>
      <c r="AE199" s="130">
        <f>VLOOKUP(Q199,'Ext. Pa'!$B$3:$C$77,2,FALSE)</f>
        <v>6</v>
      </c>
      <c r="AF199" s="132">
        <f t="shared" si="13"/>
        <v>3.25</v>
      </c>
      <c r="AG199" s="131">
        <f>Table2[[#This Row],[Coating defect survey10]]</f>
        <v>1</v>
      </c>
      <c r="AH199" s="131">
        <f>Table2[[#This Row],[CP Level within NACE Criteria4]]</f>
        <v>1</v>
      </c>
      <c r="AI199" s="186">
        <f>IF(Table2[[#This Row],[CP level]]&gt;9.9,1,0)</f>
        <v>0</v>
      </c>
      <c r="AJ199" s="186">
        <f>Table2[[#This Row],[Column3]]*Table2[[#This Row],[Coating defect survey2]]</f>
        <v>0</v>
      </c>
      <c r="AK199" s="170">
        <v>19.493670000000002</v>
      </c>
    </row>
    <row r="200" spans="1:37" s="100" customFormat="1">
      <c r="A200" s="128">
        <v>3</v>
      </c>
      <c r="B200" s="129" t="s">
        <v>730</v>
      </c>
      <c r="C200" s="96">
        <v>330500007</v>
      </c>
      <c r="D200" s="97" t="s">
        <v>731</v>
      </c>
      <c r="E200" s="130"/>
      <c r="F200" s="130">
        <v>2000</v>
      </c>
      <c r="G200" s="130">
        <f>2013-Table2[[#This Row],[Startup Year]]</f>
        <v>13</v>
      </c>
      <c r="H200" s="130" t="s">
        <v>101</v>
      </c>
      <c r="I200" s="130" t="s">
        <v>108</v>
      </c>
      <c r="J200" s="130" t="s">
        <v>113</v>
      </c>
      <c r="K200" s="98">
        <v>0</v>
      </c>
      <c r="L200" s="130" t="s">
        <v>105</v>
      </c>
      <c r="M200" s="130" t="s">
        <v>105</v>
      </c>
      <c r="N200" s="130" t="s">
        <v>105</v>
      </c>
      <c r="O200" s="130" t="s">
        <v>143</v>
      </c>
      <c r="P200" s="130" t="s">
        <v>105</v>
      </c>
      <c r="Q200" s="130" t="s">
        <v>66</v>
      </c>
      <c r="R200" s="130" t="s">
        <v>72</v>
      </c>
      <c r="S20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0" s="131">
        <v>19.493670000000002</v>
      </c>
      <c r="U200" s="130"/>
      <c r="V200" s="131">
        <f>VLOOKUP(H200,'Ext. Pa'!$B$3:$C$77,2,FALSE)</f>
        <v>1</v>
      </c>
      <c r="W200" s="130">
        <f>VLOOKUP(I200,'Ext. Pa'!$B$3:$C$77,2,FALSE)</f>
        <v>1</v>
      </c>
      <c r="X200" s="130">
        <f>VLOOKUP(J200,'Ext. Pa'!$B$3:$C$77,2,FALSE)</f>
        <v>4</v>
      </c>
      <c r="Y200" s="130">
        <f>VLOOKUP(K200,'Ext. Pa'!$B$3:$C$77,2,FALSE)</f>
        <v>0</v>
      </c>
      <c r="Z200" s="130">
        <f>VLOOKUP(L200,'Ext. Pa'!$B$3:$C$77,2,FALSE)</f>
        <v>5</v>
      </c>
      <c r="AA200" s="130">
        <f>VLOOKUP(M200,'Ext. Pa'!$B$3:$C$77,2,FALSE)</f>
        <v>5</v>
      </c>
      <c r="AB200" s="130">
        <f>VLOOKUP(N200,'Ext. Pa'!$B$3:$C$77,2,FALSE)</f>
        <v>5</v>
      </c>
      <c r="AC200" s="130">
        <f>VLOOKUP(O200,'Ext. Pa'!$B$3:$C$77,2,FALSE)</f>
        <v>1</v>
      </c>
      <c r="AD200" s="130">
        <f>VLOOKUP(P200,'Ext. Pa'!$B$3:$C$77,2,FALSE)</f>
        <v>5</v>
      </c>
      <c r="AE200" s="130">
        <f>VLOOKUP(Q200,'Ext. Pa'!$B$3:$C$77,2,FALSE)</f>
        <v>6</v>
      </c>
      <c r="AF200" s="132">
        <f t="shared" si="13"/>
        <v>3.25</v>
      </c>
      <c r="AG200" s="134">
        <f>Table2[[#This Row],[Coating defect survey10]]</f>
        <v>1</v>
      </c>
      <c r="AH200" s="134">
        <f>Table2[[#This Row],[CP Level within NACE Criteria4]]</f>
        <v>1</v>
      </c>
      <c r="AI200" s="135">
        <f>IF(Table2[[#This Row],[CP level]]&gt;9.9,1,0)</f>
        <v>0</v>
      </c>
      <c r="AJ200" s="135">
        <f>Table2[[#This Row],[Column3]]*Table2[[#This Row],[Coating defect survey2]]</f>
        <v>0</v>
      </c>
      <c r="AK200" s="170">
        <v>19.493670000000002</v>
      </c>
    </row>
    <row r="201" spans="1:37" s="100" customFormat="1">
      <c r="A201" s="128">
        <v>3</v>
      </c>
      <c r="B201" s="129" t="s">
        <v>743</v>
      </c>
      <c r="C201" s="96">
        <v>330500008</v>
      </c>
      <c r="D201" s="97" t="s">
        <v>744</v>
      </c>
      <c r="E201" s="130"/>
      <c r="F201" s="130">
        <v>2000</v>
      </c>
      <c r="G201" s="130">
        <f>2013-Table2[[#This Row],[Startup Year]]</f>
        <v>13</v>
      </c>
      <c r="H201" s="130" t="s">
        <v>101</v>
      </c>
      <c r="I201" s="130" t="s">
        <v>108</v>
      </c>
      <c r="J201" s="130" t="s">
        <v>113</v>
      </c>
      <c r="K201" s="98">
        <v>0</v>
      </c>
      <c r="L201" s="130" t="s">
        <v>105</v>
      </c>
      <c r="M201" s="130" t="s">
        <v>105</v>
      </c>
      <c r="N201" s="130" t="s">
        <v>105</v>
      </c>
      <c r="O201" s="130" t="s">
        <v>143</v>
      </c>
      <c r="P201" s="130" t="s">
        <v>105</v>
      </c>
      <c r="Q201" s="130" t="s">
        <v>66</v>
      </c>
      <c r="R201" s="130" t="s">
        <v>72</v>
      </c>
      <c r="S20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1" s="131">
        <v>19.493670000000002</v>
      </c>
      <c r="U201" s="130"/>
      <c r="V201" s="131">
        <f>VLOOKUP(H201,'Ext. Pa'!$B$3:$C$77,2,FALSE)</f>
        <v>1</v>
      </c>
      <c r="W201" s="130">
        <f>VLOOKUP(I201,'Ext. Pa'!$B$3:$C$77,2,FALSE)</f>
        <v>1</v>
      </c>
      <c r="X201" s="130">
        <f>VLOOKUP(J201,'Ext. Pa'!$B$3:$C$77,2,FALSE)</f>
        <v>4</v>
      </c>
      <c r="Y201" s="130">
        <f>VLOOKUP(K201,'Ext. Pa'!$B$3:$C$77,2,FALSE)</f>
        <v>0</v>
      </c>
      <c r="Z201" s="130">
        <f>VLOOKUP(L201,'Ext. Pa'!$B$3:$C$77,2,FALSE)</f>
        <v>5</v>
      </c>
      <c r="AA201" s="130">
        <f>VLOOKUP(M201,'Ext. Pa'!$B$3:$C$77,2,FALSE)</f>
        <v>5</v>
      </c>
      <c r="AB201" s="130">
        <f>VLOOKUP(N201,'Ext. Pa'!$B$3:$C$77,2,FALSE)</f>
        <v>5</v>
      </c>
      <c r="AC201" s="130">
        <f>VLOOKUP(O201,'Ext. Pa'!$B$3:$C$77,2,FALSE)</f>
        <v>1</v>
      </c>
      <c r="AD201" s="130">
        <f>VLOOKUP(P201,'Ext. Pa'!$B$3:$C$77,2,FALSE)</f>
        <v>5</v>
      </c>
      <c r="AE201" s="130">
        <f>VLOOKUP(Q201,'Ext. Pa'!$B$3:$C$77,2,FALSE)</f>
        <v>6</v>
      </c>
      <c r="AF201" s="132">
        <f t="shared" si="13"/>
        <v>3.25</v>
      </c>
      <c r="AG201" s="134">
        <f>Table2[[#This Row],[Coating defect survey10]]</f>
        <v>1</v>
      </c>
      <c r="AH201" s="134">
        <f>Table2[[#This Row],[CP Level within NACE Criteria4]]</f>
        <v>1</v>
      </c>
      <c r="AI201" s="135">
        <f>IF(Table2[[#This Row],[CP level]]&gt;9.9,1,0)</f>
        <v>0</v>
      </c>
      <c r="AJ201" s="135">
        <f>Table2[[#This Row],[Column3]]*Table2[[#This Row],[Coating defect survey2]]</f>
        <v>0</v>
      </c>
      <c r="AK201" s="170">
        <v>19.493670000000002</v>
      </c>
    </row>
    <row r="202" spans="1:37" s="100" customFormat="1">
      <c r="A202" s="128">
        <v>3</v>
      </c>
      <c r="B202" s="129" t="s">
        <v>935</v>
      </c>
      <c r="C202" s="96">
        <v>330500010</v>
      </c>
      <c r="D202" s="97" t="s">
        <v>936</v>
      </c>
      <c r="E202" s="168"/>
      <c r="F202" s="130">
        <v>2000</v>
      </c>
      <c r="G202" s="168">
        <f>2013-Table2[[#This Row],[Startup Year]]</f>
        <v>13</v>
      </c>
      <c r="H202" s="168" t="s">
        <v>101</v>
      </c>
      <c r="I202" s="130" t="s">
        <v>108</v>
      </c>
      <c r="J202" s="130" t="s">
        <v>113</v>
      </c>
      <c r="K202" s="98">
        <v>0</v>
      </c>
      <c r="L202" s="130" t="s">
        <v>105</v>
      </c>
      <c r="M202" s="130" t="s">
        <v>105</v>
      </c>
      <c r="N202" s="130" t="s">
        <v>105</v>
      </c>
      <c r="O202" s="130" t="s">
        <v>143</v>
      </c>
      <c r="P202" s="130" t="s">
        <v>105</v>
      </c>
      <c r="Q202" s="130" t="s">
        <v>66</v>
      </c>
      <c r="R202" s="130" t="s">
        <v>72</v>
      </c>
      <c r="S20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2" s="131">
        <v>19.493670000000002</v>
      </c>
      <c r="U202" s="130"/>
      <c r="V202" s="131">
        <f>VLOOKUP(H202,'Ext. Pa'!$B$3:$C$77,2,FALSE)</f>
        <v>1</v>
      </c>
      <c r="W202" s="130">
        <f>VLOOKUP(I202,'Ext. Pa'!$B$3:$C$77,2,FALSE)</f>
        <v>1</v>
      </c>
      <c r="X202" s="130">
        <f>VLOOKUP(J202,'Ext. Pa'!$B$3:$C$77,2,FALSE)</f>
        <v>4</v>
      </c>
      <c r="Y202" s="130">
        <f>VLOOKUP(K202,'Ext. Pa'!$B$3:$C$77,2,FALSE)</f>
        <v>0</v>
      </c>
      <c r="Z202" s="130">
        <f>VLOOKUP(L202,'Ext. Pa'!$B$3:$C$77,2,FALSE)</f>
        <v>5</v>
      </c>
      <c r="AA202" s="130">
        <f>VLOOKUP(M202,'Ext. Pa'!$B$3:$C$77,2,FALSE)</f>
        <v>5</v>
      </c>
      <c r="AB202" s="130">
        <f>VLOOKUP(N202,'Ext. Pa'!$B$3:$C$77,2,FALSE)</f>
        <v>5</v>
      </c>
      <c r="AC202" s="130">
        <f>VLOOKUP(O202,'Ext. Pa'!$B$3:$C$77,2,FALSE)</f>
        <v>1</v>
      </c>
      <c r="AD202" s="130">
        <f>VLOOKUP(P202,'Ext. Pa'!$B$3:$C$77,2,FALSE)</f>
        <v>5</v>
      </c>
      <c r="AE202" s="130">
        <f>VLOOKUP(Q202,'Ext. Pa'!$B$3:$C$77,2,FALSE)</f>
        <v>6</v>
      </c>
      <c r="AF202" s="132">
        <f t="shared" ref="AF202:AF209" si="14">IF(G202&lt;40,(G202)/4,40)</f>
        <v>3.25</v>
      </c>
      <c r="AG202" s="131">
        <f>Table2[[#This Row],[Coating defect survey10]]</f>
        <v>1</v>
      </c>
      <c r="AH202" s="131">
        <f>Table2[[#This Row],[CP Level within NACE Criteria4]]</f>
        <v>1</v>
      </c>
      <c r="AI202" s="186">
        <f>IF(Table2[[#This Row],[CP level]]&gt;9.9,1,0)</f>
        <v>0</v>
      </c>
      <c r="AJ202" s="186">
        <f>Table2[[#This Row],[Column3]]*Table2[[#This Row],[Coating defect survey2]]</f>
        <v>0</v>
      </c>
      <c r="AK202" s="170">
        <v>19.493670000000002</v>
      </c>
    </row>
    <row r="203" spans="1:37" s="218" customFormat="1">
      <c r="A203" s="80">
        <v>3</v>
      </c>
      <c r="B203" s="219" t="s">
        <v>939</v>
      </c>
      <c r="C203" s="81">
        <v>330500011</v>
      </c>
      <c r="D203" s="82" t="s">
        <v>940</v>
      </c>
      <c r="E203" s="64"/>
      <c r="F203" s="83">
        <v>2000</v>
      </c>
      <c r="G203" s="64">
        <f>2013-Table2[[#This Row],[Startup Year]]</f>
        <v>13</v>
      </c>
      <c r="H203" s="64" t="s">
        <v>101</v>
      </c>
      <c r="I203" s="83" t="s">
        <v>107</v>
      </c>
      <c r="J203" s="83" t="s">
        <v>113</v>
      </c>
      <c r="K203" s="85">
        <v>0</v>
      </c>
      <c r="L203" s="83" t="s">
        <v>105</v>
      </c>
      <c r="M203" s="83" t="s">
        <v>105</v>
      </c>
      <c r="N203" s="83" t="s">
        <v>105</v>
      </c>
      <c r="O203" s="83" t="s">
        <v>143</v>
      </c>
      <c r="P203" s="83" t="s">
        <v>105</v>
      </c>
      <c r="Q203" s="83" t="s">
        <v>66</v>
      </c>
      <c r="R203" s="83" t="s">
        <v>72</v>
      </c>
      <c r="S203" s="22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20.284810076962025</v>
      </c>
      <c r="T203" s="220">
        <v>19.493670000000002</v>
      </c>
      <c r="U203" s="83"/>
      <c r="V203" s="220">
        <f>VLOOKUP(H203,'Ext. Pa'!$B$3:$C$77,2,FALSE)</f>
        <v>1</v>
      </c>
      <c r="W203" s="83">
        <f>VLOOKUP(I203,'Ext. Pa'!$B$3:$C$77,2,FALSE)</f>
        <v>10</v>
      </c>
      <c r="X203" s="83">
        <f>VLOOKUP(J203,'Ext. Pa'!$B$3:$C$77,2,FALSE)</f>
        <v>4</v>
      </c>
      <c r="Y203" s="83">
        <f>VLOOKUP(K203,'Ext. Pa'!$B$3:$C$77,2,FALSE)</f>
        <v>0</v>
      </c>
      <c r="Z203" s="83">
        <f>VLOOKUP(L203,'Ext. Pa'!$B$3:$C$77,2,FALSE)</f>
        <v>5</v>
      </c>
      <c r="AA203" s="83">
        <f>VLOOKUP(M203,'Ext. Pa'!$B$3:$C$77,2,FALSE)</f>
        <v>5</v>
      </c>
      <c r="AB203" s="83">
        <f>VLOOKUP(N203,'Ext. Pa'!$B$3:$C$77,2,FALSE)</f>
        <v>5</v>
      </c>
      <c r="AC203" s="83">
        <f>VLOOKUP(O203,'Ext. Pa'!$B$3:$C$77,2,FALSE)</f>
        <v>1</v>
      </c>
      <c r="AD203" s="83">
        <f>VLOOKUP(P203,'Ext. Pa'!$B$3:$C$77,2,FALSE)</f>
        <v>5</v>
      </c>
      <c r="AE203" s="83">
        <f>VLOOKUP(Q203,'Ext. Pa'!$B$3:$C$77,2,FALSE)</f>
        <v>6</v>
      </c>
      <c r="AF203" s="221">
        <f t="shared" si="14"/>
        <v>3.25</v>
      </c>
      <c r="AG203" s="220">
        <f>Table2[[#This Row],[Coating defect survey10]]</f>
        <v>1</v>
      </c>
      <c r="AH203" s="220">
        <f>Table2[[#This Row],[CP Level within NACE Criteria4]]</f>
        <v>10</v>
      </c>
      <c r="AI203" s="222">
        <f>IF(Table2[[#This Row],[CP level]]&gt;9.9,1,0)</f>
        <v>1</v>
      </c>
      <c r="AJ203" s="222">
        <f>Table2[[#This Row],[Column3]]*Table2[[#This Row],[Coating defect survey2]]</f>
        <v>1</v>
      </c>
      <c r="AK203" s="65">
        <v>19.493670000000002</v>
      </c>
    </row>
    <row r="204" spans="1:37" s="100" customFormat="1">
      <c r="A204" s="128">
        <v>3</v>
      </c>
      <c r="B204" s="129" t="s">
        <v>747</v>
      </c>
      <c r="C204" s="96">
        <v>330500012</v>
      </c>
      <c r="D204" s="97" t="s">
        <v>748</v>
      </c>
      <c r="E204" s="130"/>
      <c r="F204" s="130">
        <v>2000</v>
      </c>
      <c r="G204" s="130">
        <f>2013-Table2[[#This Row],[Startup Year]]</f>
        <v>13</v>
      </c>
      <c r="H204" s="130" t="s">
        <v>101</v>
      </c>
      <c r="I204" s="130" t="s">
        <v>108</v>
      </c>
      <c r="J204" s="130" t="s">
        <v>113</v>
      </c>
      <c r="K204" s="98">
        <v>0</v>
      </c>
      <c r="L204" s="130" t="s">
        <v>105</v>
      </c>
      <c r="M204" s="130" t="s">
        <v>105</v>
      </c>
      <c r="N204" s="130" t="s">
        <v>105</v>
      </c>
      <c r="O204" s="130" t="s">
        <v>143</v>
      </c>
      <c r="P204" s="130" t="s">
        <v>105</v>
      </c>
      <c r="Q204" s="130" t="s">
        <v>66</v>
      </c>
      <c r="R204" s="130" t="s">
        <v>72</v>
      </c>
      <c r="S20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4" s="131">
        <v>19.493670000000002</v>
      </c>
      <c r="U204" s="130"/>
      <c r="V204" s="131">
        <f>VLOOKUP(H204,'Ext. Pa'!$B$3:$C$77,2,FALSE)</f>
        <v>1</v>
      </c>
      <c r="W204" s="130">
        <f>VLOOKUP(I204,'Ext. Pa'!$B$3:$C$77,2,FALSE)</f>
        <v>1</v>
      </c>
      <c r="X204" s="130">
        <f>VLOOKUP(J204,'Ext. Pa'!$B$3:$C$77,2,FALSE)</f>
        <v>4</v>
      </c>
      <c r="Y204" s="130">
        <f>VLOOKUP(K204,'Ext. Pa'!$B$3:$C$77,2,FALSE)</f>
        <v>0</v>
      </c>
      <c r="Z204" s="130">
        <f>VLOOKUP(L204,'Ext. Pa'!$B$3:$C$77,2,FALSE)</f>
        <v>5</v>
      </c>
      <c r="AA204" s="130">
        <f>VLOOKUP(M204,'Ext. Pa'!$B$3:$C$77,2,FALSE)</f>
        <v>5</v>
      </c>
      <c r="AB204" s="130">
        <f>VLOOKUP(N204,'Ext. Pa'!$B$3:$C$77,2,FALSE)</f>
        <v>5</v>
      </c>
      <c r="AC204" s="130">
        <f>VLOOKUP(O204,'Ext. Pa'!$B$3:$C$77,2,FALSE)</f>
        <v>1</v>
      </c>
      <c r="AD204" s="130">
        <f>VLOOKUP(P204,'Ext. Pa'!$B$3:$C$77,2,FALSE)</f>
        <v>5</v>
      </c>
      <c r="AE204" s="130">
        <f>VLOOKUP(Q204,'Ext. Pa'!$B$3:$C$77,2,FALSE)</f>
        <v>6</v>
      </c>
      <c r="AF204" s="132">
        <f t="shared" si="14"/>
        <v>3.25</v>
      </c>
      <c r="AG204" s="134">
        <f>Table2[[#This Row],[Coating defect survey10]]</f>
        <v>1</v>
      </c>
      <c r="AH204" s="134">
        <f>Table2[[#This Row],[CP Level within NACE Criteria4]]</f>
        <v>1</v>
      </c>
      <c r="AI204" s="135">
        <f>IF(Table2[[#This Row],[CP level]]&gt;9.9,1,0)</f>
        <v>0</v>
      </c>
      <c r="AJ204" s="135">
        <f>Table2[[#This Row],[Column3]]*Table2[[#This Row],[Coating defect survey2]]</f>
        <v>0</v>
      </c>
      <c r="AK204" s="170">
        <v>19.493670000000002</v>
      </c>
    </row>
    <row r="205" spans="1:37" s="100" customFormat="1">
      <c r="A205" s="128">
        <v>3</v>
      </c>
      <c r="B205" s="129" t="s">
        <v>920</v>
      </c>
      <c r="C205" s="96">
        <v>330500013</v>
      </c>
      <c r="D205" s="97" t="s">
        <v>921</v>
      </c>
      <c r="E205" s="168"/>
      <c r="F205" s="130">
        <v>2000</v>
      </c>
      <c r="G205" s="168">
        <f>2013-Table2[[#This Row],[Startup Year]]</f>
        <v>13</v>
      </c>
      <c r="H205" s="168" t="s">
        <v>101</v>
      </c>
      <c r="I205" s="130" t="s">
        <v>108</v>
      </c>
      <c r="J205" s="130" t="s">
        <v>113</v>
      </c>
      <c r="K205" s="98">
        <v>0</v>
      </c>
      <c r="L205" s="130" t="s">
        <v>105</v>
      </c>
      <c r="M205" s="130" t="s">
        <v>105</v>
      </c>
      <c r="N205" s="130" t="s">
        <v>105</v>
      </c>
      <c r="O205" s="130" t="s">
        <v>143</v>
      </c>
      <c r="P205" s="130" t="s">
        <v>105</v>
      </c>
      <c r="Q205" s="130" t="s">
        <v>66</v>
      </c>
      <c r="R205" s="130" t="s">
        <v>72</v>
      </c>
      <c r="S20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5" s="131">
        <v>19.493670000000002</v>
      </c>
      <c r="U205" s="130"/>
      <c r="V205" s="131">
        <f>VLOOKUP(H205,'Ext. Pa'!$B$3:$C$77,2,FALSE)</f>
        <v>1</v>
      </c>
      <c r="W205" s="130">
        <f>VLOOKUP(I205,'Ext. Pa'!$B$3:$C$77,2,FALSE)</f>
        <v>1</v>
      </c>
      <c r="X205" s="130">
        <f>VLOOKUP(J205,'Ext. Pa'!$B$3:$C$77,2,FALSE)</f>
        <v>4</v>
      </c>
      <c r="Y205" s="130">
        <f>VLOOKUP(K205,'Ext. Pa'!$B$3:$C$77,2,FALSE)</f>
        <v>0</v>
      </c>
      <c r="Z205" s="130">
        <f>VLOOKUP(L205,'Ext. Pa'!$B$3:$C$77,2,FALSE)</f>
        <v>5</v>
      </c>
      <c r="AA205" s="130">
        <f>VLOOKUP(M205,'Ext. Pa'!$B$3:$C$77,2,FALSE)</f>
        <v>5</v>
      </c>
      <c r="AB205" s="130">
        <f>VLOOKUP(N205,'Ext. Pa'!$B$3:$C$77,2,FALSE)</f>
        <v>5</v>
      </c>
      <c r="AC205" s="130">
        <f>VLOOKUP(O205,'Ext. Pa'!$B$3:$C$77,2,FALSE)</f>
        <v>1</v>
      </c>
      <c r="AD205" s="130">
        <f>VLOOKUP(P205,'Ext. Pa'!$B$3:$C$77,2,FALSE)</f>
        <v>5</v>
      </c>
      <c r="AE205" s="130">
        <f>VLOOKUP(Q205,'Ext. Pa'!$B$3:$C$77,2,FALSE)</f>
        <v>6</v>
      </c>
      <c r="AF205" s="132">
        <f t="shared" si="14"/>
        <v>3.25</v>
      </c>
      <c r="AG205" s="131">
        <f>Table2[[#This Row],[Coating defect survey10]]</f>
        <v>1</v>
      </c>
      <c r="AH205" s="131">
        <f>Table2[[#This Row],[CP Level within NACE Criteria4]]</f>
        <v>1</v>
      </c>
      <c r="AI205" s="186">
        <f>IF(Table2[[#This Row],[CP level]]&gt;9.9,1,0)</f>
        <v>0</v>
      </c>
      <c r="AJ205" s="186">
        <f>Table2[[#This Row],[Column3]]*Table2[[#This Row],[Coating defect survey2]]</f>
        <v>0</v>
      </c>
      <c r="AK205" s="170">
        <v>19.493670000000002</v>
      </c>
    </row>
    <row r="206" spans="1:37" s="100" customFormat="1">
      <c r="A206" s="197">
        <v>3</v>
      </c>
      <c r="B206" s="198" t="s">
        <v>972</v>
      </c>
      <c r="C206" s="174"/>
      <c r="D206" s="175"/>
      <c r="E206" s="168"/>
      <c r="F206" s="168">
        <v>2000</v>
      </c>
      <c r="G206" s="168">
        <f>2013-Table2[[#This Row],[Startup Year]]</f>
        <v>13</v>
      </c>
      <c r="H206" s="168" t="s">
        <v>101</v>
      </c>
      <c r="I206" s="168" t="s">
        <v>108</v>
      </c>
      <c r="J206" s="168" t="s">
        <v>113</v>
      </c>
      <c r="K206" s="168">
        <v>0</v>
      </c>
      <c r="L206" s="168" t="s">
        <v>105</v>
      </c>
      <c r="M206" s="168" t="s">
        <v>105</v>
      </c>
      <c r="N206" s="168" t="s">
        <v>105</v>
      </c>
      <c r="O206" s="168" t="s">
        <v>143</v>
      </c>
      <c r="P206" s="168" t="s">
        <v>105</v>
      </c>
      <c r="Q206" s="168" t="s">
        <v>66</v>
      </c>
      <c r="R206" s="168" t="s">
        <v>72</v>
      </c>
      <c r="S20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6" s="170">
        <v>19.493670000000002</v>
      </c>
      <c r="U206" s="168"/>
      <c r="V206" s="170">
        <f>VLOOKUP(H206,'Ext. Pa'!$B$3:$C$77,2,FALSE)</f>
        <v>1</v>
      </c>
      <c r="W206" s="168">
        <f>VLOOKUP(I206,'Ext. Pa'!$B$3:$C$77,2,FALSE)</f>
        <v>1</v>
      </c>
      <c r="X206" s="168">
        <f>VLOOKUP(J206,'Ext. Pa'!$B$3:$C$77,2,FALSE)</f>
        <v>4</v>
      </c>
      <c r="Y206" s="168">
        <f>VLOOKUP(K206,'Ext. Pa'!$B$3:$C$77,2,FALSE)</f>
        <v>0</v>
      </c>
      <c r="Z206" s="168">
        <f>VLOOKUP(L206,'Ext. Pa'!$B$3:$C$77,2,FALSE)</f>
        <v>5</v>
      </c>
      <c r="AA206" s="168">
        <f>VLOOKUP(M206,'Ext. Pa'!$B$3:$C$77,2,FALSE)</f>
        <v>5</v>
      </c>
      <c r="AB206" s="168">
        <f>VLOOKUP(N206,'Ext. Pa'!$B$3:$C$77,2,FALSE)</f>
        <v>5</v>
      </c>
      <c r="AC206" s="168">
        <f>VLOOKUP(O206,'Ext. Pa'!$B$3:$C$77,2,FALSE)</f>
        <v>1</v>
      </c>
      <c r="AD206" s="168">
        <f>VLOOKUP(P206,'Ext. Pa'!$B$3:$C$77,2,FALSE)</f>
        <v>5</v>
      </c>
      <c r="AE206" s="168">
        <f>VLOOKUP(Q206,'Ext. Pa'!$B$3:$C$77,2,FALSE)</f>
        <v>6</v>
      </c>
      <c r="AF206" s="199">
        <f>IF(G206&lt;40,(G206)/4,40)</f>
        <v>3.25</v>
      </c>
      <c r="AG206" s="170">
        <f>Table2[[#This Row],[Coating defect survey10]]</f>
        <v>1</v>
      </c>
      <c r="AH206" s="170">
        <f>Table2[[#This Row],[CP Level within NACE Criteria4]]</f>
        <v>1</v>
      </c>
      <c r="AI206" s="200">
        <f>IF(Table2[[#This Row],[CP level]]&gt;9.9,1,0)</f>
        <v>0</v>
      </c>
      <c r="AJ206" s="200">
        <f>Table2[[#This Row],[Column3]]*Table2[[#This Row],[Coating defect survey2]]</f>
        <v>0</v>
      </c>
      <c r="AK206" s="170">
        <v>19.493670000000002</v>
      </c>
    </row>
    <row r="207" spans="1:37" s="100" customFormat="1">
      <c r="A207" s="128">
        <v>3</v>
      </c>
      <c r="B207" s="129" t="s">
        <v>754</v>
      </c>
      <c r="C207" s="96">
        <v>330600002</v>
      </c>
      <c r="D207" s="97" t="s">
        <v>755</v>
      </c>
      <c r="E207" s="130"/>
      <c r="F207" s="130">
        <v>2000</v>
      </c>
      <c r="G207" s="130">
        <f>2013-Table2[[#This Row],[Startup Year]]</f>
        <v>13</v>
      </c>
      <c r="H207" s="130" t="s">
        <v>101</v>
      </c>
      <c r="I207" s="130" t="s">
        <v>108</v>
      </c>
      <c r="J207" s="130" t="s">
        <v>113</v>
      </c>
      <c r="K207" s="98">
        <v>0</v>
      </c>
      <c r="L207" s="130" t="s">
        <v>105</v>
      </c>
      <c r="M207" s="130" t="s">
        <v>105</v>
      </c>
      <c r="N207" s="130" t="s">
        <v>105</v>
      </c>
      <c r="O207" s="130" t="s">
        <v>143</v>
      </c>
      <c r="P207" s="130" t="s">
        <v>105</v>
      </c>
      <c r="Q207" s="130" t="s">
        <v>66</v>
      </c>
      <c r="R207" s="130" t="s">
        <v>72</v>
      </c>
      <c r="S20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7" s="131">
        <v>19.493670000000002</v>
      </c>
      <c r="U207" s="130"/>
      <c r="V207" s="131">
        <f>VLOOKUP(H207,'Ext. Pa'!$B$3:$C$77,2,FALSE)</f>
        <v>1</v>
      </c>
      <c r="W207" s="130">
        <f>VLOOKUP(I207,'Ext. Pa'!$B$3:$C$77,2,FALSE)</f>
        <v>1</v>
      </c>
      <c r="X207" s="130">
        <f>VLOOKUP(J207,'Ext. Pa'!$B$3:$C$77,2,FALSE)</f>
        <v>4</v>
      </c>
      <c r="Y207" s="130">
        <f>VLOOKUP(K207,'Ext. Pa'!$B$3:$C$77,2,FALSE)</f>
        <v>0</v>
      </c>
      <c r="Z207" s="130">
        <f>VLOOKUP(L207,'Ext. Pa'!$B$3:$C$77,2,FALSE)</f>
        <v>5</v>
      </c>
      <c r="AA207" s="130">
        <f>VLOOKUP(M207,'Ext. Pa'!$B$3:$C$77,2,FALSE)</f>
        <v>5</v>
      </c>
      <c r="AB207" s="130">
        <f>VLOOKUP(N207,'Ext. Pa'!$B$3:$C$77,2,FALSE)</f>
        <v>5</v>
      </c>
      <c r="AC207" s="130">
        <f>VLOOKUP(O207,'Ext. Pa'!$B$3:$C$77,2,FALSE)</f>
        <v>1</v>
      </c>
      <c r="AD207" s="130">
        <f>VLOOKUP(P207,'Ext. Pa'!$B$3:$C$77,2,FALSE)</f>
        <v>5</v>
      </c>
      <c r="AE207" s="130">
        <f>VLOOKUP(Q207,'Ext. Pa'!$B$3:$C$77,2,FALSE)</f>
        <v>6</v>
      </c>
      <c r="AF207" s="132">
        <f t="shared" si="14"/>
        <v>3.25</v>
      </c>
      <c r="AG207" s="134">
        <f>Table2[[#This Row],[Coating defect survey10]]</f>
        <v>1</v>
      </c>
      <c r="AH207" s="134">
        <f>Table2[[#This Row],[CP Level within NACE Criteria4]]</f>
        <v>1</v>
      </c>
      <c r="AI207" s="135">
        <f>IF(Table2[[#This Row],[CP level]]&gt;9.9,1,0)</f>
        <v>0</v>
      </c>
      <c r="AJ207" s="135">
        <f>Table2[[#This Row],[Column3]]*Table2[[#This Row],[Coating defect survey2]]</f>
        <v>0</v>
      </c>
      <c r="AK207" s="170">
        <v>19.493670000000002</v>
      </c>
    </row>
    <row r="208" spans="1:37" s="100" customFormat="1">
      <c r="A208" s="128">
        <v>3</v>
      </c>
      <c r="B208" s="129" t="s">
        <v>751</v>
      </c>
      <c r="C208" s="96">
        <v>330600003</v>
      </c>
      <c r="D208" s="97" t="s">
        <v>752</v>
      </c>
      <c r="E208" s="130"/>
      <c r="F208" s="130">
        <v>2000</v>
      </c>
      <c r="G208" s="130">
        <f>2013-Table2[[#This Row],[Startup Year]]</f>
        <v>13</v>
      </c>
      <c r="H208" s="130" t="s">
        <v>101</v>
      </c>
      <c r="I208" s="130" t="s">
        <v>108</v>
      </c>
      <c r="J208" s="130" t="s">
        <v>113</v>
      </c>
      <c r="K208" s="98">
        <v>0</v>
      </c>
      <c r="L208" s="130" t="s">
        <v>105</v>
      </c>
      <c r="M208" s="130" t="s">
        <v>105</v>
      </c>
      <c r="N208" s="130" t="s">
        <v>105</v>
      </c>
      <c r="O208" s="130" t="s">
        <v>143</v>
      </c>
      <c r="P208" s="130" t="s">
        <v>105</v>
      </c>
      <c r="Q208" s="130" t="s">
        <v>66</v>
      </c>
      <c r="R208" s="130" t="s">
        <v>72</v>
      </c>
      <c r="S20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8" s="131">
        <v>19.493670000000002</v>
      </c>
      <c r="U208" s="130"/>
      <c r="V208" s="131">
        <f>VLOOKUP(H208,'Ext. Pa'!$B$3:$C$77,2,FALSE)</f>
        <v>1</v>
      </c>
      <c r="W208" s="130">
        <f>VLOOKUP(I208,'Ext. Pa'!$B$3:$C$77,2,FALSE)</f>
        <v>1</v>
      </c>
      <c r="X208" s="130">
        <f>VLOOKUP(J208,'Ext. Pa'!$B$3:$C$77,2,FALSE)</f>
        <v>4</v>
      </c>
      <c r="Y208" s="130">
        <f>VLOOKUP(K208,'Ext. Pa'!$B$3:$C$77,2,FALSE)</f>
        <v>0</v>
      </c>
      <c r="Z208" s="130">
        <f>VLOOKUP(L208,'Ext. Pa'!$B$3:$C$77,2,FALSE)</f>
        <v>5</v>
      </c>
      <c r="AA208" s="130">
        <f>VLOOKUP(M208,'Ext. Pa'!$B$3:$C$77,2,FALSE)</f>
        <v>5</v>
      </c>
      <c r="AB208" s="130">
        <f>VLOOKUP(N208,'Ext. Pa'!$B$3:$C$77,2,FALSE)</f>
        <v>5</v>
      </c>
      <c r="AC208" s="130">
        <f>VLOOKUP(O208,'Ext. Pa'!$B$3:$C$77,2,FALSE)</f>
        <v>1</v>
      </c>
      <c r="AD208" s="130">
        <f>VLOOKUP(P208,'Ext. Pa'!$B$3:$C$77,2,FALSE)</f>
        <v>5</v>
      </c>
      <c r="AE208" s="130">
        <f>VLOOKUP(Q208,'Ext. Pa'!$B$3:$C$77,2,FALSE)</f>
        <v>6</v>
      </c>
      <c r="AF208" s="132">
        <f t="shared" si="14"/>
        <v>3.25</v>
      </c>
      <c r="AG208" s="134">
        <f>Table2[[#This Row],[Coating defect survey10]]</f>
        <v>1</v>
      </c>
      <c r="AH208" s="134">
        <f>Table2[[#This Row],[CP Level within NACE Criteria4]]</f>
        <v>1</v>
      </c>
      <c r="AI208" s="135">
        <f>IF(Table2[[#This Row],[CP level]]&gt;9.9,1,0)</f>
        <v>0</v>
      </c>
      <c r="AJ208" s="135">
        <f>Table2[[#This Row],[Column3]]*Table2[[#This Row],[Coating defect survey2]]</f>
        <v>0</v>
      </c>
      <c r="AK208" s="170">
        <v>19.493670000000002</v>
      </c>
    </row>
    <row r="209" spans="1:37" s="100" customFormat="1">
      <c r="A209" s="189">
        <v>3</v>
      </c>
      <c r="B209" s="190" t="s">
        <v>912</v>
      </c>
      <c r="C209" s="191">
        <v>3307</v>
      </c>
      <c r="D209" s="192" t="s">
        <v>913</v>
      </c>
      <c r="E209" s="188"/>
      <c r="F209" s="188">
        <v>2000</v>
      </c>
      <c r="G209" s="188">
        <f>2013-Table2[[#This Row],[Startup Year]]</f>
        <v>13</v>
      </c>
      <c r="H209" s="188" t="s">
        <v>101</v>
      </c>
      <c r="I209" s="193" t="s">
        <v>110</v>
      </c>
      <c r="J209" s="130" t="s">
        <v>113</v>
      </c>
      <c r="K209" s="98">
        <v>0</v>
      </c>
      <c r="L209" s="130" t="s">
        <v>105</v>
      </c>
      <c r="M209" s="130" t="s">
        <v>105</v>
      </c>
      <c r="N209" s="130" t="s">
        <v>105</v>
      </c>
      <c r="O209" s="130" t="s">
        <v>143</v>
      </c>
      <c r="P209" s="130" t="s">
        <v>105</v>
      </c>
      <c r="Q209" s="130" t="s">
        <v>66</v>
      </c>
      <c r="R209" s="193" t="s">
        <v>72</v>
      </c>
      <c r="S209" s="19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09" s="194">
        <v>19.493670000000002</v>
      </c>
      <c r="U209" s="193"/>
      <c r="V209" s="194">
        <f>VLOOKUP(H209,'Ext. Pa'!$B$3:$C$77,2,FALSE)</f>
        <v>1</v>
      </c>
      <c r="W209" s="193">
        <f>VLOOKUP(I209,'Ext. Pa'!$B$3:$C$77,2,FALSE)</f>
        <v>6</v>
      </c>
      <c r="X209" s="193">
        <f>VLOOKUP(J209,'Ext. Pa'!$B$3:$C$77,2,FALSE)</f>
        <v>4</v>
      </c>
      <c r="Y209" s="193">
        <f>VLOOKUP(K209,'Ext. Pa'!$B$3:$C$77,2,FALSE)</f>
        <v>0</v>
      </c>
      <c r="Z209" s="193">
        <f>VLOOKUP(L209,'Ext. Pa'!$B$3:$C$77,2,FALSE)</f>
        <v>5</v>
      </c>
      <c r="AA209" s="193">
        <f>VLOOKUP(M209,'Ext. Pa'!$B$3:$C$77,2,FALSE)</f>
        <v>5</v>
      </c>
      <c r="AB209" s="193">
        <f>VLOOKUP(N209,'Ext. Pa'!$B$3:$C$77,2,FALSE)</f>
        <v>5</v>
      </c>
      <c r="AC209" s="193">
        <f>VLOOKUP(O209,'Ext. Pa'!$B$3:$C$77,2,FALSE)</f>
        <v>1</v>
      </c>
      <c r="AD209" s="193">
        <f>VLOOKUP(P209,'Ext. Pa'!$B$3:$C$77,2,FALSE)</f>
        <v>5</v>
      </c>
      <c r="AE209" s="193">
        <f>VLOOKUP(Q209,'Ext. Pa'!$B$3:$C$77,2,FALSE)</f>
        <v>6</v>
      </c>
      <c r="AF209" s="195">
        <f t="shared" si="14"/>
        <v>3.25</v>
      </c>
      <c r="AG209" s="194">
        <f>Table2[[#This Row],[Coating defect survey10]]</f>
        <v>1</v>
      </c>
      <c r="AH209" s="194">
        <f>Table2[[#This Row],[CP Level within NACE Criteria4]]</f>
        <v>6</v>
      </c>
      <c r="AI209" s="196">
        <f>IF(Table2[[#This Row],[CP level]]&gt;9.9,1,0)</f>
        <v>0</v>
      </c>
      <c r="AJ209" s="196">
        <f>Table2[[#This Row],[Column3]]*Table2[[#This Row],[Coating defect survey2]]</f>
        <v>0</v>
      </c>
      <c r="AK209" s="170">
        <v>19.493670000000002</v>
      </c>
    </row>
    <row r="210" spans="1:37" s="207" customFormat="1">
      <c r="A210" s="113">
        <v>3</v>
      </c>
      <c r="B210" s="202" t="s">
        <v>420</v>
      </c>
      <c r="C210" s="111">
        <v>430</v>
      </c>
      <c r="D210" s="112" t="s">
        <v>291</v>
      </c>
      <c r="E210" s="86"/>
      <c r="F210" s="86">
        <v>2000</v>
      </c>
      <c r="G210" s="86">
        <f>2013-Table2[[#This Row],[Startup Year]]</f>
        <v>13</v>
      </c>
      <c r="H210" s="86" t="s">
        <v>101</v>
      </c>
      <c r="I210" s="86" t="s">
        <v>108</v>
      </c>
      <c r="J210" s="86" t="s">
        <v>113</v>
      </c>
      <c r="K210" s="86" t="s">
        <v>123</v>
      </c>
      <c r="L210" s="86" t="s">
        <v>105</v>
      </c>
      <c r="M210" s="86" t="s">
        <v>105</v>
      </c>
      <c r="N210" s="86" t="s">
        <v>105</v>
      </c>
      <c r="O210" s="86" t="s">
        <v>105</v>
      </c>
      <c r="P210" s="86" t="s">
        <v>151</v>
      </c>
      <c r="Q210" s="86" t="s">
        <v>66</v>
      </c>
      <c r="R210" s="86" t="s">
        <v>72</v>
      </c>
      <c r="S210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37.373417721518983</v>
      </c>
      <c r="T210" s="86">
        <v>19.493670000000002</v>
      </c>
      <c r="U210" s="86"/>
      <c r="V210" s="86">
        <f>VLOOKUP(H210,'Ext. Pa'!$B$3:$C$77,2,FALSE)</f>
        <v>1</v>
      </c>
      <c r="W210" s="86">
        <f>VLOOKUP(I210,'Ext. Pa'!$B$3:$C$77,2,FALSE)</f>
        <v>1</v>
      </c>
      <c r="X210" s="86">
        <f>VLOOKUP(J210,'Ext. Pa'!$B$3:$C$77,2,FALSE)</f>
        <v>4</v>
      </c>
      <c r="Y210" s="86">
        <f>VLOOKUP(K210,'Ext. Pa'!$B$3:$C$77,2,FALSE)</f>
        <v>6</v>
      </c>
      <c r="Z210" s="86">
        <f>VLOOKUP(L210,'Ext. Pa'!$B$3:$C$77,2,FALSE)</f>
        <v>5</v>
      </c>
      <c r="AA210" s="86">
        <f>VLOOKUP(M210,'Ext. Pa'!$B$3:$C$77,2,FALSE)</f>
        <v>5</v>
      </c>
      <c r="AB210" s="86">
        <f>VLOOKUP(N210,'Ext. Pa'!$B$3:$C$77,2,FALSE)</f>
        <v>5</v>
      </c>
      <c r="AC210" s="86">
        <f>VLOOKUP(O210,'Ext. Pa'!$B$3:$C$77,2,FALSE)</f>
        <v>5</v>
      </c>
      <c r="AD210" s="86">
        <f>VLOOKUP(P210,'Ext. Pa'!$B$3:$C$77,2,FALSE)</f>
        <v>6</v>
      </c>
      <c r="AE210" s="86">
        <f>VLOOKUP(Q210,'Ext. Pa'!$B$3:$C$77,2,FALSE)</f>
        <v>6</v>
      </c>
      <c r="AF210" s="204">
        <f t="shared" si="12"/>
        <v>3.25</v>
      </c>
      <c r="AG210" s="208">
        <f>Table2[[#This Row],[Coating defect survey10]]</f>
        <v>5</v>
      </c>
      <c r="AH210" s="208">
        <f>Table2[[#This Row],[CP Level within NACE Criteria4]]</f>
        <v>1</v>
      </c>
      <c r="AI210" s="206">
        <f>IF(Table2[[#This Row],[CP level]]&gt;9.9,1,0)</f>
        <v>0</v>
      </c>
      <c r="AJ210" s="206">
        <f>Table2[[#This Row],[Column3]]*Table2[[#This Row],[Coating defect survey2]]</f>
        <v>0</v>
      </c>
      <c r="AK210" s="170">
        <v>19.493670000000002</v>
      </c>
    </row>
    <row r="211" spans="1:37" s="100" customFormat="1">
      <c r="A211" s="94">
        <v>3</v>
      </c>
      <c r="B211" s="95" t="s">
        <v>421</v>
      </c>
      <c r="C211" s="96">
        <v>3402</v>
      </c>
      <c r="D211" s="97" t="s">
        <v>292</v>
      </c>
      <c r="E211" s="98"/>
      <c r="F211" s="98">
        <v>2000</v>
      </c>
      <c r="G211" s="98">
        <f>2013-Table2[[#This Row],[Startup Year]]</f>
        <v>13</v>
      </c>
      <c r="H211" s="98" t="s">
        <v>101</v>
      </c>
      <c r="I211" s="98" t="s">
        <v>108</v>
      </c>
      <c r="J211" s="98" t="s">
        <v>113</v>
      </c>
      <c r="K211" s="98">
        <v>0</v>
      </c>
      <c r="L211" s="98" t="s">
        <v>105</v>
      </c>
      <c r="M211" s="98" t="s">
        <v>105</v>
      </c>
      <c r="N211" s="98" t="s">
        <v>105</v>
      </c>
      <c r="O211" s="98" t="s">
        <v>105</v>
      </c>
      <c r="P211" s="98" t="s">
        <v>105</v>
      </c>
      <c r="Q211" s="98" t="s">
        <v>66</v>
      </c>
      <c r="R211" s="98" t="s">
        <v>72</v>
      </c>
      <c r="S21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11" s="98">
        <v>19.493670000000002</v>
      </c>
      <c r="U211" s="98"/>
      <c r="V211" s="98">
        <f>VLOOKUP(H211,'Ext. Pa'!$B$3:$C$77,2,FALSE)</f>
        <v>1</v>
      </c>
      <c r="W211" s="98">
        <f>VLOOKUP(I211,'Ext. Pa'!$B$3:$C$77,2,FALSE)</f>
        <v>1</v>
      </c>
      <c r="X211" s="98">
        <f>VLOOKUP(J211,'Ext. Pa'!$B$3:$C$77,2,FALSE)</f>
        <v>4</v>
      </c>
      <c r="Y211" s="98">
        <f>VLOOKUP(K211,'Ext. Pa'!$B$3:$C$77,2,FALSE)</f>
        <v>0</v>
      </c>
      <c r="Z211" s="98">
        <f>VLOOKUP(L211,'Ext. Pa'!$B$3:$C$77,2,FALSE)</f>
        <v>5</v>
      </c>
      <c r="AA211" s="98">
        <f>VLOOKUP(M211,'Ext. Pa'!$B$3:$C$77,2,FALSE)</f>
        <v>5</v>
      </c>
      <c r="AB211" s="98">
        <f>VLOOKUP(N211,'Ext. Pa'!$B$3:$C$77,2,FALSE)</f>
        <v>5</v>
      </c>
      <c r="AC211" s="98">
        <f>VLOOKUP(O211,'Ext. Pa'!$B$3:$C$77,2,FALSE)</f>
        <v>5</v>
      </c>
      <c r="AD211" s="98">
        <f>VLOOKUP(P211,'Ext. Pa'!$B$3:$C$77,2,FALSE)</f>
        <v>5</v>
      </c>
      <c r="AE211" s="98">
        <f>VLOOKUP(Q211,'Ext. Pa'!$B$3:$C$77,2,FALSE)</f>
        <v>6</v>
      </c>
      <c r="AF211" s="99">
        <f t="shared" si="12"/>
        <v>3.25</v>
      </c>
      <c r="AG211" s="134">
        <f>Table2[[#This Row],[Coating defect survey10]]</f>
        <v>5</v>
      </c>
      <c r="AH211" s="134">
        <f>Table2[[#This Row],[CP Level within NACE Criteria4]]</f>
        <v>1</v>
      </c>
      <c r="AI211" s="135">
        <f>IF(Table2[[#This Row],[CP level]]&gt;9.9,1,0)</f>
        <v>0</v>
      </c>
      <c r="AJ211" s="135">
        <f>Table2[[#This Row],[Column3]]*Table2[[#This Row],[Coating defect survey2]]</f>
        <v>0</v>
      </c>
      <c r="AK211" s="170">
        <v>19.493670000000002</v>
      </c>
    </row>
    <row r="212" spans="1:37" s="100" customFormat="1">
      <c r="A212" s="128">
        <v>3</v>
      </c>
      <c r="B212" s="129" t="s">
        <v>745</v>
      </c>
      <c r="C212" s="96">
        <v>340300002</v>
      </c>
      <c r="D212" s="97" t="s">
        <v>746</v>
      </c>
      <c r="E212" s="130"/>
      <c r="F212" s="130">
        <v>2000</v>
      </c>
      <c r="G212" s="130">
        <f>2013-Table2[[#This Row],[Startup Year]]</f>
        <v>13</v>
      </c>
      <c r="H212" s="130" t="s">
        <v>101</v>
      </c>
      <c r="I212" s="130" t="s">
        <v>108</v>
      </c>
      <c r="J212" s="130" t="s">
        <v>113</v>
      </c>
      <c r="K212" s="98">
        <v>0</v>
      </c>
      <c r="L212" s="130" t="s">
        <v>105</v>
      </c>
      <c r="M212" s="130" t="s">
        <v>105</v>
      </c>
      <c r="N212" s="130" t="s">
        <v>105</v>
      </c>
      <c r="O212" s="130" t="s">
        <v>143</v>
      </c>
      <c r="P212" s="130" t="s">
        <v>105</v>
      </c>
      <c r="Q212" s="130" t="s">
        <v>66</v>
      </c>
      <c r="R212" s="130" t="s">
        <v>72</v>
      </c>
      <c r="S21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12" s="98">
        <v>19.493670000000002</v>
      </c>
      <c r="U212" s="130"/>
      <c r="V212" s="131">
        <f>VLOOKUP(H212,'Ext. Pa'!$B$3:$C$77,2,FALSE)</f>
        <v>1</v>
      </c>
      <c r="W212" s="130">
        <f>VLOOKUP(I212,'Ext. Pa'!$B$3:$C$77,2,FALSE)</f>
        <v>1</v>
      </c>
      <c r="X212" s="130">
        <f>VLOOKUP(J212,'Ext. Pa'!$B$3:$C$77,2,FALSE)</f>
        <v>4</v>
      </c>
      <c r="Y212" s="130">
        <f>VLOOKUP(K212,'Ext. Pa'!$B$3:$C$77,2,FALSE)</f>
        <v>0</v>
      </c>
      <c r="Z212" s="130">
        <f>VLOOKUP(L212,'Ext. Pa'!$B$3:$C$77,2,FALSE)</f>
        <v>5</v>
      </c>
      <c r="AA212" s="130">
        <f>VLOOKUP(M212,'Ext. Pa'!$B$3:$C$77,2,FALSE)</f>
        <v>5</v>
      </c>
      <c r="AB212" s="130">
        <f>VLOOKUP(N212,'Ext. Pa'!$B$3:$C$77,2,FALSE)</f>
        <v>5</v>
      </c>
      <c r="AC212" s="130">
        <f>VLOOKUP(O212,'Ext. Pa'!$B$3:$C$77,2,FALSE)</f>
        <v>1</v>
      </c>
      <c r="AD212" s="130">
        <f>VLOOKUP(P212,'Ext. Pa'!$B$3:$C$77,2,FALSE)</f>
        <v>5</v>
      </c>
      <c r="AE212" s="130">
        <f>VLOOKUP(Q212,'Ext. Pa'!$B$3:$C$77,2,FALSE)</f>
        <v>6</v>
      </c>
      <c r="AF212" s="132">
        <f>IF(G212&lt;40,(G212)/4,40)</f>
        <v>3.25</v>
      </c>
      <c r="AG212" s="133">
        <f>Table2[[#This Row],[Coating defect survey10]]</f>
        <v>1</v>
      </c>
      <c r="AH212" s="134">
        <f>Table2[[#This Row],[CP Level within NACE Criteria4]]</f>
        <v>1</v>
      </c>
      <c r="AI212" s="135">
        <f>IF(Table2[[#This Row],[CP level]]&gt;9.9,1,0)</f>
        <v>0</v>
      </c>
      <c r="AJ212" s="135">
        <f>Table2[[#This Row],[Column3]]*Table2[[#This Row],[Coating defect survey2]]</f>
        <v>0</v>
      </c>
      <c r="AK212" s="170">
        <v>19.493670000000002</v>
      </c>
    </row>
    <row r="213" spans="1:37" s="100" customFormat="1">
      <c r="A213" s="94">
        <v>3</v>
      </c>
      <c r="B213" s="95" t="s">
        <v>422</v>
      </c>
      <c r="C213" s="96">
        <v>4014</v>
      </c>
      <c r="D213" s="97" t="s">
        <v>293</v>
      </c>
      <c r="E213" s="98"/>
      <c r="F213" s="98">
        <v>2000</v>
      </c>
      <c r="G213" s="98">
        <f>2013-Table2[[#This Row],[Startup Year]]</f>
        <v>13</v>
      </c>
      <c r="H213" s="98" t="s">
        <v>101</v>
      </c>
      <c r="I213" s="98" t="s">
        <v>108</v>
      </c>
      <c r="J213" s="98" t="s">
        <v>113</v>
      </c>
      <c r="K213" s="98">
        <v>0</v>
      </c>
      <c r="L213" s="98" t="s">
        <v>105</v>
      </c>
      <c r="M213" s="98" t="s">
        <v>105</v>
      </c>
      <c r="N213" s="98" t="s">
        <v>105</v>
      </c>
      <c r="O213" s="98" t="s">
        <v>143</v>
      </c>
      <c r="P213" s="98" t="s">
        <v>105</v>
      </c>
      <c r="Q213" s="98" t="s">
        <v>66</v>
      </c>
      <c r="R213" s="98" t="s">
        <v>72</v>
      </c>
      <c r="S21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13" s="98">
        <v>19.493670000000002</v>
      </c>
      <c r="U213" s="98"/>
      <c r="V213" s="98">
        <f>VLOOKUP(H213,'Ext. Pa'!$B$3:$C$77,2,FALSE)</f>
        <v>1</v>
      </c>
      <c r="W213" s="98">
        <f>VLOOKUP(I213,'Ext. Pa'!$B$3:$C$77,2,FALSE)</f>
        <v>1</v>
      </c>
      <c r="X213" s="98">
        <f>VLOOKUP(J213,'Ext. Pa'!$B$3:$C$77,2,FALSE)</f>
        <v>4</v>
      </c>
      <c r="Y213" s="98">
        <f>VLOOKUP(K213,'Ext. Pa'!$B$3:$C$77,2,FALSE)</f>
        <v>0</v>
      </c>
      <c r="Z213" s="98">
        <f>VLOOKUP(L213,'Ext. Pa'!$B$3:$C$77,2,FALSE)</f>
        <v>5</v>
      </c>
      <c r="AA213" s="98">
        <f>VLOOKUP(M213,'Ext. Pa'!$B$3:$C$77,2,FALSE)</f>
        <v>5</v>
      </c>
      <c r="AB213" s="98">
        <f>VLOOKUP(N213,'Ext. Pa'!$B$3:$C$77,2,FALSE)</f>
        <v>5</v>
      </c>
      <c r="AC213" s="98">
        <f>VLOOKUP(O213,'Ext. Pa'!$B$3:$C$77,2,FALSE)</f>
        <v>1</v>
      </c>
      <c r="AD213" s="98">
        <f>VLOOKUP(P213,'Ext. Pa'!$B$3:$C$77,2,FALSE)</f>
        <v>5</v>
      </c>
      <c r="AE213" s="98">
        <f>VLOOKUP(Q213,'Ext. Pa'!$B$3:$C$77,2,FALSE)</f>
        <v>6</v>
      </c>
      <c r="AF213" s="99">
        <f t="shared" si="12"/>
        <v>3.25</v>
      </c>
      <c r="AG213" s="134">
        <f>Table2[[#This Row],[Coating defect survey10]]</f>
        <v>1</v>
      </c>
      <c r="AH213" s="134">
        <f>Table2[[#This Row],[CP Level within NACE Criteria4]]</f>
        <v>1</v>
      </c>
      <c r="AI213" s="135">
        <f>IF(Table2[[#This Row],[CP level]]&gt;9.9,1,0)</f>
        <v>0</v>
      </c>
      <c r="AJ213" s="135">
        <f>Table2[[#This Row],[Column3]]*Table2[[#This Row],[Coating defect survey2]]</f>
        <v>0</v>
      </c>
      <c r="AK213" s="170">
        <v>19.493670000000002</v>
      </c>
    </row>
    <row r="214" spans="1:37" s="100" customFormat="1">
      <c r="A214" s="94">
        <v>3</v>
      </c>
      <c r="B214" s="95" t="s">
        <v>423</v>
      </c>
      <c r="C214" s="96">
        <v>40112</v>
      </c>
      <c r="D214" s="97" t="s">
        <v>294</v>
      </c>
      <c r="E214" s="98"/>
      <c r="F214" s="98">
        <v>2000</v>
      </c>
      <c r="G214" s="98">
        <f>2013-Table2[[#This Row],[Startup Year]]</f>
        <v>13</v>
      </c>
      <c r="H214" s="98" t="s">
        <v>101</v>
      </c>
      <c r="I214" s="98" t="s">
        <v>108</v>
      </c>
      <c r="J214" s="98" t="s">
        <v>113</v>
      </c>
      <c r="K214" s="98">
        <v>0</v>
      </c>
      <c r="L214" s="98" t="s">
        <v>105</v>
      </c>
      <c r="M214" s="98" t="s">
        <v>105</v>
      </c>
      <c r="N214" s="98" t="s">
        <v>105</v>
      </c>
      <c r="O214" s="98" t="s">
        <v>105</v>
      </c>
      <c r="P214" s="98" t="s">
        <v>105</v>
      </c>
      <c r="Q214" s="98" t="s">
        <v>66</v>
      </c>
      <c r="R214" s="98" t="s">
        <v>72</v>
      </c>
      <c r="S21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14" s="98">
        <v>19.493670000000002</v>
      </c>
      <c r="U214" s="98"/>
      <c r="V214" s="98">
        <f>VLOOKUP(H214,'Ext. Pa'!$B$3:$C$77,2,FALSE)</f>
        <v>1</v>
      </c>
      <c r="W214" s="98">
        <f>VLOOKUP(I214,'Ext. Pa'!$B$3:$C$77,2,FALSE)</f>
        <v>1</v>
      </c>
      <c r="X214" s="98">
        <f>VLOOKUP(J214,'Ext. Pa'!$B$3:$C$77,2,FALSE)</f>
        <v>4</v>
      </c>
      <c r="Y214" s="98">
        <f>VLOOKUP(K214,'Ext. Pa'!$B$3:$C$77,2,FALSE)</f>
        <v>0</v>
      </c>
      <c r="Z214" s="98">
        <f>VLOOKUP(L214,'Ext. Pa'!$B$3:$C$77,2,FALSE)</f>
        <v>5</v>
      </c>
      <c r="AA214" s="98">
        <f>VLOOKUP(M214,'Ext. Pa'!$B$3:$C$77,2,FALSE)</f>
        <v>5</v>
      </c>
      <c r="AB214" s="98">
        <f>VLOOKUP(N214,'Ext. Pa'!$B$3:$C$77,2,FALSE)</f>
        <v>5</v>
      </c>
      <c r="AC214" s="98">
        <f>VLOOKUP(O214,'Ext. Pa'!$B$3:$C$77,2,FALSE)</f>
        <v>5</v>
      </c>
      <c r="AD214" s="98">
        <f>VLOOKUP(P214,'Ext. Pa'!$B$3:$C$77,2,FALSE)</f>
        <v>5</v>
      </c>
      <c r="AE214" s="98">
        <f>VLOOKUP(Q214,'Ext. Pa'!$B$3:$C$77,2,FALSE)</f>
        <v>6</v>
      </c>
      <c r="AF214" s="99">
        <f t="shared" si="12"/>
        <v>3.25</v>
      </c>
      <c r="AG214" s="134">
        <f>Table2[[#This Row],[Coating defect survey10]]</f>
        <v>5</v>
      </c>
      <c r="AH214" s="134">
        <f>Table2[[#This Row],[CP Level within NACE Criteria4]]</f>
        <v>1</v>
      </c>
      <c r="AI214" s="135">
        <f>IF(Table2[[#This Row],[CP level]]&gt;9.9,1,0)</f>
        <v>0</v>
      </c>
      <c r="AJ214" s="135">
        <f>Table2[[#This Row],[Column3]]*Table2[[#This Row],[Coating defect survey2]]</f>
        <v>0</v>
      </c>
      <c r="AK214" s="170">
        <v>19.493670000000002</v>
      </c>
    </row>
    <row r="215" spans="1:37" s="100" customFormat="1">
      <c r="A215" s="94">
        <v>3</v>
      </c>
      <c r="B215" s="95" t="s">
        <v>424</v>
      </c>
      <c r="C215" s="96">
        <v>40321</v>
      </c>
      <c r="D215" s="97" t="s">
        <v>295</v>
      </c>
      <c r="E215" s="98"/>
      <c r="F215" s="98">
        <v>2000</v>
      </c>
      <c r="G215" s="98">
        <f>2013-Table2[[#This Row],[Startup Year]]</f>
        <v>13</v>
      </c>
      <c r="H215" s="98" t="s">
        <v>101</v>
      </c>
      <c r="I215" s="98" t="s">
        <v>108</v>
      </c>
      <c r="J215" s="98" t="s">
        <v>118</v>
      </c>
      <c r="K215" s="98">
        <v>0</v>
      </c>
      <c r="L215" s="98" t="s">
        <v>105</v>
      </c>
      <c r="M215" s="98" t="s">
        <v>105</v>
      </c>
      <c r="N215" s="98" t="s">
        <v>105</v>
      </c>
      <c r="O215" s="98" t="s">
        <v>105</v>
      </c>
      <c r="P215" s="98" t="s">
        <v>105</v>
      </c>
      <c r="Q215" s="98" t="s">
        <v>66</v>
      </c>
      <c r="R215" s="98" t="s">
        <v>72</v>
      </c>
      <c r="S21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15" s="98">
        <v>19.493670000000002</v>
      </c>
      <c r="U215" s="98"/>
      <c r="V215" s="98">
        <f>VLOOKUP(H215,'Ext. Pa'!$B$3:$C$77,2,FALSE)</f>
        <v>1</v>
      </c>
      <c r="W215" s="98">
        <f>VLOOKUP(I215,'Ext. Pa'!$B$3:$C$77,2,FALSE)</f>
        <v>1</v>
      </c>
      <c r="X215" s="98">
        <f>VLOOKUP(J215,'Ext. Pa'!$B$3:$C$77,2,FALSE)</f>
        <v>0</v>
      </c>
      <c r="Y215" s="98">
        <f>VLOOKUP(K215,'Ext. Pa'!$B$3:$C$77,2,FALSE)</f>
        <v>0</v>
      </c>
      <c r="Z215" s="98">
        <f>VLOOKUP(L215,'Ext. Pa'!$B$3:$C$77,2,FALSE)</f>
        <v>5</v>
      </c>
      <c r="AA215" s="98">
        <f>VLOOKUP(M215,'Ext. Pa'!$B$3:$C$77,2,FALSE)</f>
        <v>5</v>
      </c>
      <c r="AB215" s="98">
        <f>VLOOKUP(N215,'Ext. Pa'!$B$3:$C$77,2,FALSE)</f>
        <v>5</v>
      </c>
      <c r="AC215" s="98">
        <f>VLOOKUP(O215,'Ext. Pa'!$B$3:$C$77,2,FALSE)</f>
        <v>5</v>
      </c>
      <c r="AD215" s="98">
        <f>VLOOKUP(P215,'Ext. Pa'!$B$3:$C$77,2,FALSE)</f>
        <v>5</v>
      </c>
      <c r="AE215" s="98">
        <f>VLOOKUP(Q215,'Ext. Pa'!$B$3:$C$77,2,FALSE)</f>
        <v>6</v>
      </c>
      <c r="AF215" s="99">
        <f t="shared" si="12"/>
        <v>3.25</v>
      </c>
      <c r="AG215" s="134">
        <f>Table2[[#This Row],[Coating defect survey10]]</f>
        <v>5</v>
      </c>
      <c r="AH215" s="134">
        <f>Table2[[#This Row],[CP Level within NACE Criteria4]]</f>
        <v>1</v>
      </c>
      <c r="AI215" s="135">
        <f>IF(Table2[[#This Row],[CP level]]&gt;9.9,1,0)</f>
        <v>0</v>
      </c>
      <c r="AJ215" s="135">
        <f>Table2[[#This Row],[Column3]]*Table2[[#This Row],[Coating defect survey2]]</f>
        <v>0</v>
      </c>
      <c r="AK215" s="170">
        <v>19.493670000000002</v>
      </c>
    </row>
    <row r="216" spans="1:37" s="100" customFormat="1" ht="25.5">
      <c r="A216" s="94">
        <v>3</v>
      </c>
      <c r="B216" s="95" t="s">
        <v>425</v>
      </c>
      <c r="C216" s="96">
        <v>560201</v>
      </c>
      <c r="D216" s="97" t="s">
        <v>296</v>
      </c>
      <c r="E216" s="98"/>
      <c r="F216" s="98">
        <v>2012</v>
      </c>
      <c r="G216" s="98">
        <f>2013-Table2[[#This Row],[Startup Year]]</f>
        <v>1</v>
      </c>
      <c r="H216" s="98" t="s">
        <v>101</v>
      </c>
      <c r="I216" s="98" t="s">
        <v>108</v>
      </c>
      <c r="J216" s="98" t="s">
        <v>118</v>
      </c>
      <c r="K216" s="98">
        <v>0</v>
      </c>
      <c r="L216" s="98" t="s">
        <v>105</v>
      </c>
      <c r="M216" s="98" t="s">
        <v>129</v>
      </c>
      <c r="N216" s="98" t="s">
        <v>129</v>
      </c>
      <c r="O216" s="98" t="s">
        <v>105</v>
      </c>
      <c r="P216" s="98" t="s">
        <v>105</v>
      </c>
      <c r="Q216" s="98" t="s">
        <v>66</v>
      </c>
      <c r="R216" s="98" t="s">
        <v>72</v>
      </c>
      <c r="S21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13.322784810126581</v>
      </c>
      <c r="T216" s="98">
        <v>19.493670000000002</v>
      </c>
      <c r="U216" s="98"/>
      <c r="V216" s="98">
        <f>VLOOKUP(H216,'Ext. Pa'!$B$3:$C$77,2,FALSE)</f>
        <v>1</v>
      </c>
      <c r="W216" s="98">
        <f>VLOOKUP(I216,'Ext. Pa'!$B$3:$C$77,2,FALSE)</f>
        <v>1</v>
      </c>
      <c r="X216" s="98">
        <f>VLOOKUP(J216,'Ext. Pa'!$B$3:$C$77,2,FALSE)</f>
        <v>0</v>
      </c>
      <c r="Y216" s="98">
        <f>VLOOKUP(K216,'Ext. Pa'!$B$3:$C$77,2,FALSE)</f>
        <v>0</v>
      </c>
      <c r="Z216" s="98">
        <f>VLOOKUP(L216,'Ext. Pa'!$B$3:$C$77,2,FALSE)</f>
        <v>5</v>
      </c>
      <c r="AA216" s="98">
        <f>VLOOKUP(M216,'Ext. Pa'!$B$3:$C$77,2,FALSE)</f>
        <v>1</v>
      </c>
      <c r="AB216" s="98">
        <f>VLOOKUP(N216,'Ext. Pa'!$B$3:$C$77,2,FALSE)</f>
        <v>1</v>
      </c>
      <c r="AC216" s="98">
        <f>VLOOKUP(O216,'Ext. Pa'!$B$3:$C$77,2,FALSE)</f>
        <v>5</v>
      </c>
      <c r="AD216" s="98">
        <f>VLOOKUP(P216,'Ext. Pa'!$B$3:$C$77,2,FALSE)</f>
        <v>5</v>
      </c>
      <c r="AE216" s="98">
        <f>VLOOKUP(Q216,'Ext. Pa'!$B$3:$C$77,2,FALSE)</f>
        <v>6</v>
      </c>
      <c r="AF216" s="99">
        <f t="shared" si="12"/>
        <v>0.25</v>
      </c>
      <c r="AG216" s="133">
        <f>Table2[[#This Row],[Coating defect survey10]]</f>
        <v>5</v>
      </c>
      <c r="AH216" s="134">
        <f>Table2[[#This Row],[CP Level within NACE Criteria4]]</f>
        <v>1</v>
      </c>
      <c r="AI216" s="135">
        <f>IF(Table2[[#This Row],[CP level]]&gt;9.9,1,0)</f>
        <v>0</v>
      </c>
      <c r="AJ216" s="135">
        <f>Table2[[#This Row],[Column3]]*Table2[[#This Row],[Coating defect survey2]]</f>
        <v>0</v>
      </c>
      <c r="AK216" s="170">
        <v>19.493670000000002</v>
      </c>
    </row>
    <row r="217" spans="1:37" s="100" customFormat="1">
      <c r="A217" s="94">
        <v>3</v>
      </c>
      <c r="B217" s="95" t="s">
        <v>426</v>
      </c>
      <c r="C217" s="96">
        <v>561201</v>
      </c>
      <c r="D217" s="97" t="s">
        <v>297</v>
      </c>
      <c r="E217" s="98"/>
      <c r="F217" s="98">
        <v>2011</v>
      </c>
      <c r="G217" s="98">
        <f>2013-Table2[[#This Row],[Startup Year]]</f>
        <v>2</v>
      </c>
      <c r="H217" s="98" t="s">
        <v>101</v>
      </c>
      <c r="I217" s="98" t="s">
        <v>108</v>
      </c>
      <c r="J217" s="98" t="s">
        <v>118</v>
      </c>
      <c r="K217" s="98">
        <v>0</v>
      </c>
      <c r="L217" s="98" t="s">
        <v>105</v>
      </c>
      <c r="M217" s="98" t="s">
        <v>129</v>
      </c>
      <c r="N217" s="98" t="s">
        <v>129</v>
      </c>
      <c r="O217" s="98" t="s">
        <v>105</v>
      </c>
      <c r="P217" s="98" t="s">
        <v>105</v>
      </c>
      <c r="Q217" s="98" t="s">
        <v>66</v>
      </c>
      <c r="R217" s="98" t="s">
        <v>72</v>
      </c>
      <c r="S21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13.481012658227847</v>
      </c>
      <c r="T217" s="98">
        <v>19.493670000000002</v>
      </c>
      <c r="U217" s="98"/>
      <c r="V217" s="98">
        <f>VLOOKUP(H217,'Ext. Pa'!$B$3:$C$77,2,FALSE)</f>
        <v>1</v>
      </c>
      <c r="W217" s="98">
        <f>VLOOKUP(I217,'Ext. Pa'!$B$3:$C$77,2,FALSE)</f>
        <v>1</v>
      </c>
      <c r="X217" s="98">
        <f>VLOOKUP(J217,'Ext. Pa'!$B$3:$C$77,2,FALSE)</f>
        <v>0</v>
      </c>
      <c r="Y217" s="98">
        <f>VLOOKUP(K217,'Ext. Pa'!$B$3:$C$77,2,FALSE)</f>
        <v>0</v>
      </c>
      <c r="Z217" s="98">
        <f>VLOOKUP(L217,'Ext. Pa'!$B$3:$C$77,2,FALSE)</f>
        <v>5</v>
      </c>
      <c r="AA217" s="98">
        <f>VLOOKUP(M217,'Ext. Pa'!$B$3:$C$77,2,FALSE)</f>
        <v>1</v>
      </c>
      <c r="AB217" s="98">
        <f>VLOOKUP(N217,'Ext. Pa'!$B$3:$C$77,2,FALSE)</f>
        <v>1</v>
      </c>
      <c r="AC217" s="98">
        <f>VLOOKUP(O217,'Ext. Pa'!$B$3:$C$77,2,FALSE)</f>
        <v>5</v>
      </c>
      <c r="AD217" s="98">
        <f>VLOOKUP(P217,'Ext. Pa'!$B$3:$C$77,2,FALSE)</f>
        <v>5</v>
      </c>
      <c r="AE217" s="98">
        <f>VLOOKUP(Q217,'Ext. Pa'!$B$3:$C$77,2,FALSE)</f>
        <v>6</v>
      </c>
      <c r="AF217" s="99">
        <f t="shared" si="12"/>
        <v>0.5</v>
      </c>
      <c r="AG217" s="134">
        <f>Table2[[#This Row],[Coating defect survey10]]</f>
        <v>5</v>
      </c>
      <c r="AH217" s="134">
        <f>Table2[[#This Row],[CP Level within NACE Criteria4]]</f>
        <v>1</v>
      </c>
      <c r="AI217" s="135">
        <f>IF(Table2[[#This Row],[CP level]]&gt;9.9,1,0)</f>
        <v>0</v>
      </c>
      <c r="AJ217" s="135">
        <f>Table2[[#This Row],[Column3]]*Table2[[#This Row],[Coating defect survey2]]</f>
        <v>0</v>
      </c>
      <c r="AK217" s="170">
        <v>19.493670000000002</v>
      </c>
    </row>
    <row r="218" spans="1:37" s="100" customFormat="1">
      <c r="A218" s="128">
        <v>3</v>
      </c>
      <c r="B218" s="129" t="s">
        <v>762</v>
      </c>
      <c r="C218" s="96">
        <v>6402106</v>
      </c>
      <c r="D218" s="97" t="s">
        <v>763</v>
      </c>
      <c r="E218" s="130"/>
      <c r="F218" s="130">
        <v>2000</v>
      </c>
      <c r="G218" s="130">
        <f>2013-Table2[[#This Row],[Startup Year]]</f>
        <v>13</v>
      </c>
      <c r="H218" s="130" t="s">
        <v>101</v>
      </c>
      <c r="I218" s="130" t="s">
        <v>108</v>
      </c>
      <c r="J218" s="130" t="s">
        <v>113</v>
      </c>
      <c r="K218" s="98">
        <v>0</v>
      </c>
      <c r="L218" s="130" t="s">
        <v>105</v>
      </c>
      <c r="M218" s="130" t="s">
        <v>105</v>
      </c>
      <c r="N218" s="130" t="s">
        <v>105</v>
      </c>
      <c r="O218" s="130" t="s">
        <v>143</v>
      </c>
      <c r="P218" s="130" t="s">
        <v>105</v>
      </c>
      <c r="Q218" s="130" t="s">
        <v>66</v>
      </c>
      <c r="R218" s="130" t="s">
        <v>72</v>
      </c>
      <c r="S21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18" s="131">
        <v>19.493670000000002</v>
      </c>
      <c r="U218" s="130"/>
      <c r="V218" s="131">
        <f>VLOOKUP(H218,'Ext. Pa'!$B$3:$C$77,2,FALSE)</f>
        <v>1</v>
      </c>
      <c r="W218" s="130">
        <f>VLOOKUP(I218,'Ext. Pa'!$B$3:$C$77,2,FALSE)</f>
        <v>1</v>
      </c>
      <c r="X218" s="130">
        <f>VLOOKUP(J218,'Ext. Pa'!$B$3:$C$77,2,FALSE)</f>
        <v>4</v>
      </c>
      <c r="Y218" s="130">
        <f>VLOOKUP(K218,'Ext. Pa'!$B$3:$C$77,2,FALSE)</f>
        <v>0</v>
      </c>
      <c r="Z218" s="130">
        <f>VLOOKUP(L218,'Ext. Pa'!$B$3:$C$77,2,FALSE)</f>
        <v>5</v>
      </c>
      <c r="AA218" s="130">
        <f>VLOOKUP(M218,'Ext. Pa'!$B$3:$C$77,2,FALSE)</f>
        <v>5</v>
      </c>
      <c r="AB218" s="130">
        <f>VLOOKUP(N218,'Ext. Pa'!$B$3:$C$77,2,FALSE)</f>
        <v>5</v>
      </c>
      <c r="AC218" s="130">
        <f>VLOOKUP(O218,'Ext. Pa'!$B$3:$C$77,2,FALSE)</f>
        <v>1</v>
      </c>
      <c r="AD218" s="130">
        <f>VLOOKUP(P218,'Ext. Pa'!$B$3:$C$77,2,FALSE)</f>
        <v>5</v>
      </c>
      <c r="AE218" s="130">
        <f>VLOOKUP(Q218,'Ext. Pa'!$B$3:$C$77,2,FALSE)</f>
        <v>6</v>
      </c>
      <c r="AF218" s="132">
        <f>IF(G218&lt;40,(G218)/4,40)</f>
        <v>3.25</v>
      </c>
      <c r="AG218" s="134">
        <f>Table2[[#This Row],[Coating defect survey10]]</f>
        <v>1</v>
      </c>
      <c r="AH218" s="134">
        <f>Table2[[#This Row],[CP Level within NACE Criteria4]]</f>
        <v>1</v>
      </c>
      <c r="AI218" s="135">
        <f>IF(Table2[[#This Row],[CP level]]&gt;9.9,1,0)</f>
        <v>0</v>
      </c>
      <c r="AJ218" s="135">
        <f>Table2[[#This Row],[Column3]]*Table2[[#This Row],[Coating defect survey2]]</f>
        <v>0</v>
      </c>
      <c r="AK218" s="170">
        <v>19.493670000000002</v>
      </c>
    </row>
    <row r="219" spans="1:37" s="100" customFormat="1">
      <c r="A219" s="94">
        <v>3</v>
      </c>
      <c r="B219" s="95" t="s">
        <v>427</v>
      </c>
      <c r="C219" s="96">
        <v>3402101</v>
      </c>
      <c r="D219" s="97" t="s">
        <v>298</v>
      </c>
      <c r="E219" s="98"/>
      <c r="F219" s="98">
        <v>2000</v>
      </c>
      <c r="G219" s="98">
        <f>2013-Table2[[#This Row],[Startup Year]]</f>
        <v>13</v>
      </c>
      <c r="H219" s="98" t="s">
        <v>101</v>
      </c>
      <c r="I219" s="98" t="s">
        <v>108</v>
      </c>
      <c r="J219" s="98" t="s">
        <v>113</v>
      </c>
      <c r="K219" s="98">
        <v>0</v>
      </c>
      <c r="L219" s="98" t="s">
        <v>105</v>
      </c>
      <c r="M219" s="98" t="s">
        <v>105</v>
      </c>
      <c r="N219" s="98" t="s">
        <v>105</v>
      </c>
      <c r="O219" s="98" t="s">
        <v>143</v>
      </c>
      <c r="P219" s="98" t="s">
        <v>105</v>
      </c>
      <c r="Q219" s="98" t="s">
        <v>66</v>
      </c>
      <c r="R219" s="98" t="s">
        <v>72</v>
      </c>
      <c r="S21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19" s="98">
        <v>19.493670000000002</v>
      </c>
      <c r="U219" s="98"/>
      <c r="V219" s="98">
        <f>VLOOKUP(H219,'Ext. Pa'!$B$3:$C$77,2,FALSE)</f>
        <v>1</v>
      </c>
      <c r="W219" s="98">
        <f>VLOOKUP(I219,'Ext. Pa'!$B$3:$C$77,2,FALSE)</f>
        <v>1</v>
      </c>
      <c r="X219" s="98">
        <f>VLOOKUP(J219,'Ext. Pa'!$B$3:$C$77,2,FALSE)</f>
        <v>4</v>
      </c>
      <c r="Y219" s="98">
        <f>VLOOKUP(K219,'Ext. Pa'!$B$3:$C$77,2,FALSE)</f>
        <v>0</v>
      </c>
      <c r="Z219" s="98">
        <f>VLOOKUP(L219,'Ext. Pa'!$B$3:$C$77,2,FALSE)</f>
        <v>5</v>
      </c>
      <c r="AA219" s="98">
        <f>VLOOKUP(M219,'Ext. Pa'!$B$3:$C$77,2,FALSE)</f>
        <v>5</v>
      </c>
      <c r="AB219" s="98">
        <f>VLOOKUP(N219,'Ext. Pa'!$B$3:$C$77,2,FALSE)</f>
        <v>5</v>
      </c>
      <c r="AC219" s="98">
        <f>VLOOKUP(O219,'Ext. Pa'!$B$3:$C$77,2,FALSE)</f>
        <v>1</v>
      </c>
      <c r="AD219" s="98">
        <f>VLOOKUP(P219,'Ext. Pa'!$B$3:$C$77,2,FALSE)</f>
        <v>5</v>
      </c>
      <c r="AE219" s="98">
        <f>VLOOKUP(Q219,'Ext. Pa'!$B$3:$C$77,2,FALSE)</f>
        <v>6</v>
      </c>
      <c r="AF219" s="99">
        <f t="shared" si="12"/>
        <v>3.25</v>
      </c>
      <c r="AG219" s="133">
        <f>Table2[[#This Row],[Coating defect survey10]]</f>
        <v>1</v>
      </c>
      <c r="AH219" s="134">
        <f>Table2[[#This Row],[CP Level within NACE Criteria4]]</f>
        <v>1</v>
      </c>
      <c r="AI219" s="135">
        <f>IF(Table2[[#This Row],[CP level]]&gt;9.9,1,0)</f>
        <v>0</v>
      </c>
      <c r="AJ219" s="135">
        <f>Table2[[#This Row],[Column3]]*Table2[[#This Row],[Coating defect survey2]]</f>
        <v>0</v>
      </c>
      <c r="AK219" s="170">
        <v>19.493670000000002</v>
      </c>
    </row>
    <row r="220" spans="1:37" s="100" customFormat="1">
      <c r="A220" s="94">
        <v>3</v>
      </c>
      <c r="B220" s="95" t="s">
        <v>428</v>
      </c>
      <c r="C220" s="96">
        <v>3402102</v>
      </c>
      <c r="D220" s="97" t="s">
        <v>299</v>
      </c>
      <c r="E220" s="98"/>
      <c r="F220" s="98">
        <v>2000</v>
      </c>
      <c r="G220" s="98">
        <f>2013-Table2[[#This Row],[Startup Year]]</f>
        <v>13</v>
      </c>
      <c r="H220" s="98" t="s">
        <v>101</v>
      </c>
      <c r="I220" s="98" t="s">
        <v>108</v>
      </c>
      <c r="J220" s="98" t="s">
        <v>113</v>
      </c>
      <c r="K220" s="98">
        <v>0</v>
      </c>
      <c r="L220" s="98" t="s">
        <v>105</v>
      </c>
      <c r="M220" s="98" t="s">
        <v>105</v>
      </c>
      <c r="N220" s="98" t="s">
        <v>105</v>
      </c>
      <c r="O220" s="98" t="s">
        <v>143</v>
      </c>
      <c r="P220" s="98" t="s">
        <v>105</v>
      </c>
      <c r="Q220" s="98" t="s">
        <v>66</v>
      </c>
      <c r="R220" s="98" t="s">
        <v>72</v>
      </c>
      <c r="S22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0" s="98">
        <v>19.493670000000002</v>
      </c>
      <c r="U220" s="98"/>
      <c r="V220" s="98">
        <f>VLOOKUP(H220,'Ext. Pa'!$B$3:$C$77,2,FALSE)</f>
        <v>1</v>
      </c>
      <c r="W220" s="98">
        <f>VLOOKUP(I220,'Ext. Pa'!$B$3:$C$77,2,FALSE)</f>
        <v>1</v>
      </c>
      <c r="X220" s="98">
        <f>VLOOKUP(J220,'Ext. Pa'!$B$3:$C$77,2,FALSE)</f>
        <v>4</v>
      </c>
      <c r="Y220" s="98">
        <f>VLOOKUP(K220,'Ext. Pa'!$B$3:$C$77,2,FALSE)</f>
        <v>0</v>
      </c>
      <c r="Z220" s="98">
        <f>VLOOKUP(L220,'Ext. Pa'!$B$3:$C$77,2,FALSE)</f>
        <v>5</v>
      </c>
      <c r="AA220" s="98">
        <f>VLOOKUP(M220,'Ext. Pa'!$B$3:$C$77,2,FALSE)</f>
        <v>5</v>
      </c>
      <c r="AB220" s="98">
        <f>VLOOKUP(N220,'Ext. Pa'!$B$3:$C$77,2,FALSE)</f>
        <v>5</v>
      </c>
      <c r="AC220" s="98">
        <f>VLOOKUP(O220,'Ext. Pa'!$B$3:$C$77,2,FALSE)</f>
        <v>1</v>
      </c>
      <c r="AD220" s="98">
        <f>VLOOKUP(P220,'Ext. Pa'!$B$3:$C$77,2,FALSE)</f>
        <v>5</v>
      </c>
      <c r="AE220" s="98">
        <f>VLOOKUP(Q220,'Ext. Pa'!$B$3:$C$77,2,FALSE)</f>
        <v>6</v>
      </c>
      <c r="AF220" s="99">
        <f t="shared" si="12"/>
        <v>3.25</v>
      </c>
      <c r="AG220" s="134">
        <f>Table2[[#This Row],[Coating defect survey10]]</f>
        <v>1</v>
      </c>
      <c r="AH220" s="134">
        <f>Table2[[#This Row],[CP Level within NACE Criteria4]]</f>
        <v>1</v>
      </c>
      <c r="AI220" s="135">
        <f>IF(Table2[[#This Row],[CP level]]&gt;9.9,1,0)</f>
        <v>0</v>
      </c>
      <c r="AJ220" s="135">
        <f>Table2[[#This Row],[Column3]]*Table2[[#This Row],[Coating defect survey2]]</f>
        <v>0</v>
      </c>
      <c r="AK220" s="170">
        <v>19.493670000000002</v>
      </c>
    </row>
    <row r="221" spans="1:37" s="100" customFormat="1">
      <c r="A221" s="94">
        <v>3</v>
      </c>
      <c r="B221" s="95" t="s">
        <v>429</v>
      </c>
      <c r="C221" s="96">
        <v>3402103</v>
      </c>
      <c r="D221" s="97" t="s">
        <v>300</v>
      </c>
      <c r="E221" s="98"/>
      <c r="F221" s="98">
        <v>2000</v>
      </c>
      <c r="G221" s="98">
        <f>2013-Table2[[#This Row],[Startup Year]]</f>
        <v>13</v>
      </c>
      <c r="H221" s="98" t="s">
        <v>101</v>
      </c>
      <c r="I221" s="98" t="s">
        <v>108</v>
      </c>
      <c r="J221" s="98" t="s">
        <v>113</v>
      </c>
      <c r="K221" s="98">
        <v>0</v>
      </c>
      <c r="L221" s="98" t="s">
        <v>105</v>
      </c>
      <c r="M221" s="98" t="s">
        <v>105</v>
      </c>
      <c r="N221" s="98" t="s">
        <v>105</v>
      </c>
      <c r="O221" s="98" t="s">
        <v>143</v>
      </c>
      <c r="P221" s="98" t="s">
        <v>105</v>
      </c>
      <c r="Q221" s="98" t="s">
        <v>66</v>
      </c>
      <c r="R221" s="98" t="s">
        <v>72</v>
      </c>
      <c r="S22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1" s="98">
        <v>19.493670000000002</v>
      </c>
      <c r="U221" s="98"/>
      <c r="V221" s="98">
        <f>VLOOKUP(H221,'Ext. Pa'!$B$3:$C$77,2,FALSE)</f>
        <v>1</v>
      </c>
      <c r="W221" s="98">
        <f>VLOOKUP(I221,'Ext. Pa'!$B$3:$C$77,2,FALSE)</f>
        <v>1</v>
      </c>
      <c r="X221" s="98">
        <f>VLOOKUP(J221,'Ext. Pa'!$B$3:$C$77,2,FALSE)</f>
        <v>4</v>
      </c>
      <c r="Y221" s="98">
        <f>VLOOKUP(K221,'Ext. Pa'!$B$3:$C$77,2,FALSE)</f>
        <v>0</v>
      </c>
      <c r="Z221" s="98">
        <f>VLOOKUP(L221,'Ext. Pa'!$B$3:$C$77,2,FALSE)</f>
        <v>5</v>
      </c>
      <c r="AA221" s="98">
        <f>VLOOKUP(M221,'Ext. Pa'!$B$3:$C$77,2,FALSE)</f>
        <v>5</v>
      </c>
      <c r="AB221" s="98">
        <f>VLOOKUP(N221,'Ext. Pa'!$B$3:$C$77,2,FALSE)</f>
        <v>5</v>
      </c>
      <c r="AC221" s="98">
        <f>VLOOKUP(O221,'Ext. Pa'!$B$3:$C$77,2,FALSE)</f>
        <v>1</v>
      </c>
      <c r="AD221" s="98">
        <f>VLOOKUP(P221,'Ext. Pa'!$B$3:$C$77,2,FALSE)</f>
        <v>5</v>
      </c>
      <c r="AE221" s="98">
        <f>VLOOKUP(Q221,'Ext. Pa'!$B$3:$C$77,2,FALSE)</f>
        <v>6</v>
      </c>
      <c r="AF221" s="99">
        <f t="shared" si="12"/>
        <v>3.25</v>
      </c>
      <c r="AG221" s="133">
        <f>Table2[[#This Row],[Coating defect survey10]]</f>
        <v>1</v>
      </c>
      <c r="AH221" s="134">
        <f>Table2[[#This Row],[CP Level within NACE Criteria4]]</f>
        <v>1</v>
      </c>
      <c r="AI221" s="135">
        <f>IF(Table2[[#This Row],[CP level]]&gt;9.9,1,0)</f>
        <v>0</v>
      </c>
      <c r="AJ221" s="135">
        <f>Table2[[#This Row],[Column3]]*Table2[[#This Row],[Coating defect survey2]]</f>
        <v>0</v>
      </c>
      <c r="AK221" s="170">
        <v>19.493670000000002</v>
      </c>
    </row>
    <row r="222" spans="1:37" s="100" customFormat="1">
      <c r="A222" s="94">
        <v>3</v>
      </c>
      <c r="B222" s="95" t="s">
        <v>430</v>
      </c>
      <c r="C222" s="96">
        <v>3402104</v>
      </c>
      <c r="D222" s="97" t="s">
        <v>301</v>
      </c>
      <c r="E222" s="98"/>
      <c r="F222" s="98">
        <v>2000</v>
      </c>
      <c r="G222" s="98">
        <f>2013-Table2[[#This Row],[Startup Year]]</f>
        <v>13</v>
      </c>
      <c r="H222" s="98" t="s">
        <v>101</v>
      </c>
      <c r="I222" s="98" t="s">
        <v>108</v>
      </c>
      <c r="J222" s="98" t="s">
        <v>113</v>
      </c>
      <c r="K222" s="98">
        <v>0</v>
      </c>
      <c r="L222" s="98" t="s">
        <v>105</v>
      </c>
      <c r="M222" s="98" t="s">
        <v>105</v>
      </c>
      <c r="N222" s="98" t="s">
        <v>105</v>
      </c>
      <c r="O222" s="98" t="s">
        <v>105</v>
      </c>
      <c r="P222" s="98" t="s">
        <v>105</v>
      </c>
      <c r="Q222" s="98" t="s">
        <v>66</v>
      </c>
      <c r="R222" s="98" t="s">
        <v>72</v>
      </c>
      <c r="S22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2" s="98">
        <v>19.493670000000002</v>
      </c>
      <c r="U222" s="98"/>
      <c r="V222" s="98">
        <f>VLOOKUP(H222,'Ext. Pa'!$B$3:$C$77,2,FALSE)</f>
        <v>1</v>
      </c>
      <c r="W222" s="98">
        <f>VLOOKUP(I222,'Ext. Pa'!$B$3:$C$77,2,FALSE)</f>
        <v>1</v>
      </c>
      <c r="X222" s="98">
        <f>VLOOKUP(J222,'Ext. Pa'!$B$3:$C$77,2,FALSE)</f>
        <v>4</v>
      </c>
      <c r="Y222" s="98">
        <f>VLOOKUP(K222,'Ext. Pa'!$B$3:$C$77,2,FALSE)</f>
        <v>0</v>
      </c>
      <c r="Z222" s="98">
        <f>VLOOKUP(L222,'Ext. Pa'!$B$3:$C$77,2,FALSE)</f>
        <v>5</v>
      </c>
      <c r="AA222" s="98">
        <f>VLOOKUP(M222,'Ext. Pa'!$B$3:$C$77,2,FALSE)</f>
        <v>5</v>
      </c>
      <c r="AB222" s="98">
        <f>VLOOKUP(N222,'Ext. Pa'!$B$3:$C$77,2,FALSE)</f>
        <v>5</v>
      </c>
      <c r="AC222" s="98">
        <f>VLOOKUP(O222,'Ext. Pa'!$B$3:$C$77,2,FALSE)</f>
        <v>5</v>
      </c>
      <c r="AD222" s="98">
        <f>VLOOKUP(P222,'Ext. Pa'!$B$3:$C$77,2,FALSE)</f>
        <v>5</v>
      </c>
      <c r="AE222" s="98">
        <f>VLOOKUP(Q222,'Ext. Pa'!$B$3:$C$77,2,FALSE)</f>
        <v>6</v>
      </c>
      <c r="AF222" s="99">
        <f t="shared" si="12"/>
        <v>3.25</v>
      </c>
      <c r="AG222" s="134">
        <f>Table2[[#This Row],[Coating defect survey10]]</f>
        <v>5</v>
      </c>
      <c r="AH222" s="134">
        <f>Table2[[#This Row],[CP Level within NACE Criteria4]]</f>
        <v>1</v>
      </c>
      <c r="AI222" s="135">
        <f>IF(Table2[[#This Row],[CP level]]&gt;9.9,1,0)</f>
        <v>0</v>
      </c>
      <c r="AJ222" s="135">
        <f>Table2[[#This Row],[Column3]]*Table2[[#This Row],[Coating defect survey2]]</f>
        <v>0</v>
      </c>
      <c r="AK222" s="170">
        <v>19.493670000000002</v>
      </c>
    </row>
    <row r="223" spans="1:37" s="100" customFormat="1">
      <c r="A223" s="94">
        <v>3</v>
      </c>
      <c r="B223" s="95" t="s">
        <v>431</v>
      </c>
      <c r="C223" s="96">
        <v>3402105</v>
      </c>
      <c r="D223" s="97" t="s">
        <v>761</v>
      </c>
      <c r="E223" s="98"/>
      <c r="F223" s="98">
        <v>2000</v>
      </c>
      <c r="G223" s="98">
        <f>2013-Table2[[#This Row],[Startup Year]]</f>
        <v>13</v>
      </c>
      <c r="H223" s="98" t="s">
        <v>101</v>
      </c>
      <c r="I223" s="98" t="s">
        <v>108</v>
      </c>
      <c r="J223" s="98" t="s">
        <v>113</v>
      </c>
      <c r="K223" s="98">
        <v>0</v>
      </c>
      <c r="L223" s="98" t="s">
        <v>105</v>
      </c>
      <c r="M223" s="98" t="s">
        <v>105</v>
      </c>
      <c r="N223" s="98" t="s">
        <v>105</v>
      </c>
      <c r="O223" s="98" t="s">
        <v>143</v>
      </c>
      <c r="P223" s="98" t="s">
        <v>105</v>
      </c>
      <c r="Q223" s="98" t="s">
        <v>66</v>
      </c>
      <c r="R223" s="98" t="s">
        <v>72</v>
      </c>
      <c r="S22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3" s="98">
        <v>19.493670000000002</v>
      </c>
      <c r="U223" s="98"/>
      <c r="V223" s="98">
        <f>VLOOKUP(H223,'Ext. Pa'!$B$3:$C$77,2,FALSE)</f>
        <v>1</v>
      </c>
      <c r="W223" s="98">
        <f>VLOOKUP(I223,'Ext. Pa'!$B$3:$C$77,2,FALSE)</f>
        <v>1</v>
      </c>
      <c r="X223" s="98">
        <f>VLOOKUP(J223,'Ext. Pa'!$B$3:$C$77,2,FALSE)</f>
        <v>4</v>
      </c>
      <c r="Y223" s="98">
        <f>VLOOKUP(K223,'Ext. Pa'!$B$3:$C$77,2,FALSE)</f>
        <v>0</v>
      </c>
      <c r="Z223" s="98">
        <f>VLOOKUP(L223,'Ext. Pa'!$B$3:$C$77,2,FALSE)</f>
        <v>5</v>
      </c>
      <c r="AA223" s="98">
        <f>VLOOKUP(M223,'Ext. Pa'!$B$3:$C$77,2,FALSE)</f>
        <v>5</v>
      </c>
      <c r="AB223" s="98">
        <f>VLOOKUP(N223,'Ext. Pa'!$B$3:$C$77,2,FALSE)</f>
        <v>5</v>
      </c>
      <c r="AC223" s="98">
        <f>VLOOKUP(O223,'Ext. Pa'!$B$3:$C$77,2,FALSE)</f>
        <v>1</v>
      </c>
      <c r="AD223" s="98">
        <f>VLOOKUP(P223,'Ext. Pa'!$B$3:$C$77,2,FALSE)</f>
        <v>5</v>
      </c>
      <c r="AE223" s="98">
        <f>VLOOKUP(Q223,'Ext. Pa'!$B$3:$C$77,2,FALSE)</f>
        <v>6</v>
      </c>
      <c r="AF223" s="99">
        <f t="shared" si="12"/>
        <v>3.25</v>
      </c>
      <c r="AG223" s="134">
        <f>Table2[[#This Row],[Coating defect survey10]]</f>
        <v>1</v>
      </c>
      <c r="AH223" s="134">
        <f>Table2[[#This Row],[CP Level within NACE Criteria4]]</f>
        <v>1</v>
      </c>
      <c r="AI223" s="135">
        <f>IF(Table2[[#This Row],[CP level]]&gt;9.9,1,0)</f>
        <v>0</v>
      </c>
      <c r="AJ223" s="135">
        <f>Table2[[#This Row],[Column3]]*Table2[[#This Row],[Coating defect survey2]]</f>
        <v>0</v>
      </c>
      <c r="AK223" s="170">
        <v>19.493670000000002</v>
      </c>
    </row>
    <row r="224" spans="1:37" s="100" customFormat="1">
      <c r="A224" s="94">
        <v>3</v>
      </c>
      <c r="B224" s="95" t="s">
        <v>432</v>
      </c>
      <c r="C224" s="96">
        <v>3402106</v>
      </c>
      <c r="D224" s="97" t="s">
        <v>302</v>
      </c>
      <c r="E224" s="98"/>
      <c r="F224" s="98">
        <v>2010</v>
      </c>
      <c r="G224" s="98">
        <f>2013-Table2[[#This Row],[Startup Year]]</f>
        <v>3</v>
      </c>
      <c r="H224" s="98" t="s">
        <v>101</v>
      </c>
      <c r="I224" s="98" t="s">
        <v>108</v>
      </c>
      <c r="J224" s="98" t="s">
        <v>113</v>
      </c>
      <c r="K224" s="98">
        <v>0</v>
      </c>
      <c r="L224" s="98" t="s">
        <v>105</v>
      </c>
      <c r="M224" s="98" t="s">
        <v>105</v>
      </c>
      <c r="N224" s="98" t="s">
        <v>105</v>
      </c>
      <c r="O224" s="98" t="s">
        <v>105</v>
      </c>
      <c r="P224" s="98" t="s">
        <v>105</v>
      </c>
      <c r="Q224" s="98" t="s">
        <v>66</v>
      </c>
      <c r="R224" s="98" t="s">
        <v>72</v>
      </c>
      <c r="S22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16.170886075949365</v>
      </c>
      <c r="T224" s="98">
        <v>19.493670000000002</v>
      </c>
      <c r="U224" s="98"/>
      <c r="V224" s="98">
        <f>VLOOKUP(H224,'Ext. Pa'!$B$3:$C$77,2,FALSE)</f>
        <v>1</v>
      </c>
      <c r="W224" s="98">
        <f>VLOOKUP(I224,'Ext. Pa'!$B$3:$C$77,2,FALSE)</f>
        <v>1</v>
      </c>
      <c r="X224" s="98">
        <f>VLOOKUP(J224,'Ext. Pa'!$B$3:$C$77,2,FALSE)</f>
        <v>4</v>
      </c>
      <c r="Y224" s="98">
        <f>VLOOKUP(K224,'Ext. Pa'!$B$3:$C$77,2,FALSE)</f>
        <v>0</v>
      </c>
      <c r="Z224" s="98">
        <f>VLOOKUP(L224,'Ext. Pa'!$B$3:$C$77,2,FALSE)</f>
        <v>5</v>
      </c>
      <c r="AA224" s="98">
        <f>VLOOKUP(M224,'Ext. Pa'!$B$3:$C$77,2,FALSE)</f>
        <v>5</v>
      </c>
      <c r="AB224" s="98">
        <f>VLOOKUP(N224,'Ext. Pa'!$B$3:$C$77,2,FALSE)</f>
        <v>5</v>
      </c>
      <c r="AC224" s="98">
        <f>VLOOKUP(O224,'Ext. Pa'!$B$3:$C$77,2,FALSE)</f>
        <v>5</v>
      </c>
      <c r="AD224" s="98">
        <f>VLOOKUP(P224,'Ext. Pa'!$B$3:$C$77,2,FALSE)</f>
        <v>5</v>
      </c>
      <c r="AE224" s="98">
        <f>VLOOKUP(Q224,'Ext. Pa'!$B$3:$C$77,2,FALSE)</f>
        <v>6</v>
      </c>
      <c r="AF224" s="99">
        <f t="shared" si="12"/>
        <v>0.75</v>
      </c>
      <c r="AG224" s="133">
        <f>Table2[[#This Row],[Coating defect survey10]]</f>
        <v>5</v>
      </c>
      <c r="AH224" s="134">
        <f>Table2[[#This Row],[CP Level within NACE Criteria4]]</f>
        <v>1</v>
      </c>
      <c r="AI224" s="135">
        <f>IF(Table2[[#This Row],[CP level]]&gt;9.9,1,0)</f>
        <v>0</v>
      </c>
      <c r="AJ224" s="135">
        <f>Table2[[#This Row],[Column3]]*Table2[[#This Row],[Coating defect survey2]]</f>
        <v>0</v>
      </c>
      <c r="AK224" s="170">
        <v>19.493670000000002</v>
      </c>
    </row>
    <row r="225" spans="1:37" s="100" customFormat="1" ht="15" customHeight="1">
      <c r="A225" s="94">
        <v>3</v>
      </c>
      <c r="B225" s="95" t="s">
        <v>433</v>
      </c>
      <c r="C225" s="96">
        <v>4032201</v>
      </c>
      <c r="D225" s="97" t="s">
        <v>303</v>
      </c>
      <c r="E225" s="98"/>
      <c r="F225" s="98">
        <v>2000</v>
      </c>
      <c r="G225" s="98">
        <f>2013-Table2[[#This Row],[Startup Year]]</f>
        <v>13</v>
      </c>
      <c r="H225" s="98" t="s">
        <v>101</v>
      </c>
      <c r="I225" s="98" t="s">
        <v>108</v>
      </c>
      <c r="J225" s="98" t="s">
        <v>113</v>
      </c>
      <c r="K225" s="98">
        <v>0</v>
      </c>
      <c r="L225" s="98" t="s">
        <v>105</v>
      </c>
      <c r="M225" s="98" t="s">
        <v>105</v>
      </c>
      <c r="N225" s="98" t="s">
        <v>105</v>
      </c>
      <c r="O225" s="98" t="s">
        <v>105</v>
      </c>
      <c r="P225" s="98" t="s">
        <v>105</v>
      </c>
      <c r="Q225" s="98" t="s">
        <v>66</v>
      </c>
      <c r="R225" s="98" t="s">
        <v>72</v>
      </c>
      <c r="S22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5" s="98">
        <v>19.493670000000002</v>
      </c>
      <c r="U225" s="98"/>
      <c r="V225" s="98">
        <f>VLOOKUP(H225,'Ext. Pa'!$B$3:$C$77,2,FALSE)</f>
        <v>1</v>
      </c>
      <c r="W225" s="98">
        <f>VLOOKUP(I225,'Ext. Pa'!$B$3:$C$77,2,FALSE)</f>
        <v>1</v>
      </c>
      <c r="X225" s="98">
        <f>VLOOKUP(J225,'Ext. Pa'!$B$3:$C$77,2,FALSE)</f>
        <v>4</v>
      </c>
      <c r="Y225" s="98">
        <f>VLOOKUP(K225,'Ext. Pa'!$B$3:$C$77,2,FALSE)</f>
        <v>0</v>
      </c>
      <c r="Z225" s="98">
        <f>VLOOKUP(L225,'Ext. Pa'!$B$3:$C$77,2,FALSE)</f>
        <v>5</v>
      </c>
      <c r="AA225" s="98">
        <f>VLOOKUP(M225,'Ext. Pa'!$B$3:$C$77,2,FALSE)</f>
        <v>5</v>
      </c>
      <c r="AB225" s="98">
        <f>VLOOKUP(N225,'Ext. Pa'!$B$3:$C$77,2,FALSE)</f>
        <v>5</v>
      </c>
      <c r="AC225" s="98">
        <f>VLOOKUP(O225,'Ext. Pa'!$B$3:$C$77,2,FALSE)</f>
        <v>5</v>
      </c>
      <c r="AD225" s="98">
        <f>VLOOKUP(P225,'Ext. Pa'!$B$3:$C$77,2,FALSE)</f>
        <v>5</v>
      </c>
      <c r="AE225" s="98">
        <f>VLOOKUP(Q225,'Ext. Pa'!$B$3:$C$77,2,FALSE)</f>
        <v>6</v>
      </c>
      <c r="AF225" s="99">
        <f t="shared" si="12"/>
        <v>3.25</v>
      </c>
      <c r="AG225" s="134">
        <f>Table2[[#This Row],[Coating defect survey10]]</f>
        <v>5</v>
      </c>
      <c r="AH225" s="134">
        <f>Table2[[#This Row],[CP Level within NACE Criteria4]]</f>
        <v>1</v>
      </c>
      <c r="AI225" s="135">
        <f>IF(Table2[[#This Row],[CP level]]&gt;9.9,1,0)</f>
        <v>0</v>
      </c>
      <c r="AJ225" s="135">
        <f>Table2[[#This Row],[Column3]]*Table2[[#This Row],[Coating defect survey2]]</f>
        <v>0</v>
      </c>
      <c r="AK225" s="170">
        <v>19.493670000000002</v>
      </c>
    </row>
    <row r="226" spans="1:37" s="100" customFormat="1">
      <c r="A226" s="128">
        <v>3</v>
      </c>
      <c r="B226" s="129" t="s">
        <v>753</v>
      </c>
      <c r="C226" s="96">
        <v>330800104</v>
      </c>
      <c r="D226" s="97" t="s">
        <v>304</v>
      </c>
      <c r="E226" s="130"/>
      <c r="F226" s="130">
        <v>2000</v>
      </c>
      <c r="G226" s="130">
        <f>2013-Table2[[#This Row],[Startup Year]]</f>
        <v>13</v>
      </c>
      <c r="H226" s="130" t="s">
        <v>101</v>
      </c>
      <c r="I226" s="130" t="s">
        <v>108</v>
      </c>
      <c r="J226" s="130" t="s">
        <v>113</v>
      </c>
      <c r="K226" s="98">
        <v>0</v>
      </c>
      <c r="L226" s="130" t="s">
        <v>105</v>
      </c>
      <c r="M226" s="130" t="s">
        <v>105</v>
      </c>
      <c r="N226" s="130" t="s">
        <v>105</v>
      </c>
      <c r="O226" s="130" t="s">
        <v>143</v>
      </c>
      <c r="P226" s="130" t="s">
        <v>105</v>
      </c>
      <c r="Q226" s="130" t="s">
        <v>66</v>
      </c>
      <c r="R226" s="130" t="s">
        <v>72</v>
      </c>
      <c r="S22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6" s="131">
        <v>19.493670000000002</v>
      </c>
      <c r="U226" s="130"/>
      <c r="V226" s="131">
        <f>VLOOKUP(H226,'Ext. Pa'!$B$3:$C$77,2,FALSE)</f>
        <v>1</v>
      </c>
      <c r="W226" s="130">
        <f>VLOOKUP(I226,'Ext. Pa'!$B$3:$C$77,2,FALSE)</f>
        <v>1</v>
      </c>
      <c r="X226" s="130">
        <f>VLOOKUP(J226,'Ext. Pa'!$B$3:$C$77,2,FALSE)</f>
        <v>4</v>
      </c>
      <c r="Y226" s="130">
        <f>VLOOKUP(K226,'Ext. Pa'!$B$3:$C$77,2,FALSE)</f>
        <v>0</v>
      </c>
      <c r="Z226" s="130">
        <f>VLOOKUP(L226,'Ext. Pa'!$B$3:$C$77,2,FALSE)</f>
        <v>5</v>
      </c>
      <c r="AA226" s="130">
        <f>VLOOKUP(M226,'Ext. Pa'!$B$3:$C$77,2,FALSE)</f>
        <v>5</v>
      </c>
      <c r="AB226" s="130">
        <f>VLOOKUP(N226,'Ext. Pa'!$B$3:$C$77,2,FALSE)</f>
        <v>5</v>
      </c>
      <c r="AC226" s="130">
        <f>VLOOKUP(O226,'Ext. Pa'!$B$3:$C$77,2,FALSE)</f>
        <v>1</v>
      </c>
      <c r="AD226" s="130">
        <f>VLOOKUP(P226,'Ext. Pa'!$B$3:$C$77,2,FALSE)</f>
        <v>5</v>
      </c>
      <c r="AE226" s="130">
        <f>VLOOKUP(Q226,'Ext. Pa'!$B$3:$C$77,2,FALSE)</f>
        <v>6</v>
      </c>
      <c r="AF226" s="132">
        <f>IF(G226&lt;40,(G226)/4,40)</f>
        <v>3.25</v>
      </c>
      <c r="AG226" s="134">
        <f>Table2[[#This Row],[Coating defect survey10]]</f>
        <v>1</v>
      </c>
      <c r="AH226" s="134">
        <f>Table2[[#This Row],[CP Level within NACE Criteria4]]</f>
        <v>1</v>
      </c>
      <c r="AI226" s="135">
        <f>IF(Table2[[#This Row],[CP level]]&gt;9.9,1,0)</f>
        <v>0</v>
      </c>
      <c r="AJ226" s="135">
        <f>Table2[[#This Row],[Column3]]*Table2[[#This Row],[Coating defect survey2]]</f>
        <v>0</v>
      </c>
      <c r="AK226" s="170">
        <v>19.493670000000002</v>
      </c>
    </row>
    <row r="227" spans="1:37" s="100" customFormat="1">
      <c r="A227" s="179">
        <v>3</v>
      </c>
      <c r="B227" s="180" t="s">
        <v>785</v>
      </c>
      <c r="C227" s="181">
        <v>33081004</v>
      </c>
      <c r="D227" s="182" t="s">
        <v>304</v>
      </c>
      <c r="E227" s="183"/>
      <c r="F227" s="183">
        <v>2000</v>
      </c>
      <c r="G227" s="183">
        <f>2013-Table2[[#This Row],[Startup Year]]</f>
        <v>13</v>
      </c>
      <c r="H227" s="183" t="s">
        <v>101</v>
      </c>
      <c r="I227" s="183" t="s">
        <v>108</v>
      </c>
      <c r="J227" s="183" t="s">
        <v>113</v>
      </c>
      <c r="K227" s="98">
        <v>0</v>
      </c>
      <c r="L227" s="183" t="s">
        <v>105</v>
      </c>
      <c r="M227" s="183" t="s">
        <v>105</v>
      </c>
      <c r="N227" s="183" t="s">
        <v>105</v>
      </c>
      <c r="O227" s="183" t="s">
        <v>105</v>
      </c>
      <c r="P227" s="183" t="s">
        <v>105</v>
      </c>
      <c r="Q227" s="183" t="s">
        <v>66</v>
      </c>
      <c r="R227" s="183" t="s">
        <v>72</v>
      </c>
      <c r="S227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7" s="184">
        <v>19.493670000000002</v>
      </c>
      <c r="U227" s="183"/>
      <c r="V227" s="184">
        <f>VLOOKUP(H227,'Ext. Pa'!$B$3:$C$77,2,FALSE)</f>
        <v>1</v>
      </c>
      <c r="W227" s="183">
        <f>VLOOKUP(I227,'Ext. Pa'!$B$3:$C$77,2,FALSE)</f>
        <v>1</v>
      </c>
      <c r="X227" s="183">
        <f>VLOOKUP(J227,'Ext. Pa'!$B$3:$C$77,2,FALSE)</f>
        <v>4</v>
      </c>
      <c r="Y227" s="183">
        <f>VLOOKUP(K227,'Ext. Pa'!$B$3:$C$77,2,FALSE)</f>
        <v>0</v>
      </c>
      <c r="Z227" s="183">
        <f>VLOOKUP(L227,'Ext. Pa'!$B$3:$C$77,2,FALSE)</f>
        <v>5</v>
      </c>
      <c r="AA227" s="183">
        <f>VLOOKUP(M227,'Ext. Pa'!$B$3:$C$77,2,FALSE)</f>
        <v>5</v>
      </c>
      <c r="AB227" s="183">
        <f>VLOOKUP(N227,'Ext. Pa'!$B$3:$C$77,2,FALSE)</f>
        <v>5</v>
      </c>
      <c r="AC227" s="183">
        <f>VLOOKUP(O227,'Ext. Pa'!$B$3:$C$77,2,FALSE)</f>
        <v>5</v>
      </c>
      <c r="AD227" s="183">
        <f>VLOOKUP(P227,'Ext. Pa'!$B$3:$C$77,2,FALSE)</f>
        <v>5</v>
      </c>
      <c r="AE227" s="183">
        <f>VLOOKUP(Q227,'Ext. Pa'!$B$3:$C$77,2,FALSE)</f>
        <v>6</v>
      </c>
      <c r="AF227" s="185">
        <f>IF(G227&lt;40,(G227)/4,40)</f>
        <v>3.25</v>
      </c>
      <c r="AG227" s="134">
        <f>Table2[[#This Row],[Coating defect survey10]]</f>
        <v>5</v>
      </c>
      <c r="AH227" s="134">
        <f>Table2[[#This Row],[CP Level within NACE Criteria4]]</f>
        <v>1</v>
      </c>
      <c r="AI227" s="135">
        <f>IF(Table2[[#This Row],[CP level]]&gt;9.9,1,0)</f>
        <v>0</v>
      </c>
      <c r="AJ227" s="135">
        <f>Table2[[#This Row],[Column3]]*Table2[[#This Row],[Coating defect survey2]]</f>
        <v>0</v>
      </c>
      <c r="AK227" s="170">
        <v>19.493670000000002</v>
      </c>
    </row>
    <row r="228" spans="1:37" s="100" customFormat="1">
      <c r="A228" s="94">
        <v>3</v>
      </c>
      <c r="B228" s="95" t="s">
        <v>434</v>
      </c>
      <c r="C228" s="96">
        <v>33083010</v>
      </c>
      <c r="D228" s="97" t="s">
        <v>305</v>
      </c>
      <c r="E228" s="98"/>
      <c r="F228" s="98">
        <v>2000</v>
      </c>
      <c r="G228" s="98">
        <f>2013-Table2[[#This Row],[Startup Year]]</f>
        <v>13</v>
      </c>
      <c r="H228" s="98" t="s">
        <v>101</v>
      </c>
      <c r="I228" s="98" t="s">
        <v>108</v>
      </c>
      <c r="J228" s="98" t="s">
        <v>113</v>
      </c>
      <c r="K228" s="98">
        <v>0</v>
      </c>
      <c r="L228" s="98" t="s">
        <v>105</v>
      </c>
      <c r="M228" s="98" t="s">
        <v>105</v>
      </c>
      <c r="N228" s="98" t="s">
        <v>105</v>
      </c>
      <c r="O228" s="98" t="s">
        <v>105</v>
      </c>
      <c r="P228" s="98" t="s">
        <v>105</v>
      </c>
      <c r="Q228" s="98" t="s">
        <v>66</v>
      </c>
      <c r="R228" s="98" t="s">
        <v>72</v>
      </c>
      <c r="S22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8" s="98">
        <v>19.493670000000002</v>
      </c>
      <c r="U228" s="98"/>
      <c r="V228" s="98">
        <f>VLOOKUP(H228,'Ext. Pa'!$B$3:$C$77,2,FALSE)</f>
        <v>1</v>
      </c>
      <c r="W228" s="98">
        <f>VLOOKUP(I228,'Ext. Pa'!$B$3:$C$77,2,FALSE)</f>
        <v>1</v>
      </c>
      <c r="X228" s="98">
        <f>VLOOKUP(J228,'Ext. Pa'!$B$3:$C$77,2,FALSE)</f>
        <v>4</v>
      </c>
      <c r="Y228" s="98">
        <f>VLOOKUP(K228,'Ext. Pa'!$B$3:$C$77,2,FALSE)</f>
        <v>0</v>
      </c>
      <c r="Z228" s="98">
        <f>VLOOKUP(L228,'Ext. Pa'!$B$3:$C$77,2,FALSE)</f>
        <v>5</v>
      </c>
      <c r="AA228" s="98">
        <f>VLOOKUP(M228,'Ext. Pa'!$B$3:$C$77,2,FALSE)</f>
        <v>5</v>
      </c>
      <c r="AB228" s="98">
        <f>VLOOKUP(N228,'Ext. Pa'!$B$3:$C$77,2,FALSE)</f>
        <v>5</v>
      </c>
      <c r="AC228" s="98">
        <f>VLOOKUP(O228,'Ext. Pa'!$B$3:$C$77,2,FALSE)</f>
        <v>5</v>
      </c>
      <c r="AD228" s="98">
        <f>VLOOKUP(P228,'Ext. Pa'!$B$3:$C$77,2,FALSE)</f>
        <v>5</v>
      </c>
      <c r="AE228" s="98">
        <f>VLOOKUP(Q228,'Ext. Pa'!$B$3:$C$77,2,FALSE)</f>
        <v>6</v>
      </c>
      <c r="AF228" s="99">
        <f t="shared" si="12"/>
        <v>3.25</v>
      </c>
      <c r="AG228" s="134">
        <f>Table2[[#This Row],[Coating defect survey10]]</f>
        <v>5</v>
      </c>
      <c r="AH228" s="134">
        <f>Table2[[#This Row],[CP Level within NACE Criteria4]]</f>
        <v>1</v>
      </c>
      <c r="AI228" s="135">
        <f>IF(Table2[[#This Row],[CP level]]&gt;9.9,1,0)</f>
        <v>0</v>
      </c>
      <c r="AJ228" s="135">
        <f>Table2[[#This Row],[Column3]]*Table2[[#This Row],[Coating defect survey2]]</f>
        <v>0</v>
      </c>
      <c r="AK228" s="170">
        <v>19.493670000000002</v>
      </c>
    </row>
    <row r="229" spans="1:37" s="100" customFormat="1">
      <c r="A229" s="94">
        <v>3</v>
      </c>
      <c r="B229" s="95" t="s">
        <v>435</v>
      </c>
      <c r="C229" s="96">
        <v>56010101</v>
      </c>
      <c r="D229" s="97" t="s">
        <v>306</v>
      </c>
      <c r="E229" s="98"/>
      <c r="F229" s="98">
        <v>2000</v>
      </c>
      <c r="G229" s="98">
        <f>2013-Table2[[#This Row],[Startup Year]]</f>
        <v>13</v>
      </c>
      <c r="H229" s="98" t="s">
        <v>101</v>
      </c>
      <c r="I229" s="98" t="s">
        <v>108</v>
      </c>
      <c r="J229" s="98" t="s">
        <v>113</v>
      </c>
      <c r="K229" s="98">
        <v>0</v>
      </c>
      <c r="L229" s="98" t="s">
        <v>105</v>
      </c>
      <c r="M229" s="98" t="s">
        <v>105</v>
      </c>
      <c r="N229" s="98" t="s">
        <v>105</v>
      </c>
      <c r="O229" s="98" t="s">
        <v>105</v>
      </c>
      <c r="P229" s="98" t="s">
        <v>105</v>
      </c>
      <c r="Q229" s="98" t="s">
        <v>66</v>
      </c>
      <c r="R229" s="98" t="s">
        <v>72</v>
      </c>
      <c r="S22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29" s="98">
        <v>19.493670000000002</v>
      </c>
      <c r="U229" s="98"/>
      <c r="V229" s="98">
        <f>VLOOKUP(H229,'Ext. Pa'!$B$3:$C$77,2,FALSE)</f>
        <v>1</v>
      </c>
      <c r="W229" s="98">
        <f>VLOOKUP(I229,'Ext. Pa'!$B$3:$C$77,2,FALSE)</f>
        <v>1</v>
      </c>
      <c r="X229" s="98">
        <f>VLOOKUP(J229,'Ext. Pa'!$B$3:$C$77,2,FALSE)</f>
        <v>4</v>
      </c>
      <c r="Y229" s="98">
        <f>VLOOKUP(K229,'Ext. Pa'!$B$3:$C$77,2,FALSE)</f>
        <v>0</v>
      </c>
      <c r="Z229" s="98">
        <f>VLOOKUP(L229,'Ext. Pa'!$B$3:$C$77,2,FALSE)</f>
        <v>5</v>
      </c>
      <c r="AA229" s="98">
        <f>VLOOKUP(M229,'Ext. Pa'!$B$3:$C$77,2,FALSE)</f>
        <v>5</v>
      </c>
      <c r="AB229" s="98">
        <f>VLOOKUP(N229,'Ext. Pa'!$B$3:$C$77,2,FALSE)</f>
        <v>5</v>
      </c>
      <c r="AC229" s="98">
        <f>VLOOKUP(O229,'Ext. Pa'!$B$3:$C$77,2,FALSE)</f>
        <v>5</v>
      </c>
      <c r="AD229" s="98">
        <f>VLOOKUP(P229,'Ext. Pa'!$B$3:$C$77,2,FALSE)</f>
        <v>5</v>
      </c>
      <c r="AE229" s="98">
        <f>VLOOKUP(Q229,'Ext. Pa'!$B$3:$C$77,2,FALSE)</f>
        <v>6</v>
      </c>
      <c r="AF229" s="99">
        <f t="shared" si="12"/>
        <v>3.25</v>
      </c>
      <c r="AG229" s="134">
        <f>Table2[[#This Row],[Coating defect survey10]]</f>
        <v>5</v>
      </c>
      <c r="AH229" s="134">
        <f>Table2[[#This Row],[CP Level within NACE Criteria4]]</f>
        <v>1</v>
      </c>
      <c r="AI229" s="135">
        <f>IF(Table2[[#This Row],[CP level]]&gt;9.9,1,0)</f>
        <v>0</v>
      </c>
      <c r="AJ229" s="135">
        <f>Table2[[#This Row],[Column3]]*Table2[[#This Row],[Coating defect survey2]]</f>
        <v>0</v>
      </c>
      <c r="AK229" s="170">
        <v>19.493670000000002</v>
      </c>
    </row>
    <row r="230" spans="1:37" s="100" customFormat="1">
      <c r="A230" s="94">
        <v>3</v>
      </c>
      <c r="B230" s="95" t="s">
        <v>436</v>
      </c>
      <c r="C230" s="96">
        <v>56010102</v>
      </c>
      <c r="D230" s="97" t="s">
        <v>307</v>
      </c>
      <c r="E230" s="98"/>
      <c r="F230" s="98">
        <v>2000</v>
      </c>
      <c r="G230" s="98">
        <f>2013-Table2[[#This Row],[Startup Year]]</f>
        <v>13</v>
      </c>
      <c r="H230" s="98" t="s">
        <v>101</v>
      </c>
      <c r="I230" s="98" t="s">
        <v>108</v>
      </c>
      <c r="J230" s="98" t="s">
        <v>113</v>
      </c>
      <c r="K230" s="98">
        <v>0</v>
      </c>
      <c r="L230" s="98" t="s">
        <v>105</v>
      </c>
      <c r="M230" s="98" t="s">
        <v>105</v>
      </c>
      <c r="N230" s="98" t="s">
        <v>105</v>
      </c>
      <c r="O230" s="98" t="s">
        <v>105</v>
      </c>
      <c r="P230" s="98" t="s">
        <v>105</v>
      </c>
      <c r="Q230" s="98" t="s">
        <v>66</v>
      </c>
      <c r="R230" s="98" t="s">
        <v>72</v>
      </c>
      <c r="S23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0" s="98">
        <v>19.493670000000002</v>
      </c>
      <c r="U230" s="98"/>
      <c r="V230" s="98">
        <f>VLOOKUP(H230,'Ext. Pa'!$B$3:$C$77,2,FALSE)</f>
        <v>1</v>
      </c>
      <c r="W230" s="98">
        <f>VLOOKUP(I230,'Ext. Pa'!$B$3:$C$77,2,FALSE)</f>
        <v>1</v>
      </c>
      <c r="X230" s="98">
        <f>VLOOKUP(J230,'Ext. Pa'!$B$3:$C$77,2,FALSE)</f>
        <v>4</v>
      </c>
      <c r="Y230" s="98">
        <f>VLOOKUP(K230,'Ext. Pa'!$B$3:$C$77,2,FALSE)</f>
        <v>0</v>
      </c>
      <c r="Z230" s="98">
        <f>VLOOKUP(L230,'Ext. Pa'!$B$3:$C$77,2,FALSE)</f>
        <v>5</v>
      </c>
      <c r="AA230" s="98">
        <f>VLOOKUP(M230,'Ext. Pa'!$B$3:$C$77,2,FALSE)</f>
        <v>5</v>
      </c>
      <c r="AB230" s="98">
        <f>VLOOKUP(N230,'Ext. Pa'!$B$3:$C$77,2,FALSE)</f>
        <v>5</v>
      </c>
      <c r="AC230" s="98">
        <f>VLOOKUP(O230,'Ext. Pa'!$B$3:$C$77,2,FALSE)</f>
        <v>5</v>
      </c>
      <c r="AD230" s="98">
        <f>VLOOKUP(P230,'Ext. Pa'!$B$3:$C$77,2,FALSE)</f>
        <v>5</v>
      </c>
      <c r="AE230" s="98">
        <f>VLOOKUP(Q230,'Ext. Pa'!$B$3:$C$77,2,FALSE)</f>
        <v>6</v>
      </c>
      <c r="AF230" s="99">
        <f t="shared" si="12"/>
        <v>3.25</v>
      </c>
      <c r="AG230" s="134">
        <f>Table2[[#This Row],[Coating defect survey10]]</f>
        <v>5</v>
      </c>
      <c r="AH230" s="134">
        <f>Table2[[#This Row],[CP Level within NACE Criteria4]]</f>
        <v>1</v>
      </c>
      <c r="AI230" s="135">
        <f>IF(Table2[[#This Row],[CP level]]&gt;9.9,1,0)</f>
        <v>0</v>
      </c>
      <c r="AJ230" s="135">
        <f>Table2[[#This Row],[Column3]]*Table2[[#This Row],[Coating defect survey2]]</f>
        <v>0</v>
      </c>
      <c r="AK230" s="170">
        <v>19.493670000000002</v>
      </c>
    </row>
    <row r="231" spans="1:37" s="100" customFormat="1">
      <c r="A231" s="94">
        <v>3</v>
      </c>
      <c r="B231" s="95" t="s">
        <v>437</v>
      </c>
      <c r="C231" s="96">
        <v>56010103</v>
      </c>
      <c r="D231" s="97" t="s">
        <v>308</v>
      </c>
      <c r="E231" s="98"/>
      <c r="F231" s="98">
        <v>2000</v>
      </c>
      <c r="G231" s="98">
        <f>2013-Table2[[#This Row],[Startup Year]]</f>
        <v>13</v>
      </c>
      <c r="H231" s="98" t="s">
        <v>101</v>
      </c>
      <c r="I231" s="98" t="s">
        <v>108</v>
      </c>
      <c r="J231" s="98" t="s">
        <v>113</v>
      </c>
      <c r="K231" s="98">
        <v>0</v>
      </c>
      <c r="L231" s="98" t="s">
        <v>105</v>
      </c>
      <c r="M231" s="98" t="s">
        <v>105</v>
      </c>
      <c r="N231" s="98" t="s">
        <v>105</v>
      </c>
      <c r="O231" s="98" t="s">
        <v>105</v>
      </c>
      <c r="P231" s="98" t="s">
        <v>105</v>
      </c>
      <c r="Q231" s="98" t="s">
        <v>66</v>
      </c>
      <c r="R231" s="98" t="s">
        <v>72</v>
      </c>
      <c r="S23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1" s="98">
        <v>19.493670000000002</v>
      </c>
      <c r="U231" s="98"/>
      <c r="V231" s="98">
        <f>VLOOKUP(H231,'Ext. Pa'!$B$3:$C$77,2,FALSE)</f>
        <v>1</v>
      </c>
      <c r="W231" s="98">
        <f>VLOOKUP(I231,'Ext. Pa'!$B$3:$C$77,2,FALSE)</f>
        <v>1</v>
      </c>
      <c r="X231" s="98">
        <f>VLOOKUP(J231,'Ext. Pa'!$B$3:$C$77,2,FALSE)</f>
        <v>4</v>
      </c>
      <c r="Y231" s="98">
        <f>VLOOKUP(K231,'Ext. Pa'!$B$3:$C$77,2,FALSE)</f>
        <v>0</v>
      </c>
      <c r="Z231" s="98">
        <f>VLOOKUP(L231,'Ext. Pa'!$B$3:$C$77,2,FALSE)</f>
        <v>5</v>
      </c>
      <c r="AA231" s="98">
        <f>VLOOKUP(M231,'Ext. Pa'!$B$3:$C$77,2,FALSE)</f>
        <v>5</v>
      </c>
      <c r="AB231" s="98">
        <f>VLOOKUP(N231,'Ext. Pa'!$B$3:$C$77,2,FALSE)</f>
        <v>5</v>
      </c>
      <c r="AC231" s="98">
        <f>VLOOKUP(O231,'Ext. Pa'!$B$3:$C$77,2,FALSE)</f>
        <v>5</v>
      </c>
      <c r="AD231" s="98">
        <f>VLOOKUP(P231,'Ext. Pa'!$B$3:$C$77,2,FALSE)</f>
        <v>5</v>
      </c>
      <c r="AE231" s="98">
        <f>VLOOKUP(Q231,'Ext. Pa'!$B$3:$C$77,2,FALSE)</f>
        <v>6</v>
      </c>
      <c r="AF231" s="99">
        <f t="shared" si="12"/>
        <v>3.25</v>
      </c>
      <c r="AG231" s="134">
        <f>Table2[[#This Row],[Coating defect survey10]]</f>
        <v>5</v>
      </c>
      <c r="AH231" s="134">
        <f>Table2[[#This Row],[CP Level within NACE Criteria4]]</f>
        <v>1</v>
      </c>
      <c r="AI231" s="135">
        <f>IF(Table2[[#This Row],[CP level]]&gt;9.9,1,0)</f>
        <v>0</v>
      </c>
      <c r="AJ231" s="135">
        <f>Table2[[#This Row],[Column3]]*Table2[[#This Row],[Coating defect survey2]]</f>
        <v>0</v>
      </c>
      <c r="AK231" s="170">
        <v>19.493670000000002</v>
      </c>
    </row>
    <row r="232" spans="1:37" s="100" customFormat="1">
      <c r="A232" s="94">
        <v>3</v>
      </c>
      <c r="B232" s="95" t="s">
        <v>438</v>
      </c>
      <c r="C232" s="96">
        <v>330820005</v>
      </c>
      <c r="D232" s="97" t="s">
        <v>309</v>
      </c>
      <c r="E232" s="98"/>
      <c r="F232" s="98">
        <v>2009</v>
      </c>
      <c r="G232" s="98">
        <f>2013-Table2[[#This Row],[Startup Year]]</f>
        <v>4</v>
      </c>
      <c r="H232" s="98" t="s">
        <v>101</v>
      </c>
      <c r="I232" s="98" t="s">
        <v>108</v>
      </c>
      <c r="J232" s="98" t="s">
        <v>118</v>
      </c>
      <c r="K232" s="98">
        <v>0</v>
      </c>
      <c r="L232" s="98" t="s">
        <v>105</v>
      </c>
      <c r="M232" s="98" t="s">
        <v>129</v>
      </c>
      <c r="N232" s="98" t="s">
        <v>129</v>
      </c>
      <c r="O232" s="98" t="s">
        <v>105</v>
      </c>
      <c r="P232" s="98" t="s">
        <v>105</v>
      </c>
      <c r="Q232" s="98" t="s">
        <v>66</v>
      </c>
      <c r="R232" s="98" t="s">
        <v>72</v>
      </c>
      <c r="S23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13.797468354430379</v>
      </c>
      <c r="T232" s="98">
        <v>19.493670000000002</v>
      </c>
      <c r="U232" s="98"/>
      <c r="V232" s="98">
        <f>VLOOKUP(H232,'Ext. Pa'!$B$3:$C$77,2,FALSE)</f>
        <v>1</v>
      </c>
      <c r="W232" s="98">
        <f>VLOOKUP(I232,'Ext. Pa'!$B$3:$C$77,2,FALSE)</f>
        <v>1</v>
      </c>
      <c r="X232" s="98">
        <f>VLOOKUP(J232,'Ext. Pa'!$B$3:$C$77,2,FALSE)</f>
        <v>0</v>
      </c>
      <c r="Y232" s="98">
        <f>VLOOKUP(K232,'Ext. Pa'!$B$3:$C$77,2,FALSE)</f>
        <v>0</v>
      </c>
      <c r="Z232" s="98">
        <f>VLOOKUP(L232,'Ext. Pa'!$B$3:$C$77,2,FALSE)</f>
        <v>5</v>
      </c>
      <c r="AA232" s="98">
        <f>VLOOKUP(M232,'Ext. Pa'!$B$3:$C$77,2,FALSE)</f>
        <v>1</v>
      </c>
      <c r="AB232" s="98">
        <f>VLOOKUP(N232,'Ext. Pa'!$B$3:$C$77,2,FALSE)</f>
        <v>1</v>
      </c>
      <c r="AC232" s="98">
        <f>VLOOKUP(O232,'Ext. Pa'!$B$3:$C$77,2,FALSE)</f>
        <v>5</v>
      </c>
      <c r="AD232" s="98">
        <f>VLOOKUP(P232,'Ext. Pa'!$B$3:$C$77,2,FALSE)</f>
        <v>5</v>
      </c>
      <c r="AE232" s="98">
        <f>VLOOKUP(Q232,'Ext. Pa'!$B$3:$C$77,2,FALSE)</f>
        <v>6</v>
      </c>
      <c r="AF232" s="99">
        <f t="shared" si="12"/>
        <v>1</v>
      </c>
      <c r="AG232" s="134">
        <f>Table2[[#This Row],[Coating defect survey10]]</f>
        <v>5</v>
      </c>
      <c r="AH232" s="134">
        <f>Table2[[#This Row],[CP Level within NACE Criteria4]]</f>
        <v>1</v>
      </c>
      <c r="AI232" s="135">
        <f>IF(Table2[[#This Row],[CP level]]&gt;9.9,1,0)</f>
        <v>0</v>
      </c>
      <c r="AJ232" s="135">
        <f>Table2[[#This Row],[Column3]]*Table2[[#This Row],[Coating defect survey2]]</f>
        <v>0</v>
      </c>
      <c r="AK232" s="170">
        <v>19.493670000000002</v>
      </c>
    </row>
    <row r="233" spans="1:37" s="100" customFormat="1">
      <c r="A233" s="128">
        <v>3</v>
      </c>
      <c r="B233" s="129" t="s">
        <v>766</v>
      </c>
      <c r="C233" s="96">
        <v>330900001</v>
      </c>
      <c r="D233" s="97" t="s">
        <v>767</v>
      </c>
      <c r="E233" s="130"/>
      <c r="F233" s="130">
        <v>2000</v>
      </c>
      <c r="G233" s="130">
        <f>2013-Table2[[#This Row],[Startup Year]]</f>
        <v>13</v>
      </c>
      <c r="H233" s="130" t="s">
        <v>101</v>
      </c>
      <c r="I233" s="130" t="s">
        <v>108</v>
      </c>
      <c r="J233" s="130" t="s">
        <v>113</v>
      </c>
      <c r="K233" s="98">
        <v>0</v>
      </c>
      <c r="L233" s="130" t="s">
        <v>105</v>
      </c>
      <c r="M233" s="130" t="s">
        <v>105</v>
      </c>
      <c r="N233" s="130" t="s">
        <v>105</v>
      </c>
      <c r="O233" s="130" t="s">
        <v>143</v>
      </c>
      <c r="P233" s="130" t="s">
        <v>105</v>
      </c>
      <c r="Q233" s="130" t="s">
        <v>66</v>
      </c>
      <c r="R233" s="130" t="s">
        <v>72</v>
      </c>
      <c r="S23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3" s="131">
        <v>19.493670000000002</v>
      </c>
      <c r="U233" s="130"/>
      <c r="V233" s="131">
        <f>VLOOKUP(H233,'Ext. Pa'!$B$3:$C$77,2,FALSE)</f>
        <v>1</v>
      </c>
      <c r="W233" s="130">
        <f>VLOOKUP(I233,'Ext. Pa'!$B$3:$C$77,2,FALSE)</f>
        <v>1</v>
      </c>
      <c r="X233" s="130">
        <f>VLOOKUP(J233,'Ext. Pa'!$B$3:$C$77,2,FALSE)</f>
        <v>4</v>
      </c>
      <c r="Y233" s="130">
        <f>VLOOKUP(K233,'Ext. Pa'!$B$3:$C$77,2,FALSE)</f>
        <v>0</v>
      </c>
      <c r="Z233" s="130">
        <f>VLOOKUP(L233,'Ext. Pa'!$B$3:$C$77,2,FALSE)</f>
        <v>5</v>
      </c>
      <c r="AA233" s="130">
        <f>VLOOKUP(M233,'Ext. Pa'!$B$3:$C$77,2,FALSE)</f>
        <v>5</v>
      </c>
      <c r="AB233" s="130">
        <f>VLOOKUP(N233,'Ext. Pa'!$B$3:$C$77,2,FALSE)</f>
        <v>5</v>
      </c>
      <c r="AC233" s="130">
        <f>VLOOKUP(O233,'Ext. Pa'!$B$3:$C$77,2,FALSE)</f>
        <v>1</v>
      </c>
      <c r="AD233" s="130">
        <f>VLOOKUP(P233,'Ext. Pa'!$B$3:$C$77,2,FALSE)</f>
        <v>5</v>
      </c>
      <c r="AE233" s="130">
        <f>VLOOKUP(Q233,'Ext. Pa'!$B$3:$C$77,2,FALSE)</f>
        <v>6</v>
      </c>
      <c r="AF233" s="132">
        <f>IF(G233&lt;40,(G233)/4,40)</f>
        <v>3.25</v>
      </c>
      <c r="AG233" s="134">
        <f>Table2[[#This Row],[Coating defect survey10]]</f>
        <v>1</v>
      </c>
      <c r="AH233" s="134">
        <f>Table2[[#This Row],[CP Level within NACE Criteria4]]</f>
        <v>1</v>
      </c>
      <c r="AI233" s="135">
        <f>IF(Table2[[#This Row],[CP level]]&gt;9.9,1,0)</f>
        <v>0</v>
      </c>
      <c r="AJ233" s="135">
        <f>Table2[[#This Row],[Column3]]*Table2[[#This Row],[Coating defect survey2]]</f>
        <v>0</v>
      </c>
      <c r="AK233" s="170">
        <v>19.493670000000002</v>
      </c>
    </row>
    <row r="234" spans="1:37" s="100" customFormat="1">
      <c r="A234" s="94">
        <v>3</v>
      </c>
      <c r="B234" s="95" t="s">
        <v>439</v>
      </c>
      <c r="C234" s="96">
        <v>330901001</v>
      </c>
      <c r="D234" s="97" t="s">
        <v>310</v>
      </c>
      <c r="E234" s="98"/>
      <c r="F234" s="98">
        <v>2000</v>
      </c>
      <c r="G234" s="98">
        <f>2013-Table2[[#This Row],[Startup Year]]</f>
        <v>13</v>
      </c>
      <c r="H234" s="98" t="s">
        <v>101</v>
      </c>
      <c r="I234" s="98" t="s">
        <v>108</v>
      </c>
      <c r="J234" s="98" t="s">
        <v>113</v>
      </c>
      <c r="K234" s="98">
        <v>0</v>
      </c>
      <c r="L234" s="98" t="s">
        <v>105</v>
      </c>
      <c r="M234" s="98" t="s">
        <v>105</v>
      </c>
      <c r="N234" s="98" t="s">
        <v>105</v>
      </c>
      <c r="O234" s="98" t="s">
        <v>143</v>
      </c>
      <c r="P234" s="98" t="s">
        <v>105</v>
      </c>
      <c r="Q234" s="98" t="s">
        <v>66</v>
      </c>
      <c r="R234" s="98" t="s">
        <v>72</v>
      </c>
      <c r="S23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4" s="98">
        <v>19.493670000000002</v>
      </c>
      <c r="U234" s="98"/>
      <c r="V234" s="98">
        <f>VLOOKUP(H234,'Ext. Pa'!$B$3:$C$77,2,FALSE)</f>
        <v>1</v>
      </c>
      <c r="W234" s="98">
        <f>VLOOKUP(I234,'Ext. Pa'!$B$3:$C$77,2,FALSE)</f>
        <v>1</v>
      </c>
      <c r="X234" s="98">
        <f>VLOOKUP(J234,'Ext. Pa'!$B$3:$C$77,2,FALSE)</f>
        <v>4</v>
      </c>
      <c r="Y234" s="98">
        <f>VLOOKUP(K234,'Ext. Pa'!$B$3:$C$77,2,FALSE)</f>
        <v>0</v>
      </c>
      <c r="Z234" s="98">
        <f>VLOOKUP(L234,'Ext. Pa'!$B$3:$C$77,2,FALSE)</f>
        <v>5</v>
      </c>
      <c r="AA234" s="98">
        <f>VLOOKUP(M234,'Ext. Pa'!$B$3:$C$77,2,FALSE)</f>
        <v>5</v>
      </c>
      <c r="AB234" s="98">
        <f>VLOOKUP(N234,'Ext. Pa'!$B$3:$C$77,2,FALSE)</f>
        <v>5</v>
      </c>
      <c r="AC234" s="98">
        <f>VLOOKUP(O234,'Ext. Pa'!$B$3:$C$77,2,FALSE)</f>
        <v>1</v>
      </c>
      <c r="AD234" s="98">
        <f>VLOOKUP(P234,'Ext. Pa'!$B$3:$C$77,2,FALSE)</f>
        <v>5</v>
      </c>
      <c r="AE234" s="98">
        <f>VLOOKUP(Q234,'Ext. Pa'!$B$3:$C$77,2,FALSE)</f>
        <v>6</v>
      </c>
      <c r="AF234" s="99">
        <f t="shared" si="12"/>
        <v>3.25</v>
      </c>
      <c r="AG234" s="134">
        <f>Table2[[#This Row],[Coating defect survey10]]</f>
        <v>1</v>
      </c>
      <c r="AH234" s="134">
        <f>Table2[[#This Row],[CP Level within NACE Criteria4]]</f>
        <v>1</v>
      </c>
      <c r="AI234" s="135">
        <f>IF(Table2[[#This Row],[CP level]]&gt;9.9,1,0)</f>
        <v>0</v>
      </c>
      <c r="AJ234" s="135">
        <f>Table2[[#This Row],[Column3]]*Table2[[#This Row],[Coating defect survey2]]</f>
        <v>0</v>
      </c>
      <c r="AK234" s="170">
        <v>19.493670000000002</v>
      </c>
    </row>
    <row r="235" spans="1:37" s="100" customFormat="1">
      <c r="A235" s="128">
        <v>3</v>
      </c>
      <c r="B235" s="95" t="s">
        <v>756</v>
      </c>
      <c r="C235" s="96">
        <v>330901002</v>
      </c>
      <c r="D235" s="97" t="s">
        <v>757</v>
      </c>
      <c r="E235" s="130"/>
      <c r="F235" s="130">
        <v>2000</v>
      </c>
      <c r="G235" s="130">
        <f>2013-Table2[[#This Row],[Startup Year]]</f>
        <v>13</v>
      </c>
      <c r="H235" s="130" t="s">
        <v>101</v>
      </c>
      <c r="I235" s="130" t="s">
        <v>108</v>
      </c>
      <c r="J235" s="130" t="s">
        <v>113</v>
      </c>
      <c r="K235" s="98">
        <v>0</v>
      </c>
      <c r="L235" s="130" t="s">
        <v>105</v>
      </c>
      <c r="M235" s="130" t="s">
        <v>105</v>
      </c>
      <c r="N235" s="130" t="s">
        <v>105</v>
      </c>
      <c r="O235" s="130" t="s">
        <v>143</v>
      </c>
      <c r="P235" s="130" t="s">
        <v>105</v>
      </c>
      <c r="Q235" s="130" t="s">
        <v>66</v>
      </c>
      <c r="R235" s="130" t="s">
        <v>72</v>
      </c>
      <c r="S23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5" s="131">
        <v>19.493670000000002</v>
      </c>
      <c r="U235" s="130"/>
      <c r="V235" s="131">
        <f>VLOOKUP(H235,'Ext. Pa'!$B$3:$C$77,2,FALSE)</f>
        <v>1</v>
      </c>
      <c r="W235" s="130">
        <f>VLOOKUP(I235,'Ext. Pa'!$B$3:$C$77,2,FALSE)</f>
        <v>1</v>
      </c>
      <c r="X235" s="130">
        <f>VLOOKUP(J235,'Ext. Pa'!$B$3:$C$77,2,FALSE)</f>
        <v>4</v>
      </c>
      <c r="Y235" s="130">
        <f>VLOOKUP(K235,'Ext. Pa'!$B$3:$C$77,2,FALSE)</f>
        <v>0</v>
      </c>
      <c r="Z235" s="130">
        <f>VLOOKUP(L235,'Ext. Pa'!$B$3:$C$77,2,FALSE)</f>
        <v>5</v>
      </c>
      <c r="AA235" s="130">
        <f>VLOOKUP(M235,'Ext. Pa'!$B$3:$C$77,2,FALSE)</f>
        <v>5</v>
      </c>
      <c r="AB235" s="130">
        <f>VLOOKUP(N235,'Ext. Pa'!$B$3:$C$77,2,FALSE)</f>
        <v>5</v>
      </c>
      <c r="AC235" s="130">
        <f>VLOOKUP(O235,'Ext. Pa'!$B$3:$C$77,2,FALSE)</f>
        <v>1</v>
      </c>
      <c r="AD235" s="130">
        <f>VLOOKUP(P235,'Ext. Pa'!$B$3:$C$77,2,FALSE)</f>
        <v>5</v>
      </c>
      <c r="AE235" s="130">
        <f>VLOOKUP(Q235,'Ext. Pa'!$B$3:$C$77,2,FALSE)</f>
        <v>6</v>
      </c>
      <c r="AF235" s="132">
        <f>IF(G235&lt;40,(G235)/4,40)</f>
        <v>3.25</v>
      </c>
      <c r="AG235" s="134">
        <f>Table2[[#This Row],[Coating defect survey10]]</f>
        <v>1</v>
      </c>
      <c r="AH235" s="134">
        <f>Table2[[#This Row],[CP Level within NACE Criteria4]]</f>
        <v>1</v>
      </c>
      <c r="AI235" s="135">
        <f>IF(Table2[[#This Row],[CP level]]&gt;9.9,1,0)</f>
        <v>0</v>
      </c>
      <c r="AJ235" s="135">
        <f>Table2[[#This Row],[Column3]]*Table2[[#This Row],[Coating defect survey2]]</f>
        <v>0</v>
      </c>
      <c r="AK235" s="170">
        <v>19.493670000000002</v>
      </c>
    </row>
    <row r="236" spans="1:37" s="100" customFormat="1">
      <c r="A236" s="128">
        <v>3</v>
      </c>
      <c r="B236" s="129" t="s">
        <v>758</v>
      </c>
      <c r="C236" s="96">
        <v>330901003</v>
      </c>
      <c r="D236" s="97" t="s">
        <v>759</v>
      </c>
      <c r="E236" s="130"/>
      <c r="F236" s="130">
        <v>2000</v>
      </c>
      <c r="G236" s="130">
        <f>2013-Table2[[#This Row],[Startup Year]]</f>
        <v>13</v>
      </c>
      <c r="H236" s="130" t="s">
        <v>101</v>
      </c>
      <c r="I236" s="130" t="s">
        <v>108</v>
      </c>
      <c r="J236" s="130" t="s">
        <v>113</v>
      </c>
      <c r="K236" s="98">
        <v>0</v>
      </c>
      <c r="L236" s="130" t="s">
        <v>105</v>
      </c>
      <c r="M236" s="130" t="s">
        <v>105</v>
      </c>
      <c r="N236" s="130" t="s">
        <v>105</v>
      </c>
      <c r="O236" s="130" t="s">
        <v>143</v>
      </c>
      <c r="P236" s="130" t="s">
        <v>105</v>
      </c>
      <c r="Q236" s="130" t="s">
        <v>66</v>
      </c>
      <c r="R236" s="130" t="s">
        <v>72</v>
      </c>
      <c r="S23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6" s="131">
        <v>19.493670000000002</v>
      </c>
      <c r="U236" s="130"/>
      <c r="V236" s="131">
        <f>VLOOKUP(H236,'Ext. Pa'!$B$3:$C$77,2,FALSE)</f>
        <v>1</v>
      </c>
      <c r="W236" s="130">
        <f>VLOOKUP(I236,'Ext. Pa'!$B$3:$C$77,2,FALSE)</f>
        <v>1</v>
      </c>
      <c r="X236" s="130">
        <f>VLOOKUP(J236,'Ext. Pa'!$B$3:$C$77,2,FALSE)</f>
        <v>4</v>
      </c>
      <c r="Y236" s="130">
        <f>VLOOKUP(K236,'Ext. Pa'!$B$3:$C$77,2,FALSE)</f>
        <v>0</v>
      </c>
      <c r="Z236" s="130">
        <f>VLOOKUP(L236,'Ext. Pa'!$B$3:$C$77,2,FALSE)</f>
        <v>5</v>
      </c>
      <c r="AA236" s="130">
        <f>VLOOKUP(M236,'Ext. Pa'!$B$3:$C$77,2,FALSE)</f>
        <v>5</v>
      </c>
      <c r="AB236" s="130">
        <f>VLOOKUP(N236,'Ext. Pa'!$B$3:$C$77,2,FALSE)</f>
        <v>5</v>
      </c>
      <c r="AC236" s="130">
        <f>VLOOKUP(O236,'Ext. Pa'!$B$3:$C$77,2,FALSE)</f>
        <v>1</v>
      </c>
      <c r="AD236" s="130">
        <f>VLOOKUP(P236,'Ext. Pa'!$B$3:$C$77,2,FALSE)</f>
        <v>5</v>
      </c>
      <c r="AE236" s="130">
        <f>VLOOKUP(Q236,'Ext. Pa'!$B$3:$C$77,2,FALSE)</f>
        <v>6</v>
      </c>
      <c r="AF236" s="132">
        <f>IF(G236&lt;40,(G236)/4,40)</f>
        <v>3.25</v>
      </c>
      <c r="AG236" s="134">
        <f>Table2[[#This Row],[Coating defect survey10]]</f>
        <v>1</v>
      </c>
      <c r="AH236" s="134">
        <f>Table2[[#This Row],[CP Level within NACE Criteria4]]</f>
        <v>1</v>
      </c>
      <c r="AI236" s="135">
        <f>IF(Table2[[#This Row],[CP level]]&gt;9.9,1,0)</f>
        <v>0</v>
      </c>
      <c r="AJ236" s="135">
        <f>Table2[[#This Row],[Column3]]*Table2[[#This Row],[Coating defect survey2]]</f>
        <v>0</v>
      </c>
      <c r="AK236" s="170">
        <v>19.493670000000002</v>
      </c>
    </row>
    <row r="237" spans="1:37" s="100" customFormat="1">
      <c r="A237" s="94">
        <v>3</v>
      </c>
      <c r="B237" s="95" t="s">
        <v>440</v>
      </c>
      <c r="C237" s="96">
        <v>340210602</v>
      </c>
      <c r="D237" s="97" t="s">
        <v>311</v>
      </c>
      <c r="E237" s="98"/>
      <c r="F237" s="98">
        <v>2010</v>
      </c>
      <c r="G237" s="98">
        <f>2013-Table2[[#This Row],[Startup Year]]</f>
        <v>3</v>
      </c>
      <c r="H237" s="98" t="s">
        <v>101</v>
      </c>
      <c r="I237" s="98" t="s">
        <v>108</v>
      </c>
      <c r="J237" s="98" t="s">
        <v>113</v>
      </c>
      <c r="K237" s="98">
        <v>0</v>
      </c>
      <c r="L237" s="98" t="s">
        <v>105</v>
      </c>
      <c r="M237" s="98" t="s">
        <v>105</v>
      </c>
      <c r="N237" s="98" t="s">
        <v>105</v>
      </c>
      <c r="O237" s="98" t="s">
        <v>143</v>
      </c>
      <c r="P237" s="98" t="s">
        <v>105</v>
      </c>
      <c r="Q237" s="98" t="s">
        <v>66</v>
      </c>
      <c r="R237" s="98" t="s">
        <v>72</v>
      </c>
      <c r="S23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16.170886075949365</v>
      </c>
      <c r="T237" s="98">
        <v>19.493670000000002</v>
      </c>
      <c r="U237" s="98"/>
      <c r="V237" s="98">
        <f>VLOOKUP(H237,'Ext. Pa'!$B$3:$C$77,2,FALSE)</f>
        <v>1</v>
      </c>
      <c r="W237" s="98">
        <f>VLOOKUP(I237,'Ext. Pa'!$B$3:$C$77,2,FALSE)</f>
        <v>1</v>
      </c>
      <c r="X237" s="98">
        <f>VLOOKUP(J237,'Ext. Pa'!$B$3:$C$77,2,FALSE)</f>
        <v>4</v>
      </c>
      <c r="Y237" s="98">
        <f>VLOOKUP(K237,'Ext. Pa'!$B$3:$C$77,2,FALSE)</f>
        <v>0</v>
      </c>
      <c r="Z237" s="98">
        <f>VLOOKUP(L237,'Ext. Pa'!$B$3:$C$77,2,FALSE)</f>
        <v>5</v>
      </c>
      <c r="AA237" s="98">
        <f>VLOOKUP(M237,'Ext. Pa'!$B$3:$C$77,2,FALSE)</f>
        <v>5</v>
      </c>
      <c r="AB237" s="98">
        <f>VLOOKUP(N237,'Ext. Pa'!$B$3:$C$77,2,FALSE)</f>
        <v>5</v>
      </c>
      <c r="AC237" s="98">
        <f>VLOOKUP(O237,'Ext. Pa'!$B$3:$C$77,2,FALSE)</f>
        <v>1</v>
      </c>
      <c r="AD237" s="98">
        <f>VLOOKUP(P237,'Ext. Pa'!$B$3:$C$77,2,FALSE)</f>
        <v>5</v>
      </c>
      <c r="AE237" s="98">
        <f>VLOOKUP(Q237,'Ext. Pa'!$B$3:$C$77,2,FALSE)</f>
        <v>6</v>
      </c>
      <c r="AF237" s="99">
        <f t="shared" si="12"/>
        <v>0.75</v>
      </c>
      <c r="AG237" s="133">
        <f>Table2[[#This Row],[Coating defect survey10]]</f>
        <v>1</v>
      </c>
      <c r="AH237" s="134">
        <f>Table2[[#This Row],[CP Level within NACE Criteria4]]</f>
        <v>1</v>
      </c>
      <c r="AI237" s="135">
        <f>IF(Table2[[#This Row],[CP level]]&gt;9.9,1,0)</f>
        <v>0</v>
      </c>
      <c r="AJ237" s="135">
        <f>Table2[[#This Row],[Column3]]*Table2[[#This Row],[Coating defect survey2]]</f>
        <v>0</v>
      </c>
      <c r="AK237" s="170">
        <v>19.493670000000002</v>
      </c>
    </row>
    <row r="238" spans="1:37" s="207" customFormat="1">
      <c r="A238" s="113">
        <v>3</v>
      </c>
      <c r="B238" s="202" t="s">
        <v>441</v>
      </c>
      <c r="C238" s="111">
        <v>340300001</v>
      </c>
      <c r="D238" s="112" t="s">
        <v>312</v>
      </c>
      <c r="E238" s="86"/>
      <c r="F238" s="86">
        <v>2000</v>
      </c>
      <c r="G238" s="86">
        <f>2013-Table2[[#This Row],[Startup Year]]</f>
        <v>13</v>
      </c>
      <c r="H238" s="86" t="s">
        <v>101</v>
      </c>
      <c r="I238" s="86" t="s">
        <v>111</v>
      </c>
      <c r="J238" s="86" t="s">
        <v>113</v>
      </c>
      <c r="K238" s="86">
        <v>0</v>
      </c>
      <c r="L238" s="86" t="s">
        <v>105</v>
      </c>
      <c r="M238" s="86" t="s">
        <v>105</v>
      </c>
      <c r="N238" s="86" t="s">
        <v>105</v>
      </c>
      <c r="O238" s="86" t="s">
        <v>105</v>
      </c>
      <c r="P238" s="86" t="s">
        <v>105</v>
      </c>
      <c r="Q238" s="86" t="s">
        <v>66</v>
      </c>
      <c r="R238" s="86" t="s">
        <v>72</v>
      </c>
      <c r="S238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8" s="86">
        <v>19.493670000000002</v>
      </c>
      <c r="U238" s="86"/>
      <c r="V238" s="86">
        <f>VLOOKUP(H238,'Ext. Pa'!$B$3:$C$77,2,FALSE)</f>
        <v>1</v>
      </c>
      <c r="W238" s="86">
        <f>VLOOKUP(I238,'Ext. Pa'!$B$3:$C$77,2,FALSE)</f>
        <v>8</v>
      </c>
      <c r="X238" s="86">
        <f>VLOOKUP(J238,'Ext. Pa'!$B$3:$C$77,2,FALSE)</f>
        <v>4</v>
      </c>
      <c r="Y238" s="86">
        <f>VLOOKUP(K238,'Ext. Pa'!$B$3:$C$77,2,FALSE)</f>
        <v>0</v>
      </c>
      <c r="Z238" s="86">
        <f>VLOOKUP(L238,'Ext. Pa'!$B$3:$C$77,2,FALSE)</f>
        <v>5</v>
      </c>
      <c r="AA238" s="86">
        <f>VLOOKUP(M238,'Ext. Pa'!$B$3:$C$77,2,FALSE)</f>
        <v>5</v>
      </c>
      <c r="AB238" s="86">
        <f>VLOOKUP(N238,'Ext. Pa'!$B$3:$C$77,2,FALSE)</f>
        <v>5</v>
      </c>
      <c r="AC238" s="86">
        <f>VLOOKUP(O238,'Ext. Pa'!$B$3:$C$77,2,FALSE)</f>
        <v>5</v>
      </c>
      <c r="AD238" s="86">
        <f>VLOOKUP(P238,'Ext. Pa'!$B$3:$C$77,2,FALSE)</f>
        <v>5</v>
      </c>
      <c r="AE238" s="86">
        <f>VLOOKUP(Q238,'Ext. Pa'!$B$3:$C$77,2,FALSE)</f>
        <v>6</v>
      </c>
      <c r="AF238" s="204">
        <f t="shared" si="12"/>
        <v>3.25</v>
      </c>
      <c r="AG238" s="205">
        <f>Table2[[#This Row],[Coating defect survey10]]</f>
        <v>5</v>
      </c>
      <c r="AH238" s="208">
        <f>Table2[[#This Row],[CP Level within NACE Criteria4]]</f>
        <v>8</v>
      </c>
      <c r="AI238" s="206">
        <f>IF(Table2[[#This Row],[CP level]]&gt;9.9,1,0)</f>
        <v>0</v>
      </c>
      <c r="AJ238" s="206">
        <f>Table2[[#This Row],[Column3]]*Table2[[#This Row],[Coating defect survey2]]</f>
        <v>0</v>
      </c>
      <c r="AK238" s="170">
        <v>19.493670000000002</v>
      </c>
    </row>
    <row r="239" spans="1:37" s="100" customFormat="1">
      <c r="A239" s="94">
        <v>3</v>
      </c>
      <c r="B239" s="95" t="s">
        <v>442</v>
      </c>
      <c r="C239" s="96">
        <v>401100001</v>
      </c>
      <c r="D239" s="97" t="s">
        <v>313</v>
      </c>
      <c r="E239" s="98"/>
      <c r="F239" s="98">
        <v>2000</v>
      </c>
      <c r="G239" s="98">
        <f>2013-Table2[[#This Row],[Startup Year]]</f>
        <v>13</v>
      </c>
      <c r="H239" s="98" t="s">
        <v>101</v>
      </c>
      <c r="I239" s="98" t="s">
        <v>108</v>
      </c>
      <c r="J239" s="98" t="s">
        <v>113</v>
      </c>
      <c r="K239" s="98">
        <v>0</v>
      </c>
      <c r="L239" s="98" t="s">
        <v>105</v>
      </c>
      <c r="M239" s="98" t="s">
        <v>105</v>
      </c>
      <c r="N239" s="98" t="s">
        <v>105</v>
      </c>
      <c r="O239" s="98" t="s">
        <v>105</v>
      </c>
      <c r="P239" s="98" t="s">
        <v>105</v>
      </c>
      <c r="Q239" s="98" t="s">
        <v>66</v>
      </c>
      <c r="R239" s="98" t="s">
        <v>72</v>
      </c>
      <c r="S23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39" s="98">
        <v>19.493670000000002</v>
      </c>
      <c r="U239" s="98"/>
      <c r="V239" s="98">
        <f>VLOOKUP(H239,'Ext. Pa'!$B$3:$C$77,2,FALSE)</f>
        <v>1</v>
      </c>
      <c r="W239" s="98">
        <f>VLOOKUP(I239,'Ext. Pa'!$B$3:$C$77,2,FALSE)</f>
        <v>1</v>
      </c>
      <c r="X239" s="98">
        <f>VLOOKUP(J239,'Ext. Pa'!$B$3:$C$77,2,FALSE)</f>
        <v>4</v>
      </c>
      <c r="Y239" s="98">
        <f>VLOOKUP(K239,'Ext. Pa'!$B$3:$C$77,2,FALSE)</f>
        <v>0</v>
      </c>
      <c r="Z239" s="98">
        <f>VLOOKUP(L239,'Ext. Pa'!$B$3:$C$77,2,FALSE)</f>
        <v>5</v>
      </c>
      <c r="AA239" s="98">
        <f>VLOOKUP(M239,'Ext. Pa'!$B$3:$C$77,2,FALSE)</f>
        <v>5</v>
      </c>
      <c r="AB239" s="98">
        <f>VLOOKUP(N239,'Ext. Pa'!$B$3:$C$77,2,FALSE)</f>
        <v>5</v>
      </c>
      <c r="AC239" s="98">
        <f>VLOOKUP(O239,'Ext. Pa'!$B$3:$C$77,2,FALSE)</f>
        <v>5</v>
      </c>
      <c r="AD239" s="98">
        <f>VLOOKUP(P239,'Ext. Pa'!$B$3:$C$77,2,FALSE)</f>
        <v>5</v>
      </c>
      <c r="AE239" s="98">
        <f>VLOOKUP(Q239,'Ext. Pa'!$B$3:$C$77,2,FALSE)</f>
        <v>6</v>
      </c>
      <c r="AF239" s="99">
        <f t="shared" si="12"/>
        <v>3.25</v>
      </c>
      <c r="AG239" s="134">
        <f>Table2[[#This Row],[Coating defect survey10]]</f>
        <v>5</v>
      </c>
      <c r="AH239" s="134">
        <f>Table2[[#This Row],[CP Level within NACE Criteria4]]</f>
        <v>1</v>
      </c>
      <c r="AI239" s="135">
        <f>IF(Table2[[#This Row],[CP level]]&gt;9.9,1,0)</f>
        <v>0</v>
      </c>
      <c r="AJ239" s="135">
        <f>Table2[[#This Row],[Column3]]*Table2[[#This Row],[Coating defect survey2]]</f>
        <v>0</v>
      </c>
      <c r="AK239" s="170">
        <v>19.493670000000002</v>
      </c>
    </row>
    <row r="240" spans="1:37" s="100" customFormat="1">
      <c r="A240" s="94">
        <v>3</v>
      </c>
      <c r="B240" s="95" t="s">
        <v>443</v>
      </c>
      <c r="C240" s="96">
        <v>401110001</v>
      </c>
      <c r="D240" s="97" t="s">
        <v>314</v>
      </c>
      <c r="E240" s="98"/>
      <c r="F240" s="98">
        <v>2000</v>
      </c>
      <c r="G240" s="98">
        <f>2013-Table2[[#This Row],[Startup Year]]</f>
        <v>13</v>
      </c>
      <c r="H240" s="98" t="s">
        <v>101</v>
      </c>
      <c r="I240" s="98" t="s">
        <v>108</v>
      </c>
      <c r="J240" s="98" t="s">
        <v>113</v>
      </c>
      <c r="K240" s="98">
        <v>0</v>
      </c>
      <c r="L240" s="98" t="s">
        <v>105</v>
      </c>
      <c r="M240" s="98" t="s">
        <v>105</v>
      </c>
      <c r="N240" s="98" t="s">
        <v>105</v>
      </c>
      <c r="O240" s="98" t="s">
        <v>105</v>
      </c>
      <c r="P240" s="98" t="s">
        <v>105</v>
      </c>
      <c r="Q240" s="98" t="s">
        <v>66</v>
      </c>
      <c r="R240" s="98" t="s">
        <v>72</v>
      </c>
      <c r="S24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0" s="98">
        <v>19.493670000000002</v>
      </c>
      <c r="U240" s="98"/>
      <c r="V240" s="98">
        <f>VLOOKUP(H240,'Ext. Pa'!$B$3:$C$77,2,FALSE)</f>
        <v>1</v>
      </c>
      <c r="W240" s="98">
        <f>VLOOKUP(I240,'Ext. Pa'!$B$3:$C$77,2,FALSE)</f>
        <v>1</v>
      </c>
      <c r="X240" s="98">
        <f>VLOOKUP(J240,'Ext. Pa'!$B$3:$C$77,2,FALSE)</f>
        <v>4</v>
      </c>
      <c r="Y240" s="98">
        <f>VLOOKUP(K240,'Ext. Pa'!$B$3:$C$77,2,FALSE)</f>
        <v>0</v>
      </c>
      <c r="Z240" s="98">
        <f>VLOOKUP(L240,'Ext. Pa'!$B$3:$C$77,2,FALSE)</f>
        <v>5</v>
      </c>
      <c r="AA240" s="98">
        <f>VLOOKUP(M240,'Ext. Pa'!$B$3:$C$77,2,FALSE)</f>
        <v>5</v>
      </c>
      <c r="AB240" s="98">
        <f>VLOOKUP(N240,'Ext. Pa'!$B$3:$C$77,2,FALSE)</f>
        <v>5</v>
      </c>
      <c r="AC240" s="98">
        <f>VLOOKUP(O240,'Ext. Pa'!$B$3:$C$77,2,FALSE)</f>
        <v>5</v>
      </c>
      <c r="AD240" s="98">
        <f>VLOOKUP(P240,'Ext. Pa'!$B$3:$C$77,2,FALSE)</f>
        <v>5</v>
      </c>
      <c r="AE240" s="98">
        <f>VLOOKUP(Q240,'Ext. Pa'!$B$3:$C$77,2,FALSE)</f>
        <v>6</v>
      </c>
      <c r="AF240" s="99">
        <f t="shared" si="12"/>
        <v>3.25</v>
      </c>
      <c r="AG240" s="134">
        <f>Table2[[#This Row],[Coating defect survey10]]</f>
        <v>5</v>
      </c>
      <c r="AH240" s="134">
        <f>Table2[[#This Row],[CP Level within NACE Criteria4]]</f>
        <v>1</v>
      </c>
      <c r="AI240" s="135">
        <f>IF(Table2[[#This Row],[CP level]]&gt;9.9,1,0)</f>
        <v>0</v>
      </c>
      <c r="AJ240" s="135">
        <f>Table2[[#This Row],[Column3]]*Table2[[#This Row],[Coating defect survey2]]</f>
        <v>0</v>
      </c>
      <c r="AK240" s="170">
        <v>19.493670000000002</v>
      </c>
    </row>
    <row r="241" spans="1:37" s="100" customFormat="1">
      <c r="A241" s="128">
        <v>5</v>
      </c>
      <c r="B241" s="129" t="s">
        <v>770</v>
      </c>
      <c r="C241" s="96">
        <v>41041</v>
      </c>
      <c r="D241" s="97" t="s">
        <v>771</v>
      </c>
      <c r="E241" s="130"/>
      <c r="F241" s="130">
        <v>2000</v>
      </c>
      <c r="G241" s="130">
        <f>2013-Table2[[#This Row],[Startup Year]]</f>
        <v>13</v>
      </c>
      <c r="H241" s="130" t="s">
        <v>101</v>
      </c>
      <c r="I241" s="130" t="s">
        <v>108</v>
      </c>
      <c r="J241" s="130" t="s">
        <v>113</v>
      </c>
      <c r="K241" s="130">
        <v>0</v>
      </c>
      <c r="L241" s="130" t="s">
        <v>105</v>
      </c>
      <c r="M241" s="130" t="s">
        <v>105</v>
      </c>
      <c r="N241" s="130" t="s">
        <v>105</v>
      </c>
      <c r="O241" s="130" t="s">
        <v>143</v>
      </c>
      <c r="P241" s="130" t="s">
        <v>105</v>
      </c>
      <c r="Q241" s="130" t="s">
        <v>66</v>
      </c>
      <c r="R241" s="130" t="s">
        <v>72</v>
      </c>
      <c r="S24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1" s="131">
        <v>19.493670000000002</v>
      </c>
      <c r="U241" s="130"/>
      <c r="V241" s="131">
        <f>VLOOKUP(H241,'Ext. Pa'!$B$3:$C$77,2,FALSE)</f>
        <v>1</v>
      </c>
      <c r="W241" s="130">
        <f>VLOOKUP(I241,'Ext. Pa'!$B$3:$C$77,2,FALSE)</f>
        <v>1</v>
      </c>
      <c r="X241" s="130">
        <f>VLOOKUP(J241,'Ext. Pa'!$B$3:$C$77,2,FALSE)</f>
        <v>4</v>
      </c>
      <c r="Y241" s="130">
        <f>VLOOKUP(K241,'Ext. Pa'!$B$3:$C$77,2,FALSE)</f>
        <v>0</v>
      </c>
      <c r="Z241" s="130">
        <f>VLOOKUP(L241,'Ext. Pa'!$B$3:$C$77,2,FALSE)</f>
        <v>5</v>
      </c>
      <c r="AA241" s="130">
        <f>VLOOKUP(M241,'Ext. Pa'!$B$3:$C$77,2,FALSE)</f>
        <v>5</v>
      </c>
      <c r="AB241" s="130">
        <f>VLOOKUP(N241,'Ext. Pa'!$B$3:$C$77,2,FALSE)</f>
        <v>5</v>
      </c>
      <c r="AC241" s="130">
        <f>VLOOKUP(O241,'Ext. Pa'!$B$3:$C$77,2,FALSE)</f>
        <v>1</v>
      </c>
      <c r="AD241" s="130">
        <f>VLOOKUP(P241,'Ext. Pa'!$B$3:$C$77,2,FALSE)</f>
        <v>5</v>
      </c>
      <c r="AE241" s="130">
        <f>VLOOKUP(Q241,'Ext. Pa'!$B$3:$C$77,2,FALSE)</f>
        <v>6</v>
      </c>
      <c r="AF241" s="132">
        <f>IF(G241&lt;40,(G241)/4,40)</f>
        <v>3.25</v>
      </c>
      <c r="AG241" s="134">
        <f>Table2[[#This Row],[Coating defect survey10]]</f>
        <v>1</v>
      </c>
      <c r="AH241" s="134">
        <f>Table2[[#This Row],[CP Level within NACE Criteria4]]</f>
        <v>1</v>
      </c>
      <c r="AI241" s="135">
        <f>IF(Table2[[#This Row],[CP level]]&gt;9.9,1,0)</f>
        <v>0</v>
      </c>
      <c r="AJ241" s="135">
        <f>Table2[[#This Row],[Column3]]*Table2[[#This Row],[Coating defect survey2]]</f>
        <v>0</v>
      </c>
      <c r="AK241" s="170">
        <v>19.493670000000002</v>
      </c>
    </row>
    <row r="242" spans="1:37" s="100" customFormat="1">
      <c r="A242" s="94">
        <v>5</v>
      </c>
      <c r="B242" s="95" t="s">
        <v>444</v>
      </c>
      <c r="C242" s="96">
        <v>410101</v>
      </c>
      <c r="D242" s="97" t="s">
        <v>315</v>
      </c>
      <c r="E242" s="98"/>
      <c r="F242" s="98">
        <v>2000</v>
      </c>
      <c r="G242" s="98">
        <f>2013-Table2[[#This Row],[Startup Year]]</f>
        <v>13</v>
      </c>
      <c r="H242" s="98" t="s">
        <v>101</v>
      </c>
      <c r="I242" s="98" t="s">
        <v>108</v>
      </c>
      <c r="J242" s="98" t="s">
        <v>118</v>
      </c>
      <c r="K242" s="130">
        <v>0</v>
      </c>
      <c r="L242" s="98" t="s">
        <v>105</v>
      </c>
      <c r="M242" s="98" t="s">
        <v>105</v>
      </c>
      <c r="N242" s="98" t="s">
        <v>105</v>
      </c>
      <c r="O242" s="98" t="s">
        <v>144</v>
      </c>
      <c r="P242" s="98" t="s">
        <v>105</v>
      </c>
      <c r="Q242" s="98" t="s">
        <v>66</v>
      </c>
      <c r="R242" s="98" t="s">
        <v>72</v>
      </c>
      <c r="S24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42" s="98">
        <v>19.493670000000002</v>
      </c>
      <c r="U242" s="98"/>
      <c r="V242" s="98">
        <f>VLOOKUP(H242,'Ext. Pa'!$B$3:$C$77,2,FALSE)</f>
        <v>1</v>
      </c>
      <c r="W242" s="98">
        <f>VLOOKUP(I242,'Ext. Pa'!$B$3:$C$77,2,FALSE)</f>
        <v>1</v>
      </c>
      <c r="X242" s="98">
        <f>VLOOKUP(J242,'Ext. Pa'!$B$3:$C$77,2,FALSE)</f>
        <v>0</v>
      </c>
      <c r="Y242" s="98">
        <f>VLOOKUP(K242,'Ext. Pa'!$B$3:$C$77,2,FALSE)</f>
        <v>0</v>
      </c>
      <c r="Z242" s="98">
        <f>VLOOKUP(L242,'Ext. Pa'!$B$3:$C$77,2,FALSE)</f>
        <v>5</v>
      </c>
      <c r="AA242" s="98">
        <f>VLOOKUP(M242,'Ext. Pa'!$B$3:$C$77,2,FALSE)</f>
        <v>5</v>
      </c>
      <c r="AB242" s="98">
        <f>VLOOKUP(N242,'Ext. Pa'!$B$3:$C$77,2,FALSE)</f>
        <v>5</v>
      </c>
      <c r="AC242" s="98">
        <f>VLOOKUP(O242,'Ext. Pa'!$B$3:$C$77,2,FALSE)</f>
        <v>3</v>
      </c>
      <c r="AD242" s="98">
        <f>VLOOKUP(P242,'Ext. Pa'!$B$3:$C$77,2,FALSE)</f>
        <v>5</v>
      </c>
      <c r="AE242" s="98">
        <f>VLOOKUP(Q242,'Ext. Pa'!$B$3:$C$77,2,FALSE)</f>
        <v>6</v>
      </c>
      <c r="AF242" s="99">
        <f t="shared" si="12"/>
        <v>3.25</v>
      </c>
      <c r="AG242" s="134">
        <f>Table2[[#This Row],[Coating defect survey10]]</f>
        <v>3</v>
      </c>
      <c r="AH242" s="134">
        <f>Table2[[#This Row],[CP Level within NACE Criteria4]]</f>
        <v>1</v>
      </c>
      <c r="AI242" s="135">
        <f>IF(Table2[[#This Row],[CP level]]&gt;9.9,1,0)</f>
        <v>0</v>
      </c>
      <c r="AJ242" s="135">
        <f>Table2[[#This Row],[Column3]]*Table2[[#This Row],[Coating defect survey2]]</f>
        <v>0</v>
      </c>
      <c r="AK242" s="170">
        <v>19.493670000000002</v>
      </c>
    </row>
    <row r="243" spans="1:37" s="100" customFormat="1">
      <c r="A243" s="128">
        <v>5</v>
      </c>
      <c r="B243" s="129" t="s">
        <v>772</v>
      </c>
      <c r="C243" s="96">
        <v>41010101</v>
      </c>
      <c r="D243" s="97" t="s">
        <v>773</v>
      </c>
      <c r="E243" s="130"/>
      <c r="F243" s="130">
        <v>2000</v>
      </c>
      <c r="G243" s="130">
        <f>2013-Table2[[#This Row],[Startup Year]]</f>
        <v>13</v>
      </c>
      <c r="H243" s="130" t="s">
        <v>101</v>
      </c>
      <c r="I243" s="130" t="s">
        <v>108</v>
      </c>
      <c r="J243" s="130" t="s">
        <v>113</v>
      </c>
      <c r="K243" s="130">
        <v>0</v>
      </c>
      <c r="L243" s="130" t="s">
        <v>105</v>
      </c>
      <c r="M243" s="130" t="s">
        <v>105</v>
      </c>
      <c r="N243" s="130" t="s">
        <v>105</v>
      </c>
      <c r="O243" s="130" t="s">
        <v>144</v>
      </c>
      <c r="P243" s="130" t="s">
        <v>105</v>
      </c>
      <c r="Q243" s="130" t="s">
        <v>66</v>
      </c>
      <c r="R243" s="130" t="s">
        <v>72</v>
      </c>
      <c r="S24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3" s="131">
        <v>19.493670000000002</v>
      </c>
      <c r="U243" s="130"/>
      <c r="V243" s="131">
        <f>VLOOKUP(H243,'Ext. Pa'!$B$3:$C$77,2,FALSE)</f>
        <v>1</v>
      </c>
      <c r="W243" s="130">
        <f>VLOOKUP(I243,'Ext. Pa'!$B$3:$C$77,2,FALSE)</f>
        <v>1</v>
      </c>
      <c r="X243" s="130">
        <f>VLOOKUP(J243,'Ext. Pa'!$B$3:$C$77,2,FALSE)</f>
        <v>4</v>
      </c>
      <c r="Y243" s="130">
        <f>VLOOKUP(K243,'Ext. Pa'!$B$3:$C$77,2,FALSE)</f>
        <v>0</v>
      </c>
      <c r="Z243" s="130">
        <f>VLOOKUP(L243,'Ext. Pa'!$B$3:$C$77,2,FALSE)</f>
        <v>5</v>
      </c>
      <c r="AA243" s="130">
        <f>VLOOKUP(M243,'Ext. Pa'!$B$3:$C$77,2,FALSE)</f>
        <v>5</v>
      </c>
      <c r="AB243" s="130">
        <f>VLOOKUP(N243,'Ext. Pa'!$B$3:$C$77,2,FALSE)</f>
        <v>5</v>
      </c>
      <c r="AC243" s="130">
        <f>VLOOKUP(O243,'Ext. Pa'!$B$3:$C$77,2,FALSE)</f>
        <v>3</v>
      </c>
      <c r="AD243" s="130">
        <f>VLOOKUP(P243,'Ext. Pa'!$B$3:$C$77,2,FALSE)</f>
        <v>5</v>
      </c>
      <c r="AE243" s="130">
        <f>VLOOKUP(Q243,'Ext. Pa'!$B$3:$C$77,2,FALSE)</f>
        <v>6</v>
      </c>
      <c r="AF243" s="132">
        <f>IF(G243&lt;40,(G243)/4,40)</f>
        <v>3.25</v>
      </c>
      <c r="AG243" s="134">
        <f>Table2[[#This Row],[Coating defect survey10]]</f>
        <v>3</v>
      </c>
      <c r="AH243" s="134">
        <f>Table2[[#This Row],[CP Level within NACE Criteria4]]</f>
        <v>1</v>
      </c>
      <c r="AI243" s="135">
        <f>IF(Table2[[#This Row],[CP level]]&gt;9.9,1,0)</f>
        <v>0</v>
      </c>
      <c r="AJ243" s="135">
        <f>Table2[[#This Row],[Column3]]*Table2[[#This Row],[Coating defect survey2]]</f>
        <v>0</v>
      </c>
      <c r="AK243" s="170">
        <v>19.493670000000002</v>
      </c>
    </row>
    <row r="244" spans="1:37" s="100" customFormat="1" ht="25.5">
      <c r="A244" s="94">
        <v>5</v>
      </c>
      <c r="B244" s="95" t="s">
        <v>445</v>
      </c>
      <c r="C244" s="96">
        <v>410102</v>
      </c>
      <c r="D244" s="97" t="s">
        <v>316</v>
      </c>
      <c r="E244" s="98"/>
      <c r="F244" s="98">
        <v>2000</v>
      </c>
      <c r="G244" s="98">
        <f>2013-Table2[[#This Row],[Startup Year]]</f>
        <v>13</v>
      </c>
      <c r="H244" s="98" t="s">
        <v>101</v>
      </c>
      <c r="I244" s="98" t="s">
        <v>108</v>
      </c>
      <c r="J244" s="98" t="s">
        <v>118</v>
      </c>
      <c r="K244" s="130">
        <v>0</v>
      </c>
      <c r="L244" s="98" t="s">
        <v>105</v>
      </c>
      <c r="M244" s="98" t="s">
        <v>105</v>
      </c>
      <c r="N244" s="98" t="s">
        <v>105</v>
      </c>
      <c r="O244" s="98" t="s">
        <v>143</v>
      </c>
      <c r="P244" s="98" t="s">
        <v>105</v>
      </c>
      <c r="Q244" s="98" t="s">
        <v>66</v>
      </c>
      <c r="R244" s="98" t="s">
        <v>72</v>
      </c>
      <c r="S24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15.221518987341771</v>
      </c>
      <c r="T244" s="98">
        <v>19.493670000000002</v>
      </c>
      <c r="U244" s="98"/>
      <c r="V244" s="98">
        <f>VLOOKUP(H244,'Ext. Pa'!$B$3:$C$77,2,FALSE)</f>
        <v>1</v>
      </c>
      <c r="W244" s="98">
        <f>VLOOKUP(I244,'Ext. Pa'!$B$3:$C$77,2,FALSE)</f>
        <v>1</v>
      </c>
      <c r="X244" s="98">
        <f>VLOOKUP(J244,'Ext. Pa'!$B$3:$C$77,2,FALSE)</f>
        <v>0</v>
      </c>
      <c r="Y244" s="98">
        <f>VLOOKUP(K244,'Ext. Pa'!$B$3:$C$77,2,FALSE)</f>
        <v>0</v>
      </c>
      <c r="Z244" s="98">
        <f>VLOOKUP(L244,'Ext. Pa'!$B$3:$C$77,2,FALSE)</f>
        <v>5</v>
      </c>
      <c r="AA244" s="98">
        <f>VLOOKUP(M244,'Ext. Pa'!$B$3:$C$77,2,FALSE)</f>
        <v>5</v>
      </c>
      <c r="AB244" s="98">
        <f>VLOOKUP(N244,'Ext. Pa'!$B$3:$C$77,2,FALSE)</f>
        <v>5</v>
      </c>
      <c r="AC244" s="98">
        <f>VLOOKUP(O244,'Ext. Pa'!$B$3:$C$77,2,FALSE)</f>
        <v>1</v>
      </c>
      <c r="AD244" s="98">
        <f>VLOOKUP(P244,'Ext. Pa'!$B$3:$C$77,2,FALSE)</f>
        <v>5</v>
      </c>
      <c r="AE244" s="98">
        <f>VLOOKUP(Q244,'Ext. Pa'!$B$3:$C$77,2,FALSE)</f>
        <v>6</v>
      </c>
      <c r="AF244" s="99">
        <f t="shared" si="12"/>
        <v>3.25</v>
      </c>
      <c r="AG244" s="133">
        <f>Table2[[#This Row],[Coating defect survey10]]</f>
        <v>1</v>
      </c>
      <c r="AH244" s="134">
        <f>Table2[[#This Row],[CP Level within NACE Criteria4]]</f>
        <v>1</v>
      </c>
      <c r="AI244" s="135">
        <f>IF(Table2[[#This Row],[CP level]]&gt;9.9,1,0)</f>
        <v>0</v>
      </c>
      <c r="AJ244" s="135">
        <f>Table2[[#This Row],[Column3]]*Table2[[#This Row],[Coating defect survey2]]</f>
        <v>0</v>
      </c>
      <c r="AK244" s="170">
        <v>19.493670000000002</v>
      </c>
    </row>
    <row r="245" spans="1:37" s="100" customFormat="1">
      <c r="A245" s="94">
        <v>5</v>
      </c>
      <c r="B245" s="95" t="s">
        <v>446</v>
      </c>
      <c r="C245" s="96">
        <v>41010201</v>
      </c>
      <c r="D245" s="97" t="s">
        <v>317</v>
      </c>
      <c r="E245" s="98"/>
      <c r="F245" s="98">
        <v>2000</v>
      </c>
      <c r="G245" s="98">
        <f>2013-Table2[[#This Row],[Startup Year]]</f>
        <v>13</v>
      </c>
      <c r="H245" s="98" t="s">
        <v>101</v>
      </c>
      <c r="I245" s="98" t="s">
        <v>108</v>
      </c>
      <c r="J245" s="98" t="s">
        <v>113</v>
      </c>
      <c r="K245" s="130">
        <v>0</v>
      </c>
      <c r="L245" s="98" t="s">
        <v>105</v>
      </c>
      <c r="M245" s="98" t="s">
        <v>105</v>
      </c>
      <c r="N245" s="98" t="s">
        <v>105</v>
      </c>
      <c r="O245" s="98" t="s">
        <v>143</v>
      </c>
      <c r="P245" s="98" t="s">
        <v>105</v>
      </c>
      <c r="Q245" s="98" t="s">
        <v>66</v>
      </c>
      <c r="R245" s="98" t="s">
        <v>72</v>
      </c>
      <c r="S24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5" s="98">
        <v>19.493670000000002</v>
      </c>
      <c r="U245" s="98"/>
      <c r="V245" s="98">
        <f>VLOOKUP(H245,'Ext. Pa'!$B$3:$C$77,2,FALSE)</f>
        <v>1</v>
      </c>
      <c r="W245" s="98">
        <f>VLOOKUP(I245,'Ext. Pa'!$B$3:$C$77,2,FALSE)</f>
        <v>1</v>
      </c>
      <c r="X245" s="98">
        <f>VLOOKUP(J245,'Ext. Pa'!$B$3:$C$77,2,FALSE)</f>
        <v>4</v>
      </c>
      <c r="Y245" s="98">
        <f>VLOOKUP(K245,'Ext. Pa'!$B$3:$C$77,2,FALSE)</f>
        <v>0</v>
      </c>
      <c r="Z245" s="98">
        <f>VLOOKUP(L245,'Ext. Pa'!$B$3:$C$77,2,FALSE)</f>
        <v>5</v>
      </c>
      <c r="AA245" s="98">
        <f>VLOOKUP(M245,'Ext. Pa'!$B$3:$C$77,2,FALSE)</f>
        <v>5</v>
      </c>
      <c r="AB245" s="98">
        <f>VLOOKUP(N245,'Ext. Pa'!$B$3:$C$77,2,FALSE)</f>
        <v>5</v>
      </c>
      <c r="AC245" s="98">
        <f>VLOOKUP(O245,'Ext. Pa'!$B$3:$C$77,2,FALSE)</f>
        <v>1</v>
      </c>
      <c r="AD245" s="98">
        <f>VLOOKUP(P245,'Ext. Pa'!$B$3:$C$77,2,FALSE)</f>
        <v>5</v>
      </c>
      <c r="AE245" s="98">
        <f>VLOOKUP(Q245,'Ext. Pa'!$B$3:$C$77,2,FALSE)</f>
        <v>6</v>
      </c>
      <c r="AF245" s="99">
        <f t="shared" si="12"/>
        <v>3.25</v>
      </c>
      <c r="AG245" s="134">
        <f>Table2[[#This Row],[Coating defect survey10]]</f>
        <v>1</v>
      </c>
      <c r="AH245" s="134">
        <f>Table2[[#This Row],[CP Level within NACE Criteria4]]</f>
        <v>1</v>
      </c>
      <c r="AI245" s="135">
        <f>IF(Table2[[#This Row],[CP level]]&gt;9.9,1,0)</f>
        <v>0</v>
      </c>
      <c r="AJ245" s="135">
        <f>Table2[[#This Row],[Column3]]*Table2[[#This Row],[Coating defect survey2]]</f>
        <v>0</v>
      </c>
      <c r="AK245" s="170">
        <v>19.493670000000002</v>
      </c>
    </row>
    <row r="246" spans="1:37" s="100" customFormat="1">
      <c r="A246" s="94">
        <v>5</v>
      </c>
      <c r="B246" s="95" t="s">
        <v>447</v>
      </c>
      <c r="C246" s="96">
        <v>41010202</v>
      </c>
      <c r="D246" s="97" t="s">
        <v>318</v>
      </c>
      <c r="E246" s="98"/>
      <c r="F246" s="98">
        <v>2000</v>
      </c>
      <c r="G246" s="98">
        <f>2013-Table2[[#This Row],[Startup Year]]</f>
        <v>13</v>
      </c>
      <c r="H246" s="98" t="s">
        <v>101</v>
      </c>
      <c r="I246" s="98" t="s">
        <v>108</v>
      </c>
      <c r="J246" s="98" t="s">
        <v>113</v>
      </c>
      <c r="K246" s="130">
        <v>0</v>
      </c>
      <c r="L246" s="98" t="s">
        <v>105</v>
      </c>
      <c r="M246" s="98" t="s">
        <v>105</v>
      </c>
      <c r="N246" s="98" t="s">
        <v>105</v>
      </c>
      <c r="O246" s="98" t="s">
        <v>143</v>
      </c>
      <c r="P246" s="98" t="s">
        <v>105</v>
      </c>
      <c r="Q246" s="98" t="s">
        <v>66</v>
      </c>
      <c r="R246" s="98" t="s">
        <v>72</v>
      </c>
      <c r="S24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6" s="98">
        <v>19.493670000000002</v>
      </c>
      <c r="U246" s="98"/>
      <c r="V246" s="98">
        <f>VLOOKUP(H246,'Ext. Pa'!$B$3:$C$77,2,FALSE)</f>
        <v>1</v>
      </c>
      <c r="W246" s="98">
        <f>VLOOKUP(I246,'Ext. Pa'!$B$3:$C$77,2,FALSE)</f>
        <v>1</v>
      </c>
      <c r="X246" s="98">
        <f>VLOOKUP(J246,'Ext. Pa'!$B$3:$C$77,2,FALSE)</f>
        <v>4</v>
      </c>
      <c r="Y246" s="98">
        <f>VLOOKUP(K246,'Ext. Pa'!$B$3:$C$77,2,FALSE)</f>
        <v>0</v>
      </c>
      <c r="Z246" s="98">
        <f>VLOOKUP(L246,'Ext. Pa'!$B$3:$C$77,2,FALSE)</f>
        <v>5</v>
      </c>
      <c r="AA246" s="98">
        <f>VLOOKUP(M246,'Ext. Pa'!$B$3:$C$77,2,FALSE)</f>
        <v>5</v>
      </c>
      <c r="AB246" s="98">
        <f>VLOOKUP(N246,'Ext. Pa'!$B$3:$C$77,2,FALSE)</f>
        <v>5</v>
      </c>
      <c r="AC246" s="98">
        <f>VLOOKUP(O246,'Ext. Pa'!$B$3:$C$77,2,FALSE)</f>
        <v>1</v>
      </c>
      <c r="AD246" s="98">
        <f>VLOOKUP(P246,'Ext. Pa'!$B$3:$C$77,2,FALSE)</f>
        <v>5</v>
      </c>
      <c r="AE246" s="98">
        <f>VLOOKUP(Q246,'Ext. Pa'!$B$3:$C$77,2,FALSE)</f>
        <v>6</v>
      </c>
      <c r="AF246" s="99">
        <f t="shared" si="12"/>
        <v>3.25</v>
      </c>
      <c r="AG246" s="134">
        <f>Table2[[#This Row],[Coating defect survey10]]</f>
        <v>1</v>
      </c>
      <c r="AH246" s="134">
        <f>Table2[[#This Row],[CP Level within NACE Criteria4]]</f>
        <v>1</v>
      </c>
      <c r="AI246" s="135">
        <f>IF(Table2[[#This Row],[CP level]]&gt;9.9,1,0)</f>
        <v>0</v>
      </c>
      <c r="AJ246" s="135">
        <f>Table2[[#This Row],[Column3]]*Table2[[#This Row],[Coating defect survey2]]</f>
        <v>0</v>
      </c>
      <c r="AK246" s="170">
        <v>19.493670000000002</v>
      </c>
    </row>
    <row r="247" spans="1:37" s="100" customFormat="1">
      <c r="A247" s="94">
        <v>5</v>
      </c>
      <c r="B247" s="95" t="s">
        <v>448</v>
      </c>
      <c r="C247" s="96">
        <v>41010203</v>
      </c>
      <c r="D247" s="97" t="s">
        <v>319</v>
      </c>
      <c r="E247" s="98"/>
      <c r="F247" s="98">
        <v>2000</v>
      </c>
      <c r="G247" s="98">
        <f>2013-Table2[[#This Row],[Startup Year]]</f>
        <v>13</v>
      </c>
      <c r="H247" s="98" t="s">
        <v>101</v>
      </c>
      <c r="I247" s="98" t="s">
        <v>108</v>
      </c>
      <c r="J247" s="98" t="s">
        <v>113</v>
      </c>
      <c r="K247" s="130">
        <v>0</v>
      </c>
      <c r="L247" s="98" t="s">
        <v>105</v>
      </c>
      <c r="M247" s="98" t="s">
        <v>105</v>
      </c>
      <c r="N247" s="98" t="s">
        <v>105</v>
      </c>
      <c r="O247" s="98" t="s">
        <v>143</v>
      </c>
      <c r="P247" s="98" t="s">
        <v>105</v>
      </c>
      <c r="Q247" s="98" t="s">
        <v>66</v>
      </c>
      <c r="R247" s="98" t="s">
        <v>72</v>
      </c>
      <c r="S24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7" s="98">
        <v>19.493670000000002</v>
      </c>
      <c r="U247" s="98"/>
      <c r="V247" s="98">
        <f>VLOOKUP(H247,'Ext. Pa'!$B$3:$C$77,2,FALSE)</f>
        <v>1</v>
      </c>
      <c r="W247" s="98">
        <f>VLOOKUP(I247,'Ext. Pa'!$B$3:$C$77,2,FALSE)</f>
        <v>1</v>
      </c>
      <c r="X247" s="98">
        <f>VLOOKUP(J247,'Ext. Pa'!$B$3:$C$77,2,FALSE)</f>
        <v>4</v>
      </c>
      <c r="Y247" s="98">
        <f>VLOOKUP(K247,'Ext. Pa'!$B$3:$C$77,2,FALSE)</f>
        <v>0</v>
      </c>
      <c r="Z247" s="98">
        <f>VLOOKUP(L247,'Ext. Pa'!$B$3:$C$77,2,FALSE)</f>
        <v>5</v>
      </c>
      <c r="AA247" s="98">
        <f>VLOOKUP(M247,'Ext. Pa'!$B$3:$C$77,2,FALSE)</f>
        <v>5</v>
      </c>
      <c r="AB247" s="98">
        <f>VLOOKUP(N247,'Ext. Pa'!$B$3:$C$77,2,FALSE)</f>
        <v>5</v>
      </c>
      <c r="AC247" s="98">
        <f>VLOOKUP(O247,'Ext. Pa'!$B$3:$C$77,2,FALSE)</f>
        <v>1</v>
      </c>
      <c r="AD247" s="98">
        <f>VLOOKUP(P247,'Ext. Pa'!$B$3:$C$77,2,FALSE)</f>
        <v>5</v>
      </c>
      <c r="AE247" s="98">
        <f>VLOOKUP(Q247,'Ext. Pa'!$B$3:$C$77,2,FALSE)</f>
        <v>6</v>
      </c>
      <c r="AF247" s="99">
        <f t="shared" si="12"/>
        <v>3.25</v>
      </c>
      <c r="AG247" s="134">
        <f>Table2[[#This Row],[Coating defect survey10]]</f>
        <v>1</v>
      </c>
      <c r="AH247" s="134">
        <f>Table2[[#This Row],[CP Level within NACE Criteria4]]</f>
        <v>1</v>
      </c>
      <c r="AI247" s="135">
        <f>IF(Table2[[#This Row],[CP level]]&gt;9.9,1,0)</f>
        <v>0</v>
      </c>
      <c r="AJ247" s="135">
        <f>Table2[[#This Row],[Column3]]*Table2[[#This Row],[Coating defect survey2]]</f>
        <v>0</v>
      </c>
      <c r="AK247" s="170">
        <v>19.493670000000002</v>
      </c>
    </row>
    <row r="248" spans="1:37" s="100" customFormat="1">
      <c r="A248" s="94">
        <v>5</v>
      </c>
      <c r="B248" s="95" t="s">
        <v>449</v>
      </c>
      <c r="C248" s="96">
        <v>41010204</v>
      </c>
      <c r="D248" s="97" t="s">
        <v>320</v>
      </c>
      <c r="E248" s="98"/>
      <c r="F248" s="98">
        <v>2000</v>
      </c>
      <c r="G248" s="98">
        <f>2013-Table2[[#This Row],[Startup Year]]</f>
        <v>13</v>
      </c>
      <c r="H248" s="98" t="s">
        <v>101</v>
      </c>
      <c r="I248" s="98" t="s">
        <v>108</v>
      </c>
      <c r="J248" s="98" t="s">
        <v>113</v>
      </c>
      <c r="K248" s="130">
        <v>0</v>
      </c>
      <c r="L248" s="98" t="s">
        <v>105</v>
      </c>
      <c r="M248" s="98" t="s">
        <v>105</v>
      </c>
      <c r="N248" s="98" t="s">
        <v>105</v>
      </c>
      <c r="O248" s="98" t="s">
        <v>143</v>
      </c>
      <c r="P248" s="98" t="s">
        <v>105</v>
      </c>
      <c r="Q248" s="98" t="s">
        <v>66</v>
      </c>
      <c r="R248" s="98" t="s">
        <v>72</v>
      </c>
      <c r="S24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8" s="98">
        <v>19.493670000000002</v>
      </c>
      <c r="U248" s="98"/>
      <c r="V248" s="98">
        <f>VLOOKUP(H248,'Ext. Pa'!$B$3:$C$77,2,FALSE)</f>
        <v>1</v>
      </c>
      <c r="W248" s="98">
        <f>VLOOKUP(I248,'Ext. Pa'!$B$3:$C$77,2,FALSE)</f>
        <v>1</v>
      </c>
      <c r="X248" s="98">
        <f>VLOOKUP(J248,'Ext. Pa'!$B$3:$C$77,2,FALSE)</f>
        <v>4</v>
      </c>
      <c r="Y248" s="98">
        <f>VLOOKUP(K248,'Ext. Pa'!$B$3:$C$77,2,FALSE)</f>
        <v>0</v>
      </c>
      <c r="Z248" s="98">
        <f>VLOOKUP(L248,'Ext. Pa'!$B$3:$C$77,2,FALSE)</f>
        <v>5</v>
      </c>
      <c r="AA248" s="98">
        <f>VLOOKUP(M248,'Ext. Pa'!$B$3:$C$77,2,FALSE)</f>
        <v>5</v>
      </c>
      <c r="AB248" s="98">
        <f>VLOOKUP(N248,'Ext. Pa'!$B$3:$C$77,2,FALSE)</f>
        <v>5</v>
      </c>
      <c r="AC248" s="98">
        <f>VLOOKUP(O248,'Ext. Pa'!$B$3:$C$77,2,FALSE)</f>
        <v>1</v>
      </c>
      <c r="AD248" s="98">
        <f>VLOOKUP(P248,'Ext. Pa'!$B$3:$C$77,2,FALSE)</f>
        <v>5</v>
      </c>
      <c r="AE248" s="98">
        <f>VLOOKUP(Q248,'Ext. Pa'!$B$3:$C$77,2,FALSE)</f>
        <v>6</v>
      </c>
      <c r="AF248" s="99">
        <f t="shared" si="12"/>
        <v>3.25</v>
      </c>
      <c r="AG248" s="134">
        <f>Table2[[#This Row],[Coating defect survey10]]</f>
        <v>1</v>
      </c>
      <c r="AH248" s="134">
        <f>Table2[[#This Row],[CP Level within NACE Criteria4]]</f>
        <v>1</v>
      </c>
      <c r="AI248" s="135">
        <f>IF(Table2[[#This Row],[CP level]]&gt;9.9,1,0)</f>
        <v>0</v>
      </c>
      <c r="AJ248" s="135">
        <f>Table2[[#This Row],[Column3]]*Table2[[#This Row],[Coating defect survey2]]</f>
        <v>0</v>
      </c>
      <c r="AK248" s="170">
        <v>19.493670000000002</v>
      </c>
    </row>
    <row r="249" spans="1:37" s="100" customFormat="1">
      <c r="A249" s="128">
        <v>5</v>
      </c>
      <c r="B249" s="129" t="s">
        <v>774</v>
      </c>
      <c r="C249" s="96">
        <v>410300001</v>
      </c>
      <c r="D249" s="97" t="s">
        <v>775</v>
      </c>
      <c r="E249" s="130"/>
      <c r="F249" s="130">
        <v>2000</v>
      </c>
      <c r="G249" s="130">
        <f>2013-Table2[[#This Row],[Startup Year]]</f>
        <v>13</v>
      </c>
      <c r="H249" s="130" t="s">
        <v>101</v>
      </c>
      <c r="I249" s="130" t="s">
        <v>108</v>
      </c>
      <c r="J249" s="130" t="s">
        <v>113</v>
      </c>
      <c r="K249" s="130">
        <v>0</v>
      </c>
      <c r="L249" s="130" t="s">
        <v>105</v>
      </c>
      <c r="M249" s="130" t="s">
        <v>105</v>
      </c>
      <c r="N249" s="130" t="s">
        <v>105</v>
      </c>
      <c r="O249" s="130" t="s">
        <v>143</v>
      </c>
      <c r="P249" s="130" t="s">
        <v>105</v>
      </c>
      <c r="Q249" s="130" t="s">
        <v>66</v>
      </c>
      <c r="R249" s="130" t="s">
        <v>72</v>
      </c>
      <c r="S24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49" s="131">
        <v>19.493670000000002</v>
      </c>
      <c r="U249" s="130"/>
      <c r="V249" s="131">
        <f>VLOOKUP(H249,'Ext. Pa'!$B$3:$C$77,2,FALSE)</f>
        <v>1</v>
      </c>
      <c r="W249" s="130">
        <f>VLOOKUP(I249,'Ext. Pa'!$B$3:$C$77,2,FALSE)</f>
        <v>1</v>
      </c>
      <c r="X249" s="130">
        <f>VLOOKUP(J249,'Ext. Pa'!$B$3:$C$77,2,FALSE)</f>
        <v>4</v>
      </c>
      <c r="Y249" s="130">
        <f>VLOOKUP(K249,'Ext. Pa'!$B$3:$C$77,2,FALSE)</f>
        <v>0</v>
      </c>
      <c r="Z249" s="130">
        <f>VLOOKUP(L249,'Ext. Pa'!$B$3:$C$77,2,FALSE)</f>
        <v>5</v>
      </c>
      <c r="AA249" s="130">
        <f>VLOOKUP(M249,'Ext. Pa'!$B$3:$C$77,2,FALSE)</f>
        <v>5</v>
      </c>
      <c r="AB249" s="130">
        <f>VLOOKUP(N249,'Ext. Pa'!$B$3:$C$77,2,FALSE)</f>
        <v>5</v>
      </c>
      <c r="AC249" s="130">
        <f>VLOOKUP(O249,'Ext. Pa'!$B$3:$C$77,2,FALSE)</f>
        <v>1</v>
      </c>
      <c r="AD249" s="130">
        <f>VLOOKUP(P249,'Ext. Pa'!$B$3:$C$77,2,FALSE)</f>
        <v>5</v>
      </c>
      <c r="AE249" s="130">
        <f>VLOOKUP(Q249,'Ext. Pa'!$B$3:$C$77,2,FALSE)</f>
        <v>6</v>
      </c>
      <c r="AF249" s="132">
        <f>IF(G249&lt;40,(G249)/4,40)</f>
        <v>3.25</v>
      </c>
      <c r="AG249" s="134">
        <f>Table2[[#This Row],[Coating defect survey10]]</f>
        <v>1</v>
      </c>
      <c r="AH249" s="134">
        <f>Table2[[#This Row],[CP Level within NACE Criteria4]]</f>
        <v>1</v>
      </c>
      <c r="AI249" s="135">
        <f>IF(Table2[[#This Row],[CP level]]&gt;9.9,1,0)</f>
        <v>0</v>
      </c>
      <c r="AJ249" s="135">
        <f>Table2[[#This Row],[Column3]]*Table2[[#This Row],[Coating defect survey2]]</f>
        <v>0</v>
      </c>
      <c r="AK249" s="170">
        <v>19.493670000000002</v>
      </c>
    </row>
    <row r="250" spans="1:37" s="100" customFormat="1">
      <c r="A250" s="94">
        <v>5</v>
      </c>
      <c r="B250" s="95" t="s">
        <v>450</v>
      </c>
      <c r="C250" s="96">
        <v>401201002</v>
      </c>
      <c r="D250" s="97" t="s">
        <v>321</v>
      </c>
      <c r="E250" s="98"/>
      <c r="F250" s="98">
        <v>2000</v>
      </c>
      <c r="G250" s="98">
        <f>2013-Table2[[#This Row],[Startup Year]]</f>
        <v>13</v>
      </c>
      <c r="H250" s="98" t="s">
        <v>101</v>
      </c>
      <c r="I250" s="98" t="s">
        <v>108</v>
      </c>
      <c r="J250" s="98" t="s">
        <v>113</v>
      </c>
      <c r="K250" s="130">
        <v>0</v>
      </c>
      <c r="L250" s="98" t="s">
        <v>105</v>
      </c>
      <c r="M250" s="98" t="s">
        <v>105</v>
      </c>
      <c r="N250" s="98" t="s">
        <v>105</v>
      </c>
      <c r="O250" s="98" t="s">
        <v>143</v>
      </c>
      <c r="P250" s="98" t="s">
        <v>105</v>
      </c>
      <c r="Q250" s="98" t="s">
        <v>66</v>
      </c>
      <c r="R250" s="98" t="s">
        <v>72</v>
      </c>
      <c r="S25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50" s="98">
        <v>19.493670000000002</v>
      </c>
      <c r="U250" s="98"/>
      <c r="V250" s="98">
        <f>VLOOKUP(H250,'Ext. Pa'!$B$3:$C$77,2,FALSE)</f>
        <v>1</v>
      </c>
      <c r="W250" s="98">
        <f>VLOOKUP(I250,'Ext. Pa'!$B$3:$C$77,2,FALSE)</f>
        <v>1</v>
      </c>
      <c r="X250" s="98">
        <f>VLOOKUP(J250,'Ext. Pa'!$B$3:$C$77,2,FALSE)</f>
        <v>4</v>
      </c>
      <c r="Y250" s="98">
        <f>VLOOKUP(K250,'Ext. Pa'!$B$3:$C$77,2,FALSE)</f>
        <v>0</v>
      </c>
      <c r="Z250" s="98">
        <f>VLOOKUP(L250,'Ext. Pa'!$B$3:$C$77,2,FALSE)</f>
        <v>5</v>
      </c>
      <c r="AA250" s="98">
        <f>VLOOKUP(M250,'Ext. Pa'!$B$3:$C$77,2,FALSE)</f>
        <v>5</v>
      </c>
      <c r="AB250" s="98">
        <f>VLOOKUP(N250,'Ext. Pa'!$B$3:$C$77,2,FALSE)</f>
        <v>5</v>
      </c>
      <c r="AC250" s="98">
        <f>VLOOKUP(O250,'Ext. Pa'!$B$3:$C$77,2,FALSE)</f>
        <v>1</v>
      </c>
      <c r="AD250" s="98">
        <f>VLOOKUP(P250,'Ext. Pa'!$B$3:$C$77,2,FALSE)</f>
        <v>5</v>
      </c>
      <c r="AE250" s="98">
        <f>VLOOKUP(Q250,'Ext. Pa'!$B$3:$C$77,2,FALSE)</f>
        <v>6</v>
      </c>
      <c r="AF250" s="99">
        <f t="shared" si="12"/>
        <v>3.25</v>
      </c>
      <c r="AG250" s="133">
        <f>Table2[[#This Row],[Coating defect survey10]]</f>
        <v>1</v>
      </c>
      <c r="AH250" s="134">
        <f>Table2[[#This Row],[CP Level within NACE Criteria4]]</f>
        <v>1</v>
      </c>
      <c r="AI250" s="135">
        <f>IF(Table2[[#This Row],[CP level]]&gt;9.9,1,0)</f>
        <v>0</v>
      </c>
      <c r="AJ250" s="135">
        <f>Table2[[#This Row],[Column3]]*Table2[[#This Row],[Coating defect survey2]]</f>
        <v>0</v>
      </c>
      <c r="AK250" s="170">
        <v>19.493670000000002</v>
      </c>
    </row>
    <row r="251" spans="1:37" s="100" customFormat="1">
      <c r="A251" s="128">
        <v>5</v>
      </c>
      <c r="B251" s="129" t="s">
        <v>776</v>
      </c>
      <c r="C251" s="96">
        <v>41010102</v>
      </c>
      <c r="D251" s="97" t="s">
        <v>322</v>
      </c>
      <c r="E251" s="130"/>
      <c r="F251" s="130">
        <v>2000</v>
      </c>
      <c r="G251" s="130">
        <f>2013-Table2[[#This Row],[Startup Year]]</f>
        <v>13</v>
      </c>
      <c r="H251" s="130" t="s">
        <v>101</v>
      </c>
      <c r="I251" s="130" t="s">
        <v>108</v>
      </c>
      <c r="J251" s="130" t="s">
        <v>113</v>
      </c>
      <c r="K251" s="130">
        <v>0</v>
      </c>
      <c r="L251" s="130" t="s">
        <v>105</v>
      </c>
      <c r="M251" s="130" t="s">
        <v>105</v>
      </c>
      <c r="N251" s="130" t="s">
        <v>105</v>
      </c>
      <c r="O251" s="130" t="s">
        <v>143</v>
      </c>
      <c r="P251" s="130" t="s">
        <v>105</v>
      </c>
      <c r="Q251" s="130" t="s">
        <v>66</v>
      </c>
      <c r="R251" s="130" t="s">
        <v>72</v>
      </c>
      <c r="S25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51" s="131">
        <v>19.493670000000002</v>
      </c>
      <c r="U251" s="130"/>
      <c r="V251" s="131">
        <f>VLOOKUP(H251,'Ext. Pa'!$B$3:$C$77,2,FALSE)</f>
        <v>1</v>
      </c>
      <c r="W251" s="130">
        <f>VLOOKUP(I251,'Ext. Pa'!$B$3:$C$77,2,FALSE)</f>
        <v>1</v>
      </c>
      <c r="X251" s="130">
        <f>VLOOKUP(J251,'Ext. Pa'!$B$3:$C$77,2,FALSE)</f>
        <v>4</v>
      </c>
      <c r="Y251" s="130">
        <f>VLOOKUP(K251,'Ext. Pa'!$B$3:$C$77,2,FALSE)</f>
        <v>0</v>
      </c>
      <c r="Z251" s="130">
        <f>VLOOKUP(L251,'Ext. Pa'!$B$3:$C$77,2,FALSE)</f>
        <v>5</v>
      </c>
      <c r="AA251" s="130">
        <f>VLOOKUP(M251,'Ext. Pa'!$B$3:$C$77,2,FALSE)</f>
        <v>5</v>
      </c>
      <c r="AB251" s="130">
        <f>VLOOKUP(N251,'Ext. Pa'!$B$3:$C$77,2,FALSE)</f>
        <v>5</v>
      </c>
      <c r="AC251" s="130">
        <f>VLOOKUP(O251,'Ext. Pa'!$B$3:$C$77,2,FALSE)</f>
        <v>1</v>
      </c>
      <c r="AD251" s="130">
        <f>VLOOKUP(P251,'Ext. Pa'!$B$3:$C$77,2,FALSE)</f>
        <v>5</v>
      </c>
      <c r="AE251" s="130">
        <f>VLOOKUP(Q251,'Ext. Pa'!$B$3:$C$77,2,FALSE)</f>
        <v>6</v>
      </c>
      <c r="AF251" s="132">
        <f>IF(G251&lt;40,(G251)/4,40)</f>
        <v>3.25</v>
      </c>
      <c r="AG251" s="134">
        <f>Table2[[#This Row],[Coating defect survey10]]</f>
        <v>1</v>
      </c>
      <c r="AH251" s="134">
        <f>Table2[[#This Row],[CP Level within NACE Criteria4]]</f>
        <v>1</v>
      </c>
      <c r="AI251" s="135">
        <f>IF(Table2[[#This Row],[CP level]]&gt;9.9,1,0)</f>
        <v>0</v>
      </c>
      <c r="AJ251" s="135">
        <f>Table2[[#This Row],[Column3]]*Table2[[#This Row],[Coating defect survey2]]</f>
        <v>0</v>
      </c>
      <c r="AK251" s="170">
        <v>19.493670000000002</v>
      </c>
    </row>
    <row r="252" spans="1:37" s="100" customFormat="1">
      <c r="A252" s="179">
        <v>5</v>
      </c>
      <c r="B252" s="180" t="s">
        <v>786</v>
      </c>
      <c r="C252" s="181">
        <v>41010103</v>
      </c>
      <c r="D252" s="182" t="s">
        <v>787</v>
      </c>
      <c r="E252" s="183"/>
      <c r="F252" s="183">
        <v>2014</v>
      </c>
      <c r="G252" s="183">
        <f>2013-Table2[[#This Row],[Startup Year]]</f>
        <v>-1</v>
      </c>
      <c r="H252" s="183" t="s">
        <v>101</v>
      </c>
      <c r="I252" s="183" t="s">
        <v>108</v>
      </c>
      <c r="J252" s="183" t="s">
        <v>118</v>
      </c>
      <c r="K252" s="130">
        <v>0</v>
      </c>
      <c r="L252" s="183" t="s">
        <v>105</v>
      </c>
      <c r="M252" s="183" t="s">
        <v>105</v>
      </c>
      <c r="N252" s="183" t="s">
        <v>105</v>
      </c>
      <c r="O252" s="183" t="s">
        <v>143</v>
      </c>
      <c r="P252" s="183" t="s">
        <v>105</v>
      </c>
      <c r="Q252" s="183" t="s">
        <v>66</v>
      </c>
      <c r="R252" s="183" t="s">
        <v>72</v>
      </c>
      <c r="S252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13.00632911392405</v>
      </c>
      <c r="T252" s="184">
        <v>19.493670000000002</v>
      </c>
      <c r="U252" s="183"/>
      <c r="V252" s="184">
        <f>VLOOKUP(H252,'Ext. Pa'!$B$3:$C$77,2,FALSE)</f>
        <v>1</v>
      </c>
      <c r="W252" s="183">
        <f>VLOOKUP(I252,'Ext. Pa'!$B$3:$C$77,2,FALSE)</f>
        <v>1</v>
      </c>
      <c r="X252" s="183">
        <f>VLOOKUP(J252,'Ext. Pa'!$B$3:$C$77,2,FALSE)</f>
        <v>0</v>
      </c>
      <c r="Y252" s="183">
        <f>VLOOKUP(K252,'Ext. Pa'!$B$3:$C$77,2,FALSE)</f>
        <v>0</v>
      </c>
      <c r="Z252" s="183">
        <f>VLOOKUP(L252,'Ext. Pa'!$B$3:$C$77,2,FALSE)</f>
        <v>5</v>
      </c>
      <c r="AA252" s="183">
        <f>VLOOKUP(M252,'Ext. Pa'!$B$3:$C$77,2,FALSE)</f>
        <v>5</v>
      </c>
      <c r="AB252" s="183">
        <f>VLOOKUP(N252,'Ext. Pa'!$B$3:$C$77,2,FALSE)</f>
        <v>5</v>
      </c>
      <c r="AC252" s="183">
        <f>VLOOKUP(O252,'Ext. Pa'!$B$3:$C$77,2,FALSE)</f>
        <v>1</v>
      </c>
      <c r="AD252" s="183">
        <f>VLOOKUP(P252,'Ext. Pa'!$B$3:$C$77,2,FALSE)</f>
        <v>5</v>
      </c>
      <c r="AE252" s="183">
        <f>VLOOKUP(Q252,'Ext. Pa'!$B$3:$C$77,2,FALSE)</f>
        <v>6</v>
      </c>
      <c r="AF252" s="185">
        <f>IF(G252&lt;40,(G252)/4,40)</f>
        <v>-0.25</v>
      </c>
      <c r="AG252" s="134">
        <f>Table2[[#This Row],[Coating defect survey10]]</f>
        <v>1</v>
      </c>
      <c r="AH252" s="134">
        <f>Table2[[#This Row],[CP Level within NACE Criteria4]]</f>
        <v>1</v>
      </c>
      <c r="AI252" s="135">
        <f>IF(Table2[[#This Row],[CP level]]&gt;9.9,1,0)</f>
        <v>0</v>
      </c>
      <c r="AJ252" s="135">
        <f>Table2[[#This Row],[Column3]]*Table2[[#This Row],[Coating defect survey2]]</f>
        <v>0</v>
      </c>
      <c r="AK252" s="170">
        <v>19.493670000000002</v>
      </c>
    </row>
    <row r="253" spans="1:37" s="100" customFormat="1" ht="25.5">
      <c r="A253" s="94">
        <v>6</v>
      </c>
      <c r="B253" s="95" t="s">
        <v>451</v>
      </c>
      <c r="C253" s="96">
        <v>4457</v>
      </c>
      <c r="D253" s="97" t="s">
        <v>323</v>
      </c>
      <c r="E253" s="98"/>
      <c r="F253" s="98">
        <v>2008</v>
      </c>
      <c r="G253" s="98">
        <f>2013-Table2[[#This Row],[Startup Year]]</f>
        <v>5</v>
      </c>
      <c r="H253" s="98" t="s">
        <v>101</v>
      </c>
      <c r="I253" s="98" t="s">
        <v>108</v>
      </c>
      <c r="J253" s="98" t="s">
        <v>113</v>
      </c>
      <c r="K253" s="98">
        <v>0</v>
      </c>
      <c r="L253" s="98" t="s">
        <v>105</v>
      </c>
      <c r="M253" s="98" t="s">
        <v>105</v>
      </c>
      <c r="N253" s="98" t="s">
        <v>105</v>
      </c>
      <c r="O253" s="98" t="s">
        <v>105</v>
      </c>
      <c r="P253" s="98" t="s">
        <v>105</v>
      </c>
      <c r="Q253" s="98" t="s">
        <v>66</v>
      </c>
      <c r="R253" s="98" t="s">
        <v>72</v>
      </c>
      <c r="S25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53" s="98">
        <v>19.493670000000002</v>
      </c>
      <c r="U253" s="98"/>
      <c r="V253" s="98">
        <f>VLOOKUP(H253,'Ext. Pa'!$B$3:$C$77,2,FALSE)</f>
        <v>1</v>
      </c>
      <c r="W253" s="98">
        <f>VLOOKUP(I253,'Ext. Pa'!$B$3:$C$77,2,FALSE)</f>
        <v>1</v>
      </c>
      <c r="X253" s="98">
        <f>VLOOKUP(J253,'Ext. Pa'!$B$3:$C$77,2,FALSE)</f>
        <v>4</v>
      </c>
      <c r="Y253" s="98">
        <f>VLOOKUP(K253,'Ext. Pa'!$B$3:$C$77,2,FALSE)</f>
        <v>0</v>
      </c>
      <c r="Z253" s="98">
        <f>VLOOKUP(L253,'Ext. Pa'!$B$3:$C$77,2,FALSE)</f>
        <v>5</v>
      </c>
      <c r="AA253" s="98">
        <f>VLOOKUP(M253,'Ext. Pa'!$B$3:$C$77,2,FALSE)</f>
        <v>5</v>
      </c>
      <c r="AB253" s="98">
        <f>VLOOKUP(N253,'Ext. Pa'!$B$3:$C$77,2,FALSE)</f>
        <v>5</v>
      </c>
      <c r="AC253" s="98">
        <f>VLOOKUP(O253,'Ext. Pa'!$B$3:$C$77,2,FALSE)</f>
        <v>5</v>
      </c>
      <c r="AD253" s="98">
        <f>VLOOKUP(P253,'Ext. Pa'!$B$3:$C$77,2,FALSE)</f>
        <v>5</v>
      </c>
      <c r="AE253" s="98">
        <f>VLOOKUP(Q253,'Ext. Pa'!$B$3:$C$77,2,FALSE)</f>
        <v>6</v>
      </c>
      <c r="AF253" s="99">
        <f t="shared" si="12"/>
        <v>1.25</v>
      </c>
      <c r="AG253" s="134">
        <f>Table2[[#This Row],[Coating defect survey10]]</f>
        <v>5</v>
      </c>
      <c r="AH253" s="134">
        <f>Table2[[#This Row],[CP Level within NACE Criteria4]]</f>
        <v>1</v>
      </c>
      <c r="AI253" s="135">
        <f>IF(Table2[[#This Row],[CP level]]&gt;9.9,1,0)</f>
        <v>0</v>
      </c>
      <c r="AJ253" s="135">
        <f>Table2[[#This Row],[Column3]]*Table2[[#This Row],[Coating defect survey2]]</f>
        <v>0</v>
      </c>
      <c r="AK253" s="170">
        <v>19.493670000000002</v>
      </c>
    </row>
    <row r="254" spans="1:37" s="100" customFormat="1">
      <c r="A254" s="94">
        <v>6</v>
      </c>
      <c r="B254" s="95" t="s">
        <v>452</v>
      </c>
      <c r="C254" s="96">
        <v>5062</v>
      </c>
      <c r="D254" s="97" t="s">
        <v>324</v>
      </c>
      <c r="E254" s="98"/>
      <c r="F254" s="98">
        <v>2010</v>
      </c>
      <c r="G254" s="98">
        <f>2013-Table2[[#This Row],[Startup Year]]</f>
        <v>3</v>
      </c>
      <c r="H254" s="98" t="s">
        <v>101</v>
      </c>
      <c r="I254" s="98" t="s">
        <v>108</v>
      </c>
      <c r="J254" s="98" t="s">
        <v>113</v>
      </c>
      <c r="K254" s="98">
        <v>0</v>
      </c>
      <c r="L254" s="98" t="s">
        <v>105</v>
      </c>
      <c r="M254" s="98" t="s">
        <v>105</v>
      </c>
      <c r="N254" s="98" t="s">
        <v>105</v>
      </c>
      <c r="O254" s="98" t="s">
        <v>105</v>
      </c>
      <c r="P254" s="98" t="s">
        <v>105</v>
      </c>
      <c r="Q254" s="98" t="s">
        <v>66</v>
      </c>
      <c r="R254" s="98" t="s">
        <v>72</v>
      </c>
      <c r="S25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16.170886075949365</v>
      </c>
      <c r="T254" s="98">
        <v>19.493670000000002</v>
      </c>
      <c r="U254" s="98"/>
      <c r="V254" s="98">
        <f>VLOOKUP(H254,'Ext. Pa'!$B$3:$C$77,2,FALSE)</f>
        <v>1</v>
      </c>
      <c r="W254" s="98">
        <f>VLOOKUP(I254,'Ext. Pa'!$B$3:$C$77,2,FALSE)</f>
        <v>1</v>
      </c>
      <c r="X254" s="98">
        <f>VLOOKUP(J254,'Ext. Pa'!$B$3:$C$77,2,FALSE)</f>
        <v>4</v>
      </c>
      <c r="Y254" s="98">
        <f>VLOOKUP(K254,'Ext. Pa'!$B$3:$C$77,2,FALSE)</f>
        <v>0</v>
      </c>
      <c r="Z254" s="98">
        <f>VLOOKUP(L254,'Ext. Pa'!$B$3:$C$77,2,FALSE)</f>
        <v>5</v>
      </c>
      <c r="AA254" s="98">
        <f>VLOOKUP(M254,'Ext. Pa'!$B$3:$C$77,2,FALSE)</f>
        <v>5</v>
      </c>
      <c r="AB254" s="98">
        <f>VLOOKUP(N254,'Ext. Pa'!$B$3:$C$77,2,FALSE)</f>
        <v>5</v>
      </c>
      <c r="AC254" s="98">
        <f>VLOOKUP(O254,'Ext. Pa'!$B$3:$C$77,2,FALSE)</f>
        <v>5</v>
      </c>
      <c r="AD254" s="98">
        <f>VLOOKUP(P254,'Ext. Pa'!$B$3:$C$77,2,FALSE)</f>
        <v>5</v>
      </c>
      <c r="AE254" s="98">
        <f>VLOOKUP(Q254,'Ext. Pa'!$B$3:$C$77,2,FALSE)</f>
        <v>6</v>
      </c>
      <c r="AF254" s="99">
        <f t="shared" si="12"/>
        <v>0.75</v>
      </c>
      <c r="AG254" s="134">
        <f>Table2[[#This Row],[Coating defect survey10]]</f>
        <v>5</v>
      </c>
      <c r="AH254" s="134">
        <f>Table2[[#This Row],[CP Level within NACE Criteria4]]</f>
        <v>1</v>
      </c>
      <c r="AI254" s="135">
        <f>IF(Table2[[#This Row],[CP level]]&gt;9.9,1,0)</f>
        <v>0</v>
      </c>
      <c r="AJ254" s="135">
        <f>Table2[[#This Row],[Column3]]*Table2[[#This Row],[Coating defect survey2]]</f>
        <v>0</v>
      </c>
      <c r="AK254" s="170">
        <v>19.493670000000002</v>
      </c>
    </row>
    <row r="255" spans="1:37" s="100" customFormat="1">
      <c r="A255" s="94">
        <v>6</v>
      </c>
      <c r="B255" s="95" t="s">
        <v>453</v>
      </c>
      <c r="C255" s="96">
        <v>6100</v>
      </c>
      <c r="D255" s="97" t="s">
        <v>325</v>
      </c>
      <c r="E255" s="98"/>
      <c r="F255" s="98">
        <v>2010</v>
      </c>
      <c r="G255" s="98">
        <f>2013-Table2[[#This Row],[Startup Year]]</f>
        <v>3</v>
      </c>
      <c r="H255" s="98" t="s">
        <v>101</v>
      </c>
      <c r="I255" s="98" t="s">
        <v>108</v>
      </c>
      <c r="J255" s="98" t="s">
        <v>113</v>
      </c>
      <c r="K255" s="98">
        <v>0</v>
      </c>
      <c r="L255" s="98" t="s">
        <v>105</v>
      </c>
      <c r="M255" s="98" t="s">
        <v>105</v>
      </c>
      <c r="N255" s="98" t="s">
        <v>105</v>
      </c>
      <c r="O255" s="98" t="s">
        <v>105</v>
      </c>
      <c r="P255" s="98" t="s">
        <v>105</v>
      </c>
      <c r="Q255" s="98" t="s">
        <v>66</v>
      </c>
      <c r="R255" s="98" t="s">
        <v>72</v>
      </c>
      <c r="S25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16.170886075949365</v>
      </c>
      <c r="T255" s="98">
        <v>19.493670000000002</v>
      </c>
      <c r="U255" s="98"/>
      <c r="V255" s="98">
        <f>VLOOKUP(H255,'Ext. Pa'!$B$3:$C$77,2,FALSE)</f>
        <v>1</v>
      </c>
      <c r="W255" s="98">
        <f>VLOOKUP(I255,'Ext. Pa'!$B$3:$C$77,2,FALSE)</f>
        <v>1</v>
      </c>
      <c r="X255" s="98">
        <f>VLOOKUP(J255,'Ext. Pa'!$B$3:$C$77,2,FALSE)</f>
        <v>4</v>
      </c>
      <c r="Y255" s="98">
        <f>VLOOKUP(K255,'Ext. Pa'!$B$3:$C$77,2,FALSE)</f>
        <v>0</v>
      </c>
      <c r="Z255" s="98">
        <f>VLOOKUP(L255,'Ext. Pa'!$B$3:$C$77,2,FALSE)</f>
        <v>5</v>
      </c>
      <c r="AA255" s="98">
        <f>VLOOKUP(M255,'Ext. Pa'!$B$3:$C$77,2,FALSE)</f>
        <v>5</v>
      </c>
      <c r="AB255" s="98">
        <f>VLOOKUP(N255,'Ext. Pa'!$B$3:$C$77,2,FALSE)</f>
        <v>5</v>
      </c>
      <c r="AC255" s="98">
        <f>VLOOKUP(O255,'Ext. Pa'!$B$3:$C$77,2,FALSE)</f>
        <v>5</v>
      </c>
      <c r="AD255" s="98">
        <f>VLOOKUP(P255,'Ext. Pa'!$B$3:$C$77,2,FALSE)</f>
        <v>5</v>
      </c>
      <c r="AE255" s="98">
        <f>VLOOKUP(Q255,'Ext. Pa'!$B$3:$C$77,2,FALSE)</f>
        <v>6</v>
      </c>
      <c r="AF255" s="99">
        <f t="shared" si="12"/>
        <v>0.75</v>
      </c>
      <c r="AG255" s="133">
        <f>Table2[[#This Row],[Coating defect survey10]]</f>
        <v>5</v>
      </c>
      <c r="AH255" s="134">
        <f>Table2[[#This Row],[CP Level within NACE Criteria4]]</f>
        <v>1</v>
      </c>
      <c r="AI255" s="135">
        <f>IF(Table2[[#This Row],[CP level]]&gt;9.9,1,0)</f>
        <v>0</v>
      </c>
      <c r="AJ255" s="135">
        <f>Table2[[#This Row],[Column3]]*Table2[[#This Row],[Coating defect survey2]]</f>
        <v>0</v>
      </c>
      <c r="AK255" s="170">
        <v>19.493670000000002</v>
      </c>
    </row>
    <row r="256" spans="1:37" s="100" customFormat="1" ht="25.5">
      <c r="A256" s="94">
        <v>6</v>
      </c>
      <c r="B256" s="95" t="s">
        <v>454</v>
      </c>
      <c r="C256" s="96">
        <v>50611</v>
      </c>
      <c r="D256" s="97" t="s">
        <v>326</v>
      </c>
      <c r="E256" s="98"/>
      <c r="F256" s="98">
        <v>2000</v>
      </c>
      <c r="G256" s="98">
        <f>2013-Table2[[#This Row],[Startup Year]]</f>
        <v>13</v>
      </c>
      <c r="H256" s="98" t="s">
        <v>101</v>
      </c>
      <c r="I256" s="98" t="s">
        <v>108</v>
      </c>
      <c r="J256" s="98" t="s">
        <v>113</v>
      </c>
      <c r="K256" s="98">
        <v>0</v>
      </c>
      <c r="L256" s="98" t="s">
        <v>105</v>
      </c>
      <c r="M256" s="98" t="s">
        <v>105</v>
      </c>
      <c r="N256" s="98" t="s">
        <v>105</v>
      </c>
      <c r="O256" s="98" t="s">
        <v>105</v>
      </c>
      <c r="P256" s="98" t="s">
        <v>105</v>
      </c>
      <c r="Q256" s="98" t="s">
        <v>66</v>
      </c>
      <c r="R256" s="98" t="s">
        <v>72</v>
      </c>
      <c r="S25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56" s="98">
        <v>19.493670000000002</v>
      </c>
      <c r="U256" s="98"/>
      <c r="V256" s="98">
        <f>VLOOKUP(H256,'Ext. Pa'!$B$3:$C$77,2,FALSE)</f>
        <v>1</v>
      </c>
      <c r="W256" s="98">
        <f>VLOOKUP(I256,'Ext. Pa'!$B$3:$C$77,2,FALSE)</f>
        <v>1</v>
      </c>
      <c r="X256" s="98">
        <f>VLOOKUP(J256,'Ext. Pa'!$B$3:$C$77,2,FALSE)</f>
        <v>4</v>
      </c>
      <c r="Y256" s="98">
        <f>VLOOKUP(K256,'Ext. Pa'!$B$3:$C$77,2,FALSE)</f>
        <v>0</v>
      </c>
      <c r="Z256" s="98">
        <f>VLOOKUP(L256,'Ext. Pa'!$B$3:$C$77,2,FALSE)</f>
        <v>5</v>
      </c>
      <c r="AA256" s="98">
        <f>VLOOKUP(M256,'Ext. Pa'!$B$3:$C$77,2,FALSE)</f>
        <v>5</v>
      </c>
      <c r="AB256" s="98">
        <f>VLOOKUP(N256,'Ext. Pa'!$B$3:$C$77,2,FALSE)</f>
        <v>5</v>
      </c>
      <c r="AC256" s="98">
        <f>VLOOKUP(O256,'Ext. Pa'!$B$3:$C$77,2,FALSE)</f>
        <v>5</v>
      </c>
      <c r="AD256" s="98">
        <f>VLOOKUP(P256,'Ext. Pa'!$B$3:$C$77,2,FALSE)</f>
        <v>5</v>
      </c>
      <c r="AE256" s="98">
        <f>VLOOKUP(Q256,'Ext. Pa'!$B$3:$C$77,2,FALSE)</f>
        <v>6</v>
      </c>
      <c r="AF256" s="99">
        <f t="shared" si="12"/>
        <v>3.25</v>
      </c>
      <c r="AG256" s="134">
        <f>Table2[[#This Row],[Coating defect survey10]]</f>
        <v>5</v>
      </c>
      <c r="AH256" s="134">
        <f>Table2[[#This Row],[CP Level within NACE Criteria4]]</f>
        <v>1</v>
      </c>
      <c r="AI256" s="135">
        <f>IF(Table2[[#This Row],[CP level]]&gt;9.9,1,0)</f>
        <v>0</v>
      </c>
      <c r="AJ256" s="135">
        <f>Table2[[#This Row],[Column3]]*Table2[[#This Row],[Coating defect survey2]]</f>
        <v>0</v>
      </c>
      <c r="AK256" s="170">
        <v>19.493670000000002</v>
      </c>
    </row>
    <row r="257" spans="1:37" s="207" customFormat="1">
      <c r="A257" s="113">
        <v>6</v>
      </c>
      <c r="B257" s="202" t="s">
        <v>455</v>
      </c>
      <c r="C257" s="111">
        <v>445402</v>
      </c>
      <c r="D257" s="112" t="s">
        <v>327</v>
      </c>
      <c r="E257" s="86"/>
      <c r="F257" s="86">
        <v>2000</v>
      </c>
      <c r="G257" s="86">
        <f>2013-Table2[[#This Row],[Startup Year]]</f>
        <v>13</v>
      </c>
      <c r="H257" s="86" t="s">
        <v>101</v>
      </c>
      <c r="I257" s="86" t="s">
        <v>108</v>
      </c>
      <c r="J257" s="86" t="s">
        <v>113</v>
      </c>
      <c r="K257" s="86" t="s">
        <v>123</v>
      </c>
      <c r="L257" s="86" t="s">
        <v>105</v>
      </c>
      <c r="M257" s="86" t="s">
        <v>105</v>
      </c>
      <c r="N257" s="86" t="s">
        <v>105</v>
      </c>
      <c r="O257" s="86" t="s">
        <v>105</v>
      </c>
      <c r="P257" s="86" t="s">
        <v>105</v>
      </c>
      <c r="Q257" s="86" t="s">
        <v>66</v>
      </c>
      <c r="R257" s="86" t="s">
        <v>72</v>
      </c>
      <c r="S257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36.74050632911392</v>
      </c>
      <c r="T257" s="86">
        <v>19.493670000000002</v>
      </c>
      <c r="U257" s="86"/>
      <c r="V257" s="86">
        <f>VLOOKUP(H257,'Ext. Pa'!$B$3:$C$77,2,FALSE)</f>
        <v>1</v>
      </c>
      <c r="W257" s="86">
        <f>VLOOKUP(I257,'Ext. Pa'!$B$3:$C$77,2,FALSE)</f>
        <v>1</v>
      </c>
      <c r="X257" s="86">
        <f>VLOOKUP(J257,'Ext. Pa'!$B$3:$C$77,2,FALSE)</f>
        <v>4</v>
      </c>
      <c r="Y257" s="86">
        <f>VLOOKUP(K257,'Ext. Pa'!$B$3:$C$77,2,FALSE)</f>
        <v>6</v>
      </c>
      <c r="Z257" s="86">
        <f>VLOOKUP(L257,'Ext. Pa'!$B$3:$C$77,2,FALSE)</f>
        <v>5</v>
      </c>
      <c r="AA257" s="86">
        <f>VLOOKUP(M257,'Ext. Pa'!$B$3:$C$77,2,FALSE)</f>
        <v>5</v>
      </c>
      <c r="AB257" s="86">
        <f>VLOOKUP(N257,'Ext. Pa'!$B$3:$C$77,2,FALSE)</f>
        <v>5</v>
      </c>
      <c r="AC257" s="86">
        <f>VLOOKUP(O257,'Ext. Pa'!$B$3:$C$77,2,FALSE)</f>
        <v>5</v>
      </c>
      <c r="AD257" s="86">
        <f>VLOOKUP(P257,'Ext. Pa'!$B$3:$C$77,2,FALSE)</f>
        <v>5</v>
      </c>
      <c r="AE257" s="86">
        <f>VLOOKUP(Q257,'Ext. Pa'!$B$3:$C$77,2,FALSE)</f>
        <v>6</v>
      </c>
      <c r="AF257" s="204">
        <f t="shared" ref="AF257:AF284" si="15">IF(G257&lt;40,(G257)/4,40)</f>
        <v>3.25</v>
      </c>
      <c r="AG257" s="205">
        <f>Table2[[#This Row],[Coating defect survey10]]</f>
        <v>5</v>
      </c>
      <c r="AH257" s="208">
        <f>Table2[[#This Row],[CP Level within NACE Criteria4]]</f>
        <v>1</v>
      </c>
      <c r="AI257" s="206">
        <f>IF(Table2[[#This Row],[CP level]]&gt;9.9,1,0)</f>
        <v>0</v>
      </c>
      <c r="AJ257" s="206">
        <f>Table2[[#This Row],[Column3]]*Table2[[#This Row],[Coating defect survey2]]</f>
        <v>0</v>
      </c>
      <c r="AK257" s="170">
        <v>19.493670000000002</v>
      </c>
    </row>
    <row r="258" spans="1:37" s="100" customFormat="1">
      <c r="A258" s="94">
        <v>6</v>
      </c>
      <c r="B258" s="95" t="s">
        <v>456</v>
      </c>
      <c r="C258" s="96">
        <v>445403</v>
      </c>
      <c r="D258" s="97" t="s">
        <v>328</v>
      </c>
      <c r="E258" s="98"/>
      <c r="F258" s="98">
        <v>2012</v>
      </c>
      <c r="G258" s="98">
        <f>2013-Table2[[#This Row],[Startup Year]]</f>
        <v>1</v>
      </c>
      <c r="H258" s="98" t="s">
        <v>101</v>
      </c>
      <c r="I258" s="98" t="s">
        <v>108</v>
      </c>
      <c r="J258" s="98" t="s">
        <v>113</v>
      </c>
      <c r="K258" s="98">
        <v>0</v>
      </c>
      <c r="L258" s="98" t="s">
        <v>105</v>
      </c>
      <c r="M258" s="98" t="s">
        <v>105</v>
      </c>
      <c r="N258" s="98" t="s">
        <v>105</v>
      </c>
      <c r="O258" s="98" t="s">
        <v>105</v>
      </c>
      <c r="P258" s="98" t="s">
        <v>105</v>
      </c>
      <c r="Q258" s="98" t="s">
        <v>66</v>
      </c>
      <c r="R258" s="98" t="s">
        <v>72</v>
      </c>
      <c r="S25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15.854430379746834</v>
      </c>
      <c r="T258" s="98">
        <v>19.493670000000002</v>
      </c>
      <c r="U258" s="98"/>
      <c r="V258" s="98">
        <f>VLOOKUP(H258,'Ext. Pa'!$B$3:$C$77,2,FALSE)</f>
        <v>1</v>
      </c>
      <c r="W258" s="98">
        <f>VLOOKUP(I258,'Ext. Pa'!$B$3:$C$77,2,FALSE)</f>
        <v>1</v>
      </c>
      <c r="X258" s="98">
        <f>VLOOKUP(J258,'Ext. Pa'!$B$3:$C$77,2,FALSE)</f>
        <v>4</v>
      </c>
      <c r="Y258" s="98">
        <f>VLOOKUP(K258,'Ext. Pa'!$B$3:$C$77,2,FALSE)</f>
        <v>0</v>
      </c>
      <c r="Z258" s="98">
        <f>VLOOKUP(L258,'Ext. Pa'!$B$3:$C$77,2,FALSE)</f>
        <v>5</v>
      </c>
      <c r="AA258" s="98">
        <f>VLOOKUP(M258,'Ext. Pa'!$B$3:$C$77,2,FALSE)</f>
        <v>5</v>
      </c>
      <c r="AB258" s="98">
        <f>VLOOKUP(N258,'Ext. Pa'!$B$3:$C$77,2,FALSE)</f>
        <v>5</v>
      </c>
      <c r="AC258" s="98">
        <f>VLOOKUP(O258,'Ext. Pa'!$B$3:$C$77,2,FALSE)</f>
        <v>5</v>
      </c>
      <c r="AD258" s="98">
        <f>VLOOKUP(P258,'Ext. Pa'!$B$3:$C$77,2,FALSE)</f>
        <v>5</v>
      </c>
      <c r="AE258" s="98">
        <f>VLOOKUP(Q258,'Ext. Pa'!$B$3:$C$77,2,FALSE)</f>
        <v>6</v>
      </c>
      <c r="AF258" s="99">
        <f t="shared" si="15"/>
        <v>0.25</v>
      </c>
      <c r="AG258" s="134">
        <f>Table2[[#This Row],[Coating defect survey10]]</f>
        <v>5</v>
      </c>
      <c r="AH258" s="134">
        <f>Table2[[#This Row],[CP Level within NACE Criteria4]]</f>
        <v>1</v>
      </c>
      <c r="AI258" s="135">
        <f>IF(Table2[[#This Row],[CP level]]&gt;9.9,1,0)</f>
        <v>0</v>
      </c>
      <c r="AJ258" s="135">
        <f>Table2[[#This Row],[Column3]]*Table2[[#This Row],[Coating defect survey2]]</f>
        <v>0</v>
      </c>
      <c r="AK258" s="170">
        <v>19.493670000000002</v>
      </c>
    </row>
    <row r="259" spans="1:37" s="100" customFormat="1" ht="25.5">
      <c r="A259" s="94">
        <v>6</v>
      </c>
      <c r="B259" s="95" t="s">
        <v>457</v>
      </c>
      <c r="C259" s="96">
        <v>615201</v>
      </c>
      <c r="D259" s="97" t="s">
        <v>329</v>
      </c>
      <c r="E259" s="98"/>
      <c r="F259" s="98">
        <v>2011</v>
      </c>
      <c r="G259" s="98">
        <f>2013-Table2[[#This Row],[Startup Year]]</f>
        <v>2</v>
      </c>
      <c r="H259" s="98" t="s">
        <v>101</v>
      </c>
      <c r="I259" s="98" t="s">
        <v>108</v>
      </c>
      <c r="J259" s="98" t="s">
        <v>113</v>
      </c>
      <c r="K259" s="98">
        <v>0</v>
      </c>
      <c r="L259" s="98" t="s">
        <v>105</v>
      </c>
      <c r="M259" s="98" t="s">
        <v>105</v>
      </c>
      <c r="N259" s="98" t="s">
        <v>105</v>
      </c>
      <c r="O259" s="98" t="s">
        <v>105</v>
      </c>
      <c r="P259" s="98" t="s">
        <v>105</v>
      </c>
      <c r="Q259" s="98" t="s">
        <v>66</v>
      </c>
      <c r="R259" s="98" t="s">
        <v>72</v>
      </c>
      <c r="S25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16.0126582278481</v>
      </c>
      <c r="T259" s="98">
        <v>19.493670000000002</v>
      </c>
      <c r="U259" s="98"/>
      <c r="V259" s="98">
        <f>VLOOKUP(H259,'Ext. Pa'!$B$3:$C$77,2,FALSE)</f>
        <v>1</v>
      </c>
      <c r="W259" s="98">
        <f>VLOOKUP(I259,'Ext. Pa'!$B$3:$C$77,2,FALSE)</f>
        <v>1</v>
      </c>
      <c r="X259" s="98">
        <f>VLOOKUP(J259,'Ext. Pa'!$B$3:$C$77,2,FALSE)</f>
        <v>4</v>
      </c>
      <c r="Y259" s="98">
        <f>VLOOKUP(K259,'Ext. Pa'!$B$3:$C$77,2,FALSE)</f>
        <v>0</v>
      </c>
      <c r="Z259" s="98">
        <f>VLOOKUP(L259,'Ext. Pa'!$B$3:$C$77,2,FALSE)</f>
        <v>5</v>
      </c>
      <c r="AA259" s="98">
        <f>VLOOKUP(M259,'Ext. Pa'!$B$3:$C$77,2,FALSE)</f>
        <v>5</v>
      </c>
      <c r="AB259" s="98">
        <f>VLOOKUP(N259,'Ext. Pa'!$B$3:$C$77,2,FALSE)</f>
        <v>5</v>
      </c>
      <c r="AC259" s="98">
        <f>VLOOKUP(O259,'Ext. Pa'!$B$3:$C$77,2,FALSE)</f>
        <v>5</v>
      </c>
      <c r="AD259" s="98">
        <f>VLOOKUP(P259,'Ext. Pa'!$B$3:$C$77,2,FALSE)</f>
        <v>5</v>
      </c>
      <c r="AE259" s="98">
        <f>VLOOKUP(Q259,'Ext. Pa'!$B$3:$C$77,2,FALSE)</f>
        <v>6</v>
      </c>
      <c r="AF259" s="99">
        <f t="shared" si="15"/>
        <v>0.5</v>
      </c>
      <c r="AG259" s="134">
        <f>Table2[[#This Row],[Coating defect survey10]]</f>
        <v>5</v>
      </c>
      <c r="AH259" s="134">
        <f>Table2[[#This Row],[CP Level within NACE Criteria4]]</f>
        <v>1</v>
      </c>
      <c r="AI259" s="135">
        <f>IF(Table2[[#This Row],[CP level]]&gt;9.9,1,0)</f>
        <v>0</v>
      </c>
      <c r="AJ259" s="135">
        <f>Table2[[#This Row],[Column3]]*Table2[[#This Row],[Coating defect survey2]]</f>
        <v>0</v>
      </c>
      <c r="AK259" s="170">
        <v>19.493670000000002</v>
      </c>
    </row>
    <row r="260" spans="1:37" s="100" customFormat="1">
      <c r="A260" s="94">
        <v>6</v>
      </c>
      <c r="B260" s="95" t="s">
        <v>458</v>
      </c>
      <c r="C260" s="96">
        <v>616101</v>
      </c>
      <c r="D260" s="97" t="s">
        <v>330</v>
      </c>
      <c r="E260" s="98"/>
      <c r="F260" s="98">
        <v>2010</v>
      </c>
      <c r="G260" s="98">
        <f>2013-Table2[[#This Row],[Startup Year]]</f>
        <v>3</v>
      </c>
      <c r="H260" s="98" t="s">
        <v>101</v>
      </c>
      <c r="I260" s="98" t="s">
        <v>108</v>
      </c>
      <c r="J260" s="98" t="s">
        <v>113</v>
      </c>
      <c r="K260" s="98">
        <v>0</v>
      </c>
      <c r="L260" s="98" t="s">
        <v>105</v>
      </c>
      <c r="M260" s="98" t="s">
        <v>105</v>
      </c>
      <c r="N260" s="98" t="s">
        <v>105</v>
      </c>
      <c r="O260" s="98" t="s">
        <v>105</v>
      </c>
      <c r="P260" s="98" t="s">
        <v>105</v>
      </c>
      <c r="Q260" s="98" t="s">
        <v>66</v>
      </c>
      <c r="R260" s="98" t="s">
        <v>72</v>
      </c>
      <c r="S26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16.170886075949365</v>
      </c>
      <c r="T260" s="98">
        <v>19.493670000000002</v>
      </c>
      <c r="U260" s="98"/>
      <c r="V260" s="98">
        <f>VLOOKUP(H260,'Ext. Pa'!$B$3:$C$77,2,FALSE)</f>
        <v>1</v>
      </c>
      <c r="W260" s="98">
        <f>VLOOKUP(I260,'Ext. Pa'!$B$3:$C$77,2,FALSE)</f>
        <v>1</v>
      </c>
      <c r="X260" s="98">
        <f>VLOOKUP(J260,'Ext. Pa'!$B$3:$C$77,2,FALSE)</f>
        <v>4</v>
      </c>
      <c r="Y260" s="98">
        <f>VLOOKUP(K260,'Ext. Pa'!$B$3:$C$77,2,FALSE)</f>
        <v>0</v>
      </c>
      <c r="Z260" s="98">
        <f>VLOOKUP(L260,'Ext. Pa'!$B$3:$C$77,2,FALSE)</f>
        <v>5</v>
      </c>
      <c r="AA260" s="98">
        <f>VLOOKUP(M260,'Ext. Pa'!$B$3:$C$77,2,FALSE)</f>
        <v>5</v>
      </c>
      <c r="AB260" s="98">
        <f>VLOOKUP(N260,'Ext. Pa'!$B$3:$C$77,2,FALSE)</f>
        <v>5</v>
      </c>
      <c r="AC260" s="98">
        <f>VLOOKUP(O260,'Ext. Pa'!$B$3:$C$77,2,FALSE)</f>
        <v>5</v>
      </c>
      <c r="AD260" s="98">
        <f>VLOOKUP(P260,'Ext. Pa'!$B$3:$C$77,2,FALSE)</f>
        <v>5</v>
      </c>
      <c r="AE260" s="98">
        <f>VLOOKUP(Q260,'Ext. Pa'!$B$3:$C$77,2,FALSE)</f>
        <v>6</v>
      </c>
      <c r="AF260" s="99">
        <f t="shared" si="15"/>
        <v>0.75</v>
      </c>
      <c r="AG260" s="134">
        <f>Table2[[#This Row],[Coating defect survey10]]</f>
        <v>5</v>
      </c>
      <c r="AH260" s="134">
        <f>Table2[[#This Row],[CP Level within NACE Criteria4]]</f>
        <v>1</v>
      </c>
      <c r="AI260" s="135">
        <f>IF(Table2[[#This Row],[CP level]]&gt;9.9,1,0)</f>
        <v>0</v>
      </c>
      <c r="AJ260" s="135">
        <f>Table2[[#This Row],[Column3]]*Table2[[#This Row],[Coating defect survey2]]</f>
        <v>0</v>
      </c>
      <c r="AK260" s="170">
        <v>19.493670000000002</v>
      </c>
    </row>
    <row r="261" spans="1:37" s="100" customFormat="1">
      <c r="A261" s="94">
        <v>6</v>
      </c>
      <c r="B261" s="95" t="s">
        <v>459</v>
      </c>
      <c r="C261" s="96">
        <v>617801</v>
      </c>
      <c r="D261" s="97" t="s">
        <v>331</v>
      </c>
      <c r="E261" s="98"/>
      <c r="F261" s="98">
        <v>2009</v>
      </c>
      <c r="G261" s="98">
        <f>2013-Table2[[#This Row],[Startup Year]]</f>
        <v>4</v>
      </c>
      <c r="H261" s="98" t="s">
        <v>101</v>
      </c>
      <c r="I261" s="98" t="s">
        <v>108</v>
      </c>
      <c r="J261" s="98" t="s">
        <v>113</v>
      </c>
      <c r="K261" s="98">
        <v>0</v>
      </c>
      <c r="L261" s="98" t="s">
        <v>105</v>
      </c>
      <c r="M261" s="98" t="s">
        <v>105</v>
      </c>
      <c r="N261" s="98" t="s">
        <v>105</v>
      </c>
      <c r="O261" s="98" t="s">
        <v>105</v>
      </c>
      <c r="P261" s="98" t="s">
        <v>105</v>
      </c>
      <c r="Q261" s="98" t="s">
        <v>66</v>
      </c>
      <c r="R261" s="98" t="s">
        <v>72</v>
      </c>
      <c r="S26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16.329113924050631</v>
      </c>
      <c r="T261" s="98">
        <v>19.493670000000002</v>
      </c>
      <c r="U261" s="98"/>
      <c r="V261" s="98">
        <f>VLOOKUP(H261,'Ext. Pa'!$B$3:$C$77,2,FALSE)</f>
        <v>1</v>
      </c>
      <c r="W261" s="98">
        <f>VLOOKUP(I261,'Ext. Pa'!$B$3:$C$77,2,FALSE)</f>
        <v>1</v>
      </c>
      <c r="X261" s="98">
        <f>VLOOKUP(J261,'Ext. Pa'!$B$3:$C$77,2,FALSE)</f>
        <v>4</v>
      </c>
      <c r="Y261" s="98">
        <f>VLOOKUP(K261,'Ext. Pa'!$B$3:$C$77,2,FALSE)</f>
        <v>0</v>
      </c>
      <c r="Z261" s="98">
        <f>VLOOKUP(L261,'Ext. Pa'!$B$3:$C$77,2,FALSE)</f>
        <v>5</v>
      </c>
      <c r="AA261" s="98">
        <f>VLOOKUP(M261,'Ext. Pa'!$B$3:$C$77,2,FALSE)</f>
        <v>5</v>
      </c>
      <c r="AB261" s="98">
        <f>VLOOKUP(N261,'Ext. Pa'!$B$3:$C$77,2,FALSE)</f>
        <v>5</v>
      </c>
      <c r="AC261" s="98">
        <f>VLOOKUP(O261,'Ext. Pa'!$B$3:$C$77,2,FALSE)</f>
        <v>5</v>
      </c>
      <c r="AD261" s="98">
        <f>VLOOKUP(P261,'Ext. Pa'!$B$3:$C$77,2,FALSE)</f>
        <v>5</v>
      </c>
      <c r="AE261" s="98">
        <f>VLOOKUP(Q261,'Ext. Pa'!$B$3:$C$77,2,FALSE)</f>
        <v>6</v>
      </c>
      <c r="AF261" s="99">
        <f t="shared" si="15"/>
        <v>1</v>
      </c>
      <c r="AG261" s="134">
        <f>Table2[[#This Row],[Coating defect survey10]]</f>
        <v>5</v>
      </c>
      <c r="AH261" s="134">
        <f>Table2[[#This Row],[CP Level within NACE Criteria4]]</f>
        <v>1</v>
      </c>
      <c r="AI261" s="135">
        <f>IF(Table2[[#This Row],[CP level]]&gt;9.9,1,0)</f>
        <v>0</v>
      </c>
      <c r="AJ261" s="135">
        <f>Table2[[#This Row],[Column3]]*Table2[[#This Row],[Coating defect survey2]]</f>
        <v>0</v>
      </c>
      <c r="AK261" s="170">
        <v>19.493670000000002</v>
      </c>
    </row>
    <row r="262" spans="1:37" s="100" customFormat="1">
      <c r="A262" s="94">
        <v>6</v>
      </c>
      <c r="B262" s="95" t="s">
        <v>460</v>
      </c>
      <c r="C262" s="96">
        <v>61520101</v>
      </c>
      <c r="D262" s="97" t="s">
        <v>332</v>
      </c>
      <c r="E262" s="98"/>
      <c r="F262" s="98">
        <v>2011</v>
      </c>
      <c r="G262" s="98">
        <f>2013-Table2[[#This Row],[Startup Year]]</f>
        <v>2</v>
      </c>
      <c r="H262" s="98" t="s">
        <v>101</v>
      </c>
      <c r="I262" s="98" t="s">
        <v>108</v>
      </c>
      <c r="J262" s="98" t="s">
        <v>113</v>
      </c>
      <c r="K262" s="98">
        <v>0</v>
      </c>
      <c r="L262" s="98" t="s">
        <v>105</v>
      </c>
      <c r="M262" s="98" t="s">
        <v>105</v>
      </c>
      <c r="N262" s="98" t="s">
        <v>105</v>
      </c>
      <c r="O262" s="98" t="s">
        <v>105</v>
      </c>
      <c r="P262" s="98" t="s">
        <v>105</v>
      </c>
      <c r="Q262" s="98" t="s">
        <v>66</v>
      </c>
      <c r="R262" s="98" t="s">
        <v>72</v>
      </c>
      <c r="S26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16.0126582278481</v>
      </c>
      <c r="T262" s="98">
        <v>19.493670000000002</v>
      </c>
      <c r="U262" s="98"/>
      <c r="V262" s="98">
        <f>VLOOKUP(H262,'Ext. Pa'!$B$3:$C$77,2,FALSE)</f>
        <v>1</v>
      </c>
      <c r="W262" s="98">
        <f>VLOOKUP(I262,'Ext. Pa'!$B$3:$C$77,2,FALSE)</f>
        <v>1</v>
      </c>
      <c r="X262" s="98">
        <f>VLOOKUP(J262,'Ext. Pa'!$B$3:$C$77,2,FALSE)</f>
        <v>4</v>
      </c>
      <c r="Y262" s="98">
        <f>VLOOKUP(K262,'Ext. Pa'!$B$3:$C$77,2,FALSE)</f>
        <v>0</v>
      </c>
      <c r="Z262" s="98">
        <f>VLOOKUP(L262,'Ext. Pa'!$B$3:$C$77,2,FALSE)</f>
        <v>5</v>
      </c>
      <c r="AA262" s="98">
        <f>VLOOKUP(M262,'Ext. Pa'!$B$3:$C$77,2,FALSE)</f>
        <v>5</v>
      </c>
      <c r="AB262" s="98">
        <f>VLOOKUP(N262,'Ext. Pa'!$B$3:$C$77,2,FALSE)</f>
        <v>5</v>
      </c>
      <c r="AC262" s="98">
        <f>VLOOKUP(O262,'Ext. Pa'!$B$3:$C$77,2,FALSE)</f>
        <v>5</v>
      </c>
      <c r="AD262" s="98">
        <f>VLOOKUP(P262,'Ext. Pa'!$B$3:$C$77,2,FALSE)</f>
        <v>5</v>
      </c>
      <c r="AE262" s="98">
        <f>VLOOKUP(Q262,'Ext. Pa'!$B$3:$C$77,2,FALSE)</f>
        <v>6</v>
      </c>
      <c r="AF262" s="99">
        <f t="shared" si="15"/>
        <v>0.5</v>
      </c>
      <c r="AG262" s="134">
        <f>Table2[[#This Row],[Coating defect survey10]]</f>
        <v>5</v>
      </c>
      <c r="AH262" s="134">
        <f>Table2[[#This Row],[CP Level within NACE Criteria4]]</f>
        <v>1</v>
      </c>
      <c r="AI262" s="135">
        <f>IF(Table2[[#This Row],[CP level]]&gt;9.9,1,0)</f>
        <v>0</v>
      </c>
      <c r="AJ262" s="135">
        <f>Table2[[#This Row],[Column3]]*Table2[[#This Row],[Coating defect survey2]]</f>
        <v>0</v>
      </c>
      <c r="AK262" s="170">
        <v>19.493670000000002</v>
      </c>
    </row>
    <row r="263" spans="1:37" s="100" customFormat="1" ht="25.5">
      <c r="A263" s="94">
        <v>6</v>
      </c>
      <c r="B263" s="95" t="s">
        <v>461</v>
      </c>
      <c r="C263" s="96">
        <v>61610101</v>
      </c>
      <c r="D263" s="97" t="s">
        <v>333</v>
      </c>
      <c r="E263" s="98"/>
      <c r="F263" s="98">
        <v>2010</v>
      </c>
      <c r="G263" s="98">
        <f>2013-Table2[[#This Row],[Startup Year]]</f>
        <v>3</v>
      </c>
      <c r="H263" s="98" t="s">
        <v>101</v>
      </c>
      <c r="I263" s="98" t="s">
        <v>108</v>
      </c>
      <c r="J263" s="98" t="s">
        <v>113</v>
      </c>
      <c r="K263" s="98">
        <v>0</v>
      </c>
      <c r="L263" s="98" t="s">
        <v>105</v>
      </c>
      <c r="M263" s="98" t="s">
        <v>105</v>
      </c>
      <c r="N263" s="98" t="s">
        <v>105</v>
      </c>
      <c r="O263" s="98" t="s">
        <v>105</v>
      </c>
      <c r="P263" s="98" t="s">
        <v>105</v>
      </c>
      <c r="Q263" s="98" t="s">
        <v>66</v>
      </c>
      <c r="R263" s="98" t="s">
        <v>72</v>
      </c>
      <c r="S26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16.170886075949365</v>
      </c>
      <c r="T263" s="98">
        <v>19.493670000000002</v>
      </c>
      <c r="U263" s="98"/>
      <c r="V263" s="98">
        <f>VLOOKUP(H263,'Ext. Pa'!$B$3:$C$77,2,FALSE)</f>
        <v>1</v>
      </c>
      <c r="W263" s="98">
        <f>VLOOKUP(I263,'Ext. Pa'!$B$3:$C$77,2,FALSE)</f>
        <v>1</v>
      </c>
      <c r="X263" s="98">
        <f>VLOOKUP(J263,'Ext. Pa'!$B$3:$C$77,2,FALSE)</f>
        <v>4</v>
      </c>
      <c r="Y263" s="98">
        <f>VLOOKUP(K263,'Ext. Pa'!$B$3:$C$77,2,FALSE)</f>
        <v>0</v>
      </c>
      <c r="Z263" s="98">
        <f>VLOOKUP(L263,'Ext. Pa'!$B$3:$C$77,2,FALSE)</f>
        <v>5</v>
      </c>
      <c r="AA263" s="98">
        <f>VLOOKUP(M263,'Ext. Pa'!$B$3:$C$77,2,FALSE)</f>
        <v>5</v>
      </c>
      <c r="AB263" s="98">
        <f>VLOOKUP(N263,'Ext. Pa'!$B$3:$C$77,2,FALSE)</f>
        <v>5</v>
      </c>
      <c r="AC263" s="98">
        <f>VLOOKUP(O263,'Ext. Pa'!$B$3:$C$77,2,FALSE)</f>
        <v>5</v>
      </c>
      <c r="AD263" s="98">
        <f>VLOOKUP(P263,'Ext. Pa'!$B$3:$C$77,2,FALSE)</f>
        <v>5</v>
      </c>
      <c r="AE263" s="98">
        <f>VLOOKUP(Q263,'Ext. Pa'!$B$3:$C$77,2,FALSE)</f>
        <v>6</v>
      </c>
      <c r="AF263" s="99">
        <f t="shared" si="15"/>
        <v>0.75</v>
      </c>
      <c r="AG263" s="134">
        <f>Table2[[#This Row],[Coating defect survey10]]</f>
        <v>5</v>
      </c>
      <c r="AH263" s="134">
        <f>Table2[[#This Row],[CP Level within NACE Criteria4]]</f>
        <v>1</v>
      </c>
      <c r="AI263" s="135">
        <f>IF(Table2[[#This Row],[CP level]]&gt;9.9,1,0)</f>
        <v>0</v>
      </c>
      <c r="AJ263" s="135">
        <f>Table2[[#This Row],[Column3]]*Table2[[#This Row],[Coating defect survey2]]</f>
        <v>0</v>
      </c>
      <c r="AK263" s="170">
        <v>19.493670000000002</v>
      </c>
    </row>
    <row r="264" spans="1:37" s="207" customFormat="1">
      <c r="A264" s="223">
        <v>6</v>
      </c>
      <c r="B264" s="224" t="s">
        <v>975</v>
      </c>
      <c r="C264" s="225">
        <v>44570101</v>
      </c>
      <c r="D264" s="226" t="s">
        <v>976</v>
      </c>
      <c r="E264" s="227"/>
      <c r="F264" s="227">
        <v>2000</v>
      </c>
      <c r="G264" s="98">
        <f>2013-Table2[[#This Row],[Startup Year]]</f>
        <v>13</v>
      </c>
      <c r="H264" s="227" t="s">
        <v>101</v>
      </c>
      <c r="I264" s="227" t="s">
        <v>108</v>
      </c>
      <c r="J264" s="227" t="s">
        <v>113</v>
      </c>
      <c r="K264" s="227" t="s">
        <v>123</v>
      </c>
      <c r="L264" s="227" t="s">
        <v>105</v>
      </c>
      <c r="M264" s="227" t="s">
        <v>105</v>
      </c>
      <c r="N264" s="227" t="s">
        <v>105</v>
      </c>
      <c r="O264" s="227" t="s">
        <v>105</v>
      </c>
      <c r="P264" s="227" t="s">
        <v>105</v>
      </c>
      <c r="Q264" s="227" t="s">
        <v>66</v>
      </c>
      <c r="R264" s="227" t="s">
        <v>72</v>
      </c>
      <c r="S264" s="22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36.74050632911392</v>
      </c>
      <c r="T264" s="228">
        <v>19.493670000000002</v>
      </c>
      <c r="U264" s="227"/>
      <c r="V264" s="228">
        <f>VLOOKUP(H264,'Ext. Pa'!$B$3:$C$77,2,FALSE)</f>
        <v>1</v>
      </c>
      <c r="W264" s="227">
        <f>VLOOKUP(I264,'Ext. Pa'!$B$3:$C$77,2,FALSE)</f>
        <v>1</v>
      </c>
      <c r="X264" s="227">
        <f>VLOOKUP(J264,'Ext. Pa'!$B$3:$C$77,2,FALSE)</f>
        <v>4</v>
      </c>
      <c r="Y264" s="227">
        <f>VLOOKUP(K264,'Ext. Pa'!$B$3:$C$77,2,FALSE)</f>
        <v>6</v>
      </c>
      <c r="Z264" s="227">
        <f>VLOOKUP(L264,'Ext. Pa'!$B$3:$C$77,2,FALSE)</f>
        <v>5</v>
      </c>
      <c r="AA264" s="227">
        <f>VLOOKUP(M264,'Ext. Pa'!$B$3:$C$77,2,FALSE)</f>
        <v>5</v>
      </c>
      <c r="AB264" s="227">
        <f>VLOOKUP(N264,'Ext. Pa'!$B$3:$C$77,2,FALSE)</f>
        <v>5</v>
      </c>
      <c r="AC264" s="227">
        <f>VLOOKUP(O264,'Ext. Pa'!$B$3:$C$77,2,FALSE)</f>
        <v>5</v>
      </c>
      <c r="AD264" s="227">
        <f>VLOOKUP(P264,'Ext. Pa'!$B$3:$C$77,2,FALSE)</f>
        <v>5</v>
      </c>
      <c r="AE264" s="227">
        <f>VLOOKUP(Q264,'Ext. Pa'!$B$3:$C$77,2,FALSE)</f>
        <v>6</v>
      </c>
      <c r="AF264" s="229">
        <f>IF(G264&lt;40,(G264)/4,40)</f>
        <v>3.25</v>
      </c>
      <c r="AG264" s="228">
        <f>Table2[[#This Row],[Coating defect survey10]]</f>
        <v>5</v>
      </c>
      <c r="AH264" s="228">
        <f>Table2[[#This Row],[CP Level within NACE Criteria4]]</f>
        <v>1</v>
      </c>
      <c r="AI264" s="230">
        <f>IF(Table2[[#This Row],[CP level]]&gt;9.9,1,0)</f>
        <v>0</v>
      </c>
      <c r="AJ264" s="230">
        <f>Table2[[#This Row],[Column3]]*Table2[[#This Row],[Coating defect survey2]]</f>
        <v>0</v>
      </c>
      <c r="AK264" s="170">
        <v>19.493670000000002</v>
      </c>
    </row>
    <row r="265" spans="1:37" s="207" customFormat="1">
      <c r="A265" s="223">
        <v>6</v>
      </c>
      <c r="B265" s="224" t="s">
        <v>977</v>
      </c>
      <c r="C265" s="225">
        <v>44570102</v>
      </c>
      <c r="D265" s="226" t="s">
        <v>978</v>
      </c>
      <c r="E265" s="227"/>
      <c r="F265" s="227">
        <v>2000</v>
      </c>
      <c r="G265" s="227">
        <f>2013-Table2[[#This Row],[Startup Year]]</f>
        <v>13</v>
      </c>
      <c r="H265" s="227" t="s">
        <v>101</v>
      </c>
      <c r="I265" s="227" t="s">
        <v>108</v>
      </c>
      <c r="J265" s="227" t="s">
        <v>113</v>
      </c>
      <c r="K265" s="227" t="s">
        <v>123</v>
      </c>
      <c r="L265" s="227" t="s">
        <v>105</v>
      </c>
      <c r="M265" s="227" t="s">
        <v>105</v>
      </c>
      <c r="N265" s="227" t="s">
        <v>105</v>
      </c>
      <c r="O265" s="227" t="s">
        <v>105</v>
      </c>
      <c r="P265" s="227" t="s">
        <v>105</v>
      </c>
      <c r="Q265" s="227" t="s">
        <v>66</v>
      </c>
      <c r="R265" s="227" t="s">
        <v>72</v>
      </c>
      <c r="S265" s="22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36.74050632911392</v>
      </c>
      <c r="T265" s="228">
        <v>19.493670000000002</v>
      </c>
      <c r="U265" s="227"/>
      <c r="V265" s="228">
        <f>VLOOKUP(H265,'Ext. Pa'!$B$3:$C$77,2,FALSE)</f>
        <v>1</v>
      </c>
      <c r="W265" s="227">
        <f>VLOOKUP(I265,'Ext. Pa'!$B$3:$C$77,2,FALSE)</f>
        <v>1</v>
      </c>
      <c r="X265" s="227">
        <f>VLOOKUP(J265,'Ext. Pa'!$B$3:$C$77,2,FALSE)</f>
        <v>4</v>
      </c>
      <c r="Y265" s="227">
        <f>VLOOKUP(K265,'Ext. Pa'!$B$3:$C$77,2,FALSE)</f>
        <v>6</v>
      </c>
      <c r="Z265" s="227">
        <f>VLOOKUP(L265,'Ext. Pa'!$B$3:$C$77,2,FALSE)</f>
        <v>5</v>
      </c>
      <c r="AA265" s="227">
        <f>VLOOKUP(M265,'Ext. Pa'!$B$3:$C$77,2,FALSE)</f>
        <v>5</v>
      </c>
      <c r="AB265" s="227">
        <f>VLOOKUP(N265,'Ext. Pa'!$B$3:$C$77,2,FALSE)</f>
        <v>5</v>
      </c>
      <c r="AC265" s="227">
        <f>VLOOKUP(O265,'Ext. Pa'!$B$3:$C$77,2,FALSE)</f>
        <v>5</v>
      </c>
      <c r="AD265" s="227">
        <f>VLOOKUP(P265,'Ext. Pa'!$B$3:$C$77,2,FALSE)</f>
        <v>5</v>
      </c>
      <c r="AE265" s="227">
        <f>VLOOKUP(Q265,'Ext. Pa'!$B$3:$C$77,2,FALSE)</f>
        <v>6</v>
      </c>
      <c r="AF265" s="229">
        <f>IF(G265&lt;40,(G265)/4,40)</f>
        <v>3.25</v>
      </c>
      <c r="AG265" s="228">
        <f>Table2[[#This Row],[Coating defect survey10]]</f>
        <v>5</v>
      </c>
      <c r="AH265" s="228">
        <f>Table2[[#This Row],[CP Level within NACE Criteria4]]</f>
        <v>1</v>
      </c>
      <c r="AI265" s="230">
        <f>IF(Table2[[#This Row],[CP level]]&gt;9.9,1,0)</f>
        <v>0</v>
      </c>
      <c r="AJ265" s="230">
        <f>Table2[[#This Row],[Column3]]*Table2[[#This Row],[Coating defect survey2]]</f>
        <v>0</v>
      </c>
      <c r="AK265" s="170">
        <v>19.493670000000002</v>
      </c>
    </row>
    <row r="266" spans="1:37" s="100" customFormat="1" ht="25.5">
      <c r="A266" s="94">
        <v>6</v>
      </c>
      <c r="B266" s="95" t="s">
        <v>462</v>
      </c>
      <c r="C266" s="96">
        <v>4457010102</v>
      </c>
      <c r="D266" s="97" t="s">
        <v>334</v>
      </c>
      <c r="E266" s="98"/>
      <c r="F266" s="98">
        <v>2008</v>
      </c>
      <c r="G266" s="98">
        <f>2013-Table2[[#This Row],[Startup Year]]</f>
        <v>5</v>
      </c>
      <c r="H266" s="98" t="s">
        <v>101</v>
      </c>
      <c r="I266" s="98" t="s">
        <v>108</v>
      </c>
      <c r="J266" s="98" t="s">
        <v>113</v>
      </c>
      <c r="K266" s="98">
        <v>0</v>
      </c>
      <c r="L266" s="98" t="s">
        <v>105</v>
      </c>
      <c r="M266" s="98" t="s">
        <v>105</v>
      </c>
      <c r="N266" s="98" t="s">
        <v>105</v>
      </c>
      <c r="O266" s="98" t="s">
        <v>105</v>
      </c>
      <c r="P266" s="98" t="s">
        <v>105</v>
      </c>
      <c r="Q266" s="98" t="s">
        <v>66</v>
      </c>
      <c r="R266" s="98" t="s">
        <v>72</v>
      </c>
      <c r="S26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66" s="98">
        <v>19.493670000000002</v>
      </c>
      <c r="U266" s="98"/>
      <c r="V266" s="98">
        <f>VLOOKUP(H266,'Ext. Pa'!$B$3:$C$77,2,FALSE)</f>
        <v>1</v>
      </c>
      <c r="W266" s="98">
        <f>VLOOKUP(I266,'Ext. Pa'!$B$3:$C$77,2,FALSE)</f>
        <v>1</v>
      </c>
      <c r="X266" s="98">
        <f>VLOOKUP(J266,'Ext. Pa'!$B$3:$C$77,2,FALSE)</f>
        <v>4</v>
      </c>
      <c r="Y266" s="98">
        <f>VLOOKUP(K266,'Ext. Pa'!$B$3:$C$77,2,FALSE)</f>
        <v>0</v>
      </c>
      <c r="Z266" s="98">
        <f>VLOOKUP(L266,'Ext. Pa'!$B$3:$C$77,2,FALSE)</f>
        <v>5</v>
      </c>
      <c r="AA266" s="98">
        <f>VLOOKUP(M266,'Ext. Pa'!$B$3:$C$77,2,FALSE)</f>
        <v>5</v>
      </c>
      <c r="AB266" s="98">
        <f>VLOOKUP(N266,'Ext. Pa'!$B$3:$C$77,2,FALSE)</f>
        <v>5</v>
      </c>
      <c r="AC266" s="98">
        <f>VLOOKUP(O266,'Ext. Pa'!$B$3:$C$77,2,FALSE)</f>
        <v>5</v>
      </c>
      <c r="AD266" s="98">
        <f>VLOOKUP(P266,'Ext. Pa'!$B$3:$C$77,2,FALSE)</f>
        <v>5</v>
      </c>
      <c r="AE266" s="98">
        <f>VLOOKUP(Q266,'Ext. Pa'!$B$3:$C$77,2,FALSE)</f>
        <v>6</v>
      </c>
      <c r="AF266" s="99">
        <f t="shared" si="15"/>
        <v>1.25</v>
      </c>
      <c r="AG266" s="134">
        <f>Table2[[#This Row],[Coating defect survey10]]</f>
        <v>5</v>
      </c>
      <c r="AH266" s="134">
        <f>Table2[[#This Row],[CP Level within NACE Criteria4]]</f>
        <v>1</v>
      </c>
      <c r="AI266" s="135">
        <f>IF(Table2[[#This Row],[CP level]]&gt;9.9,1,0)</f>
        <v>0</v>
      </c>
      <c r="AJ266" s="135">
        <f>Table2[[#This Row],[Column3]]*Table2[[#This Row],[Coating defect survey2]]</f>
        <v>0</v>
      </c>
      <c r="AK266" s="170">
        <v>19.493670000000002</v>
      </c>
    </row>
    <row r="267" spans="1:37" s="100" customFormat="1">
      <c r="A267" s="179">
        <v>6</v>
      </c>
      <c r="B267" s="180" t="s">
        <v>790</v>
      </c>
      <c r="C267" s="181">
        <v>4457010103</v>
      </c>
      <c r="D267" s="182" t="s">
        <v>791</v>
      </c>
      <c r="E267" s="183"/>
      <c r="F267" s="183">
        <v>2000</v>
      </c>
      <c r="G267" s="183">
        <f>2013-Table2[[#This Row],[Startup Year]]</f>
        <v>13</v>
      </c>
      <c r="H267" s="183" t="s">
        <v>101</v>
      </c>
      <c r="I267" s="183" t="s">
        <v>108</v>
      </c>
      <c r="J267" s="183" t="s">
        <v>113</v>
      </c>
      <c r="K267" s="98">
        <v>0</v>
      </c>
      <c r="L267" s="183" t="s">
        <v>105</v>
      </c>
      <c r="M267" s="183" t="s">
        <v>105</v>
      </c>
      <c r="N267" s="183" t="s">
        <v>105</v>
      </c>
      <c r="O267" s="183" t="s">
        <v>105</v>
      </c>
      <c r="P267" s="183" t="s">
        <v>105</v>
      </c>
      <c r="Q267" s="183" t="s">
        <v>66</v>
      </c>
      <c r="R267" s="183" t="s">
        <v>72</v>
      </c>
      <c r="S267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67" s="184">
        <v>19.493670000000002</v>
      </c>
      <c r="U267" s="183"/>
      <c r="V267" s="184">
        <f>VLOOKUP(H267,'Ext. Pa'!$B$3:$C$77,2,FALSE)</f>
        <v>1</v>
      </c>
      <c r="W267" s="183">
        <f>VLOOKUP(I267,'Ext. Pa'!$B$3:$C$77,2,FALSE)</f>
        <v>1</v>
      </c>
      <c r="X267" s="183">
        <f>VLOOKUP(J267,'Ext. Pa'!$B$3:$C$77,2,FALSE)</f>
        <v>4</v>
      </c>
      <c r="Y267" s="183">
        <f>VLOOKUP(K267,'Ext. Pa'!$B$3:$C$77,2,FALSE)</f>
        <v>0</v>
      </c>
      <c r="Z267" s="183">
        <f>VLOOKUP(L267,'Ext. Pa'!$B$3:$C$77,2,FALSE)</f>
        <v>5</v>
      </c>
      <c r="AA267" s="183">
        <f>VLOOKUP(M267,'Ext. Pa'!$B$3:$C$77,2,FALSE)</f>
        <v>5</v>
      </c>
      <c r="AB267" s="183">
        <f>VLOOKUP(N267,'Ext. Pa'!$B$3:$C$77,2,FALSE)</f>
        <v>5</v>
      </c>
      <c r="AC267" s="183">
        <f>VLOOKUP(O267,'Ext. Pa'!$B$3:$C$77,2,FALSE)</f>
        <v>5</v>
      </c>
      <c r="AD267" s="183">
        <f>VLOOKUP(P267,'Ext. Pa'!$B$3:$C$77,2,FALSE)</f>
        <v>5</v>
      </c>
      <c r="AE267" s="183">
        <f>VLOOKUP(Q267,'Ext. Pa'!$B$3:$C$77,2,FALSE)</f>
        <v>6</v>
      </c>
      <c r="AF267" s="185">
        <f t="shared" si="15"/>
        <v>3.25</v>
      </c>
      <c r="AG267" s="134">
        <f>Table2[[#This Row],[Coating defect survey10]]</f>
        <v>5</v>
      </c>
      <c r="AH267" s="134">
        <f>Table2[[#This Row],[CP Level within NACE Criteria4]]</f>
        <v>1</v>
      </c>
      <c r="AI267" s="135">
        <f>IF(Table2[[#This Row],[CP level]]&gt;9.9,1,0)</f>
        <v>0</v>
      </c>
      <c r="AJ267" s="135">
        <f>Table2[[#This Row],[Column3]]*Table2[[#This Row],[Coating defect survey2]]</f>
        <v>0</v>
      </c>
      <c r="AK267" s="170">
        <v>19.493670000000002</v>
      </c>
    </row>
    <row r="268" spans="1:37" s="100" customFormat="1">
      <c r="A268" s="94">
        <v>6</v>
      </c>
      <c r="B268" s="95" t="s">
        <v>463</v>
      </c>
      <c r="C268" s="96">
        <v>4457010104</v>
      </c>
      <c r="D268" s="97" t="s">
        <v>335</v>
      </c>
      <c r="E268" s="98"/>
      <c r="F268" s="98">
        <v>2008</v>
      </c>
      <c r="G268" s="98">
        <f>2013-Table2[[#This Row],[Startup Year]]</f>
        <v>5</v>
      </c>
      <c r="H268" s="98" t="s">
        <v>101</v>
      </c>
      <c r="I268" s="98" t="s">
        <v>108</v>
      </c>
      <c r="J268" s="98" t="s">
        <v>113</v>
      </c>
      <c r="K268" s="98">
        <v>0</v>
      </c>
      <c r="L268" s="98" t="s">
        <v>105</v>
      </c>
      <c r="M268" s="98" t="s">
        <v>105</v>
      </c>
      <c r="N268" s="98" t="s">
        <v>105</v>
      </c>
      <c r="O268" s="98" t="s">
        <v>105</v>
      </c>
      <c r="P268" s="98" t="s">
        <v>105</v>
      </c>
      <c r="Q268" s="98" t="s">
        <v>66</v>
      </c>
      <c r="R268" s="98" t="s">
        <v>72</v>
      </c>
      <c r="S268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68" s="98">
        <v>19.493670000000002</v>
      </c>
      <c r="U268" s="98"/>
      <c r="V268" s="98">
        <f>VLOOKUP(H268,'Ext. Pa'!$B$3:$C$77,2,FALSE)</f>
        <v>1</v>
      </c>
      <c r="W268" s="98">
        <f>VLOOKUP(I268,'Ext. Pa'!$B$3:$C$77,2,FALSE)</f>
        <v>1</v>
      </c>
      <c r="X268" s="98">
        <f>VLOOKUP(J268,'Ext. Pa'!$B$3:$C$77,2,FALSE)</f>
        <v>4</v>
      </c>
      <c r="Y268" s="98">
        <f>VLOOKUP(K268,'Ext. Pa'!$B$3:$C$77,2,FALSE)</f>
        <v>0</v>
      </c>
      <c r="Z268" s="98">
        <f>VLOOKUP(L268,'Ext. Pa'!$B$3:$C$77,2,FALSE)</f>
        <v>5</v>
      </c>
      <c r="AA268" s="98">
        <f>VLOOKUP(M268,'Ext. Pa'!$B$3:$C$77,2,FALSE)</f>
        <v>5</v>
      </c>
      <c r="AB268" s="98">
        <f>VLOOKUP(N268,'Ext. Pa'!$B$3:$C$77,2,FALSE)</f>
        <v>5</v>
      </c>
      <c r="AC268" s="98">
        <f>VLOOKUP(O268,'Ext. Pa'!$B$3:$C$77,2,FALSE)</f>
        <v>5</v>
      </c>
      <c r="AD268" s="98">
        <f>VLOOKUP(P268,'Ext. Pa'!$B$3:$C$77,2,FALSE)</f>
        <v>5</v>
      </c>
      <c r="AE268" s="98">
        <f>VLOOKUP(Q268,'Ext. Pa'!$B$3:$C$77,2,FALSE)</f>
        <v>6</v>
      </c>
      <c r="AF268" s="99">
        <f t="shared" si="15"/>
        <v>1.25</v>
      </c>
      <c r="AG268" s="134">
        <f>Table2[[#This Row],[Coating defect survey10]]</f>
        <v>5</v>
      </c>
      <c r="AH268" s="134">
        <f>Table2[[#This Row],[CP Level within NACE Criteria4]]</f>
        <v>1</v>
      </c>
      <c r="AI268" s="135">
        <f>IF(Table2[[#This Row],[CP level]]&gt;9.9,1,0)</f>
        <v>0</v>
      </c>
      <c r="AJ268" s="135">
        <f>Table2[[#This Row],[Column3]]*Table2[[#This Row],[Coating defect survey2]]</f>
        <v>0</v>
      </c>
      <c r="AK268" s="170">
        <v>19.493670000000002</v>
      </c>
    </row>
    <row r="269" spans="1:37" s="100" customFormat="1">
      <c r="A269" s="94">
        <v>6</v>
      </c>
      <c r="B269" s="95" t="s">
        <v>464</v>
      </c>
      <c r="C269" s="96">
        <v>4457010105</v>
      </c>
      <c r="D269" s="97" t="s">
        <v>336</v>
      </c>
      <c r="E269" s="98"/>
      <c r="F269" s="98">
        <v>2008</v>
      </c>
      <c r="G269" s="98">
        <f>2013-Table2[[#This Row],[Startup Year]]</f>
        <v>5</v>
      </c>
      <c r="H269" s="98" t="s">
        <v>101</v>
      </c>
      <c r="I269" s="98" t="s">
        <v>108</v>
      </c>
      <c r="J269" s="98" t="s">
        <v>113</v>
      </c>
      <c r="K269" s="98">
        <v>0</v>
      </c>
      <c r="L269" s="98" t="s">
        <v>105</v>
      </c>
      <c r="M269" s="98" t="s">
        <v>105</v>
      </c>
      <c r="N269" s="98" t="s">
        <v>105</v>
      </c>
      <c r="O269" s="98" t="s">
        <v>105</v>
      </c>
      <c r="P269" s="98" t="s">
        <v>105</v>
      </c>
      <c r="Q269" s="98" t="s">
        <v>66</v>
      </c>
      <c r="R269" s="98" t="s">
        <v>72</v>
      </c>
      <c r="S269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69" s="98">
        <v>19.493670000000002</v>
      </c>
      <c r="U269" s="98"/>
      <c r="V269" s="98">
        <f>VLOOKUP(H269,'Ext. Pa'!$B$3:$C$77,2,FALSE)</f>
        <v>1</v>
      </c>
      <c r="W269" s="98">
        <f>VLOOKUP(I269,'Ext. Pa'!$B$3:$C$77,2,FALSE)</f>
        <v>1</v>
      </c>
      <c r="X269" s="98">
        <f>VLOOKUP(J269,'Ext. Pa'!$B$3:$C$77,2,FALSE)</f>
        <v>4</v>
      </c>
      <c r="Y269" s="98">
        <f>VLOOKUP(K269,'Ext. Pa'!$B$3:$C$77,2,FALSE)</f>
        <v>0</v>
      </c>
      <c r="Z269" s="98">
        <f>VLOOKUP(L269,'Ext. Pa'!$B$3:$C$77,2,FALSE)</f>
        <v>5</v>
      </c>
      <c r="AA269" s="98">
        <f>VLOOKUP(M269,'Ext. Pa'!$B$3:$C$77,2,FALSE)</f>
        <v>5</v>
      </c>
      <c r="AB269" s="98">
        <f>VLOOKUP(N269,'Ext. Pa'!$B$3:$C$77,2,FALSE)</f>
        <v>5</v>
      </c>
      <c r="AC269" s="98">
        <f>VLOOKUP(O269,'Ext. Pa'!$B$3:$C$77,2,FALSE)</f>
        <v>5</v>
      </c>
      <c r="AD269" s="98">
        <f>VLOOKUP(P269,'Ext. Pa'!$B$3:$C$77,2,FALSE)</f>
        <v>5</v>
      </c>
      <c r="AE269" s="98">
        <f>VLOOKUP(Q269,'Ext. Pa'!$B$3:$C$77,2,FALSE)</f>
        <v>6</v>
      </c>
      <c r="AF269" s="99">
        <f t="shared" si="15"/>
        <v>1.25</v>
      </c>
      <c r="AG269" s="134">
        <f>Table2[[#This Row],[Coating defect survey10]]</f>
        <v>5</v>
      </c>
      <c r="AH269" s="134">
        <f>Table2[[#This Row],[CP Level within NACE Criteria4]]</f>
        <v>1</v>
      </c>
      <c r="AI269" s="135">
        <f>IF(Table2[[#This Row],[CP level]]&gt;9.9,1,0)</f>
        <v>0</v>
      </c>
      <c r="AJ269" s="135">
        <f>Table2[[#This Row],[Column3]]*Table2[[#This Row],[Coating defect survey2]]</f>
        <v>0</v>
      </c>
      <c r="AK269" s="170">
        <v>19.493670000000002</v>
      </c>
    </row>
    <row r="270" spans="1:37" s="100" customFormat="1">
      <c r="A270" s="94">
        <v>6</v>
      </c>
      <c r="B270" s="95" t="s">
        <v>465</v>
      </c>
      <c r="C270" s="96">
        <v>4457010106</v>
      </c>
      <c r="D270" s="97" t="s">
        <v>337</v>
      </c>
      <c r="E270" s="98"/>
      <c r="F270" s="98">
        <v>2008</v>
      </c>
      <c r="G270" s="98">
        <f>2013-Table2[[#This Row],[Startup Year]]</f>
        <v>5</v>
      </c>
      <c r="H270" s="98" t="s">
        <v>101</v>
      </c>
      <c r="I270" s="98" t="s">
        <v>108</v>
      </c>
      <c r="J270" s="98" t="s">
        <v>113</v>
      </c>
      <c r="K270" s="98">
        <v>0</v>
      </c>
      <c r="L270" s="98" t="s">
        <v>105</v>
      </c>
      <c r="M270" s="98" t="s">
        <v>105</v>
      </c>
      <c r="N270" s="98" t="s">
        <v>105</v>
      </c>
      <c r="O270" s="98" t="s">
        <v>105</v>
      </c>
      <c r="P270" s="98" t="s">
        <v>105</v>
      </c>
      <c r="Q270" s="98" t="s">
        <v>66</v>
      </c>
      <c r="R270" s="98" t="s">
        <v>72</v>
      </c>
      <c r="S270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70" s="98">
        <v>19.493670000000002</v>
      </c>
      <c r="U270" s="98"/>
      <c r="V270" s="98">
        <f>VLOOKUP(H270,'Ext. Pa'!$B$3:$C$77,2,FALSE)</f>
        <v>1</v>
      </c>
      <c r="W270" s="98">
        <f>VLOOKUP(I270,'Ext. Pa'!$B$3:$C$77,2,FALSE)</f>
        <v>1</v>
      </c>
      <c r="X270" s="98">
        <f>VLOOKUP(J270,'Ext. Pa'!$B$3:$C$77,2,FALSE)</f>
        <v>4</v>
      </c>
      <c r="Y270" s="98">
        <f>VLOOKUP(K270,'Ext. Pa'!$B$3:$C$77,2,FALSE)</f>
        <v>0</v>
      </c>
      <c r="Z270" s="98">
        <f>VLOOKUP(L270,'Ext. Pa'!$B$3:$C$77,2,FALSE)</f>
        <v>5</v>
      </c>
      <c r="AA270" s="98">
        <f>VLOOKUP(M270,'Ext. Pa'!$B$3:$C$77,2,FALSE)</f>
        <v>5</v>
      </c>
      <c r="AB270" s="98">
        <f>VLOOKUP(N270,'Ext. Pa'!$B$3:$C$77,2,FALSE)</f>
        <v>5</v>
      </c>
      <c r="AC270" s="98">
        <f>VLOOKUP(O270,'Ext. Pa'!$B$3:$C$77,2,FALSE)</f>
        <v>5</v>
      </c>
      <c r="AD270" s="98">
        <f>VLOOKUP(P270,'Ext. Pa'!$B$3:$C$77,2,FALSE)</f>
        <v>5</v>
      </c>
      <c r="AE270" s="98">
        <f>VLOOKUP(Q270,'Ext. Pa'!$B$3:$C$77,2,FALSE)</f>
        <v>6</v>
      </c>
      <c r="AF270" s="99">
        <f t="shared" si="15"/>
        <v>1.25</v>
      </c>
      <c r="AG270" s="134">
        <f>Table2[[#This Row],[Coating defect survey10]]</f>
        <v>5</v>
      </c>
      <c r="AH270" s="134">
        <f>Table2[[#This Row],[CP Level within NACE Criteria4]]</f>
        <v>1</v>
      </c>
      <c r="AI270" s="135">
        <f>IF(Table2[[#This Row],[CP level]]&gt;9.9,1,0)</f>
        <v>0</v>
      </c>
      <c r="AJ270" s="135">
        <f>Table2[[#This Row],[Column3]]*Table2[[#This Row],[Coating defect survey2]]</f>
        <v>0</v>
      </c>
      <c r="AK270" s="170">
        <v>19.493670000000002</v>
      </c>
    </row>
    <row r="271" spans="1:37" s="100" customFormat="1">
      <c r="A271" s="94">
        <v>6</v>
      </c>
      <c r="B271" s="95" t="s">
        <v>466</v>
      </c>
      <c r="C271" s="96">
        <v>4457010108</v>
      </c>
      <c r="D271" s="97" t="s">
        <v>338</v>
      </c>
      <c r="E271" s="98"/>
      <c r="F271" s="98">
        <v>2008</v>
      </c>
      <c r="G271" s="98">
        <f>2013-Table2[[#This Row],[Startup Year]]</f>
        <v>5</v>
      </c>
      <c r="H271" s="98" t="s">
        <v>101</v>
      </c>
      <c r="I271" s="98" t="s">
        <v>108</v>
      </c>
      <c r="J271" s="98" t="s">
        <v>113</v>
      </c>
      <c r="K271" s="98">
        <v>0</v>
      </c>
      <c r="L271" s="98" t="s">
        <v>105</v>
      </c>
      <c r="M271" s="98" t="s">
        <v>105</v>
      </c>
      <c r="N271" s="98" t="s">
        <v>105</v>
      </c>
      <c r="O271" s="98" t="s">
        <v>105</v>
      </c>
      <c r="P271" s="98" t="s">
        <v>105</v>
      </c>
      <c r="Q271" s="98" t="s">
        <v>66</v>
      </c>
      <c r="R271" s="98" t="s">
        <v>72</v>
      </c>
      <c r="S27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71" s="98">
        <v>19.493670000000002</v>
      </c>
      <c r="U271" s="98"/>
      <c r="V271" s="98">
        <f>VLOOKUP(H271,'Ext. Pa'!$B$3:$C$77,2,FALSE)</f>
        <v>1</v>
      </c>
      <c r="W271" s="98">
        <f>VLOOKUP(I271,'Ext. Pa'!$B$3:$C$77,2,FALSE)</f>
        <v>1</v>
      </c>
      <c r="X271" s="98">
        <f>VLOOKUP(J271,'Ext. Pa'!$B$3:$C$77,2,FALSE)</f>
        <v>4</v>
      </c>
      <c r="Y271" s="98">
        <f>VLOOKUP(K271,'Ext. Pa'!$B$3:$C$77,2,FALSE)</f>
        <v>0</v>
      </c>
      <c r="Z271" s="98">
        <f>VLOOKUP(L271,'Ext. Pa'!$B$3:$C$77,2,FALSE)</f>
        <v>5</v>
      </c>
      <c r="AA271" s="98">
        <f>VLOOKUP(M271,'Ext. Pa'!$B$3:$C$77,2,FALSE)</f>
        <v>5</v>
      </c>
      <c r="AB271" s="98">
        <f>VLOOKUP(N271,'Ext. Pa'!$B$3:$C$77,2,FALSE)</f>
        <v>5</v>
      </c>
      <c r="AC271" s="98">
        <f>VLOOKUP(O271,'Ext. Pa'!$B$3:$C$77,2,FALSE)</f>
        <v>5</v>
      </c>
      <c r="AD271" s="98">
        <f>VLOOKUP(P271,'Ext. Pa'!$B$3:$C$77,2,FALSE)</f>
        <v>5</v>
      </c>
      <c r="AE271" s="98">
        <f>VLOOKUP(Q271,'Ext. Pa'!$B$3:$C$77,2,FALSE)</f>
        <v>6</v>
      </c>
      <c r="AF271" s="99">
        <f t="shared" si="15"/>
        <v>1.25</v>
      </c>
      <c r="AG271" s="134">
        <f>Table2[[#This Row],[Coating defect survey10]]</f>
        <v>5</v>
      </c>
      <c r="AH271" s="134">
        <f>Table2[[#This Row],[CP Level within NACE Criteria4]]</f>
        <v>1</v>
      </c>
      <c r="AI271" s="135">
        <f>IF(Table2[[#This Row],[CP level]]&gt;9.9,1,0)</f>
        <v>0</v>
      </c>
      <c r="AJ271" s="135">
        <f>Table2[[#This Row],[Column3]]*Table2[[#This Row],[Coating defect survey2]]</f>
        <v>0</v>
      </c>
      <c r="AK271" s="170">
        <v>19.493670000000002</v>
      </c>
    </row>
    <row r="272" spans="1:37" s="100" customFormat="1">
      <c r="A272" s="128">
        <v>6</v>
      </c>
      <c r="B272" s="129"/>
      <c r="C272" s="96"/>
      <c r="D272" s="97" t="s">
        <v>777</v>
      </c>
      <c r="E272" s="130"/>
      <c r="F272" s="130">
        <v>2000</v>
      </c>
      <c r="G272" s="130">
        <f>2013-Table2[[#This Row],[Startup Year]]</f>
        <v>13</v>
      </c>
      <c r="H272" s="130" t="s">
        <v>101</v>
      </c>
      <c r="I272" s="130" t="s">
        <v>108</v>
      </c>
      <c r="J272" s="130" t="s">
        <v>113</v>
      </c>
      <c r="K272" s="98">
        <v>0</v>
      </c>
      <c r="L272" s="130" t="s">
        <v>105</v>
      </c>
      <c r="M272" s="130" t="s">
        <v>105</v>
      </c>
      <c r="N272" s="130" t="s">
        <v>105</v>
      </c>
      <c r="O272" s="130" t="s">
        <v>144</v>
      </c>
      <c r="P272" s="130" t="s">
        <v>105</v>
      </c>
      <c r="Q272" s="130" t="s">
        <v>66</v>
      </c>
      <c r="R272" s="130" t="s">
        <v>72</v>
      </c>
      <c r="S27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72" s="131">
        <v>19.493670000000002</v>
      </c>
      <c r="U272" s="130"/>
      <c r="V272" s="131">
        <f>VLOOKUP(H272,'Ext. Pa'!$B$3:$C$77,2,FALSE)</f>
        <v>1</v>
      </c>
      <c r="W272" s="130">
        <f>VLOOKUP(I272,'Ext. Pa'!$B$3:$C$77,2,FALSE)</f>
        <v>1</v>
      </c>
      <c r="X272" s="130">
        <f>VLOOKUP(J272,'Ext. Pa'!$B$3:$C$77,2,FALSE)</f>
        <v>4</v>
      </c>
      <c r="Y272" s="130">
        <f>VLOOKUP(K272,'Ext. Pa'!$B$3:$C$77,2,FALSE)</f>
        <v>0</v>
      </c>
      <c r="Z272" s="130">
        <f>VLOOKUP(L272,'Ext. Pa'!$B$3:$C$77,2,FALSE)</f>
        <v>5</v>
      </c>
      <c r="AA272" s="130">
        <f>VLOOKUP(M272,'Ext. Pa'!$B$3:$C$77,2,FALSE)</f>
        <v>5</v>
      </c>
      <c r="AB272" s="130">
        <f>VLOOKUP(N272,'Ext. Pa'!$B$3:$C$77,2,FALSE)</f>
        <v>5</v>
      </c>
      <c r="AC272" s="130">
        <f>VLOOKUP(O272,'Ext. Pa'!$B$3:$C$77,2,FALSE)</f>
        <v>3</v>
      </c>
      <c r="AD272" s="130">
        <f>VLOOKUP(P272,'Ext. Pa'!$B$3:$C$77,2,FALSE)</f>
        <v>5</v>
      </c>
      <c r="AE272" s="130">
        <f>VLOOKUP(Q272,'Ext. Pa'!$B$3:$C$77,2,FALSE)</f>
        <v>6</v>
      </c>
      <c r="AF272" s="132">
        <f t="shared" si="15"/>
        <v>3.25</v>
      </c>
      <c r="AG272" s="134">
        <f>Table2[[#This Row],[Coating defect survey10]]</f>
        <v>3</v>
      </c>
      <c r="AH272" s="134">
        <f>Table2[[#This Row],[CP Level within NACE Criteria4]]</f>
        <v>1</v>
      </c>
      <c r="AI272" s="135">
        <f>IF(Table2[[#This Row],[CP level]]&gt;9.9,1,0)</f>
        <v>0</v>
      </c>
      <c r="AJ272" s="135">
        <f>Table2[[#This Row],[Column3]]*Table2[[#This Row],[Coating defect survey2]]</f>
        <v>0</v>
      </c>
      <c r="AK272" s="170">
        <v>19.493670000000002</v>
      </c>
    </row>
    <row r="273" spans="1:37" s="100" customFormat="1">
      <c r="A273" s="179">
        <v>6</v>
      </c>
      <c r="B273" s="180" t="s">
        <v>788</v>
      </c>
      <c r="C273" s="181">
        <v>4457010201</v>
      </c>
      <c r="D273" s="182" t="s">
        <v>789</v>
      </c>
      <c r="E273" s="183"/>
      <c r="F273" s="183">
        <v>2000</v>
      </c>
      <c r="G273" s="183">
        <f>2013-Table2[[#This Row],[Startup Year]]</f>
        <v>13</v>
      </c>
      <c r="H273" s="183" t="s">
        <v>101</v>
      </c>
      <c r="I273" s="183" t="s">
        <v>108</v>
      </c>
      <c r="J273" s="183" t="s">
        <v>113</v>
      </c>
      <c r="K273" s="98">
        <v>0</v>
      </c>
      <c r="L273" s="183" t="s">
        <v>105</v>
      </c>
      <c r="M273" s="183" t="s">
        <v>105</v>
      </c>
      <c r="N273" s="183" t="s">
        <v>105</v>
      </c>
      <c r="O273" s="183" t="s">
        <v>105</v>
      </c>
      <c r="P273" s="183" t="s">
        <v>105</v>
      </c>
      <c r="Q273" s="183" t="s">
        <v>66</v>
      </c>
      <c r="R273" s="183" t="s">
        <v>72</v>
      </c>
      <c r="S273" s="184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73" s="184">
        <v>19.493670000000002</v>
      </c>
      <c r="U273" s="183"/>
      <c r="V273" s="184">
        <f>VLOOKUP(H273,'Ext. Pa'!$B$3:$C$77,2,FALSE)</f>
        <v>1</v>
      </c>
      <c r="W273" s="183">
        <f>VLOOKUP(I273,'Ext. Pa'!$B$3:$C$77,2,FALSE)</f>
        <v>1</v>
      </c>
      <c r="X273" s="183">
        <f>VLOOKUP(J273,'Ext. Pa'!$B$3:$C$77,2,FALSE)</f>
        <v>4</v>
      </c>
      <c r="Y273" s="183">
        <f>VLOOKUP(K273,'Ext. Pa'!$B$3:$C$77,2,FALSE)</f>
        <v>0</v>
      </c>
      <c r="Z273" s="183">
        <f>VLOOKUP(L273,'Ext. Pa'!$B$3:$C$77,2,FALSE)</f>
        <v>5</v>
      </c>
      <c r="AA273" s="183">
        <f>VLOOKUP(M273,'Ext. Pa'!$B$3:$C$77,2,FALSE)</f>
        <v>5</v>
      </c>
      <c r="AB273" s="183">
        <f>VLOOKUP(N273,'Ext. Pa'!$B$3:$C$77,2,FALSE)</f>
        <v>5</v>
      </c>
      <c r="AC273" s="183">
        <f>VLOOKUP(O273,'Ext. Pa'!$B$3:$C$77,2,FALSE)</f>
        <v>5</v>
      </c>
      <c r="AD273" s="183">
        <f>VLOOKUP(P273,'Ext. Pa'!$B$3:$C$77,2,FALSE)</f>
        <v>5</v>
      </c>
      <c r="AE273" s="183">
        <f>VLOOKUP(Q273,'Ext. Pa'!$B$3:$C$77,2,FALSE)</f>
        <v>6</v>
      </c>
      <c r="AF273" s="185">
        <f t="shared" si="15"/>
        <v>3.25</v>
      </c>
      <c r="AG273" s="134">
        <f>Table2[[#This Row],[Coating defect survey10]]</f>
        <v>5</v>
      </c>
      <c r="AH273" s="134">
        <f>Table2[[#This Row],[CP Level within NACE Criteria4]]</f>
        <v>1</v>
      </c>
      <c r="AI273" s="135">
        <f>IF(Table2[[#This Row],[CP level]]&gt;9.9,1,0)</f>
        <v>0</v>
      </c>
      <c r="AJ273" s="135">
        <f>Table2[[#This Row],[Column3]]*Table2[[#This Row],[Coating defect survey2]]</f>
        <v>0</v>
      </c>
      <c r="AK273" s="170">
        <v>19.493670000000002</v>
      </c>
    </row>
    <row r="274" spans="1:37" s="100" customFormat="1" ht="25.5">
      <c r="A274" s="94">
        <v>6</v>
      </c>
      <c r="B274" s="95" t="s">
        <v>467</v>
      </c>
      <c r="C274" s="96">
        <v>4457010204</v>
      </c>
      <c r="D274" s="97" t="s">
        <v>339</v>
      </c>
      <c r="E274" s="98"/>
      <c r="F274" s="98">
        <v>2008</v>
      </c>
      <c r="G274" s="98">
        <f>2013-Table2[[#This Row],[Startup Year]]</f>
        <v>5</v>
      </c>
      <c r="H274" s="98" t="s">
        <v>101</v>
      </c>
      <c r="I274" s="98" t="s">
        <v>108</v>
      </c>
      <c r="J274" s="98" t="s">
        <v>113</v>
      </c>
      <c r="K274" s="98">
        <v>0</v>
      </c>
      <c r="L274" s="98" t="s">
        <v>105</v>
      </c>
      <c r="M274" s="98" t="s">
        <v>105</v>
      </c>
      <c r="N274" s="98" t="s">
        <v>105</v>
      </c>
      <c r="O274" s="98" t="s">
        <v>105</v>
      </c>
      <c r="P274" s="98" t="s">
        <v>105</v>
      </c>
      <c r="Q274" s="98" t="s">
        <v>66</v>
      </c>
      <c r="R274" s="98" t="s">
        <v>72</v>
      </c>
      <c r="S27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74" s="98">
        <v>19.493670000000002</v>
      </c>
      <c r="U274" s="98"/>
      <c r="V274" s="98">
        <f>VLOOKUP(H274,'Ext. Pa'!$B$3:$C$77,2,FALSE)</f>
        <v>1</v>
      </c>
      <c r="W274" s="98">
        <f>VLOOKUP(I274,'Ext. Pa'!$B$3:$C$77,2,FALSE)</f>
        <v>1</v>
      </c>
      <c r="X274" s="98">
        <f>VLOOKUP(J274,'Ext. Pa'!$B$3:$C$77,2,FALSE)</f>
        <v>4</v>
      </c>
      <c r="Y274" s="98">
        <f>VLOOKUP(K274,'Ext. Pa'!$B$3:$C$77,2,FALSE)</f>
        <v>0</v>
      </c>
      <c r="Z274" s="98">
        <f>VLOOKUP(L274,'Ext. Pa'!$B$3:$C$77,2,FALSE)</f>
        <v>5</v>
      </c>
      <c r="AA274" s="98">
        <f>VLOOKUP(M274,'Ext. Pa'!$B$3:$C$77,2,FALSE)</f>
        <v>5</v>
      </c>
      <c r="AB274" s="98">
        <f>VLOOKUP(N274,'Ext. Pa'!$B$3:$C$77,2,FALSE)</f>
        <v>5</v>
      </c>
      <c r="AC274" s="98">
        <f>VLOOKUP(O274,'Ext. Pa'!$B$3:$C$77,2,FALSE)</f>
        <v>5</v>
      </c>
      <c r="AD274" s="98">
        <f>VLOOKUP(P274,'Ext. Pa'!$B$3:$C$77,2,FALSE)</f>
        <v>5</v>
      </c>
      <c r="AE274" s="98">
        <f>VLOOKUP(Q274,'Ext. Pa'!$B$3:$C$77,2,FALSE)</f>
        <v>6</v>
      </c>
      <c r="AF274" s="99">
        <f t="shared" si="15"/>
        <v>1.25</v>
      </c>
      <c r="AG274" s="134">
        <f>Table2[[#This Row],[Coating defect survey10]]</f>
        <v>5</v>
      </c>
      <c r="AH274" s="134">
        <f>Table2[[#This Row],[CP Level within NACE Criteria4]]</f>
        <v>1</v>
      </c>
      <c r="AI274" s="135">
        <f>IF(Table2[[#This Row],[CP level]]&gt;9.9,1,0)</f>
        <v>0</v>
      </c>
      <c r="AJ274" s="135">
        <f>Table2[[#This Row],[Column3]]*Table2[[#This Row],[Coating defect survey2]]</f>
        <v>0</v>
      </c>
      <c r="AK274" s="170">
        <v>19.493670000000002</v>
      </c>
    </row>
    <row r="275" spans="1:37" s="207" customFormat="1">
      <c r="A275" s="113">
        <v>9</v>
      </c>
      <c r="B275" s="202" t="s">
        <v>468</v>
      </c>
      <c r="C275" s="111">
        <v>620</v>
      </c>
      <c r="D275" s="112" t="s">
        <v>340</v>
      </c>
      <c r="E275" s="86"/>
      <c r="F275" s="86">
        <v>1989</v>
      </c>
      <c r="G275" s="86">
        <f>2013-Table2[[#This Row],[Startup Year]]</f>
        <v>24</v>
      </c>
      <c r="H275" s="86" t="s">
        <v>103</v>
      </c>
      <c r="I275" s="86" t="s">
        <v>108</v>
      </c>
      <c r="J275" s="86" t="s">
        <v>113</v>
      </c>
      <c r="K275" s="86" t="s">
        <v>123</v>
      </c>
      <c r="L275" s="86" t="s">
        <v>105</v>
      </c>
      <c r="M275" s="86" t="s">
        <v>105</v>
      </c>
      <c r="N275" s="86" t="s">
        <v>105</v>
      </c>
      <c r="O275" s="86" t="s">
        <v>105</v>
      </c>
      <c r="P275" s="86" t="s">
        <v>105</v>
      </c>
      <c r="Q275" s="86" t="s">
        <v>66</v>
      </c>
      <c r="R275" s="86" t="s">
        <v>72</v>
      </c>
      <c r="S275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40.506329113924046</v>
      </c>
      <c r="T275" s="86">
        <v>19.493670000000002</v>
      </c>
      <c r="U275" s="86"/>
      <c r="V275" s="86">
        <f>VLOOKUP(H275,'Ext. Pa'!$B$3:$C$77,2,FALSE)</f>
        <v>5</v>
      </c>
      <c r="W275" s="86">
        <f>VLOOKUP(I275,'Ext. Pa'!$B$3:$C$77,2,FALSE)</f>
        <v>1</v>
      </c>
      <c r="X275" s="86">
        <f>VLOOKUP(J275,'Ext. Pa'!$B$3:$C$77,2,FALSE)</f>
        <v>4</v>
      </c>
      <c r="Y275" s="86">
        <f>VLOOKUP(K275,'Ext. Pa'!$B$3:$C$77,2,FALSE)</f>
        <v>6</v>
      </c>
      <c r="Z275" s="86">
        <f>VLOOKUP(L275,'Ext. Pa'!$B$3:$C$77,2,FALSE)</f>
        <v>5</v>
      </c>
      <c r="AA275" s="86">
        <f>VLOOKUP(M275,'Ext. Pa'!$B$3:$C$77,2,FALSE)</f>
        <v>5</v>
      </c>
      <c r="AB275" s="86">
        <f>VLOOKUP(N275,'Ext. Pa'!$B$3:$C$77,2,FALSE)</f>
        <v>5</v>
      </c>
      <c r="AC275" s="86">
        <f>VLOOKUP(O275,'Ext. Pa'!$B$3:$C$77,2,FALSE)</f>
        <v>5</v>
      </c>
      <c r="AD275" s="86">
        <f>VLOOKUP(P275,'Ext. Pa'!$B$3:$C$77,2,FALSE)</f>
        <v>5</v>
      </c>
      <c r="AE275" s="86">
        <f>VLOOKUP(Q275,'Ext. Pa'!$B$3:$C$77,2,FALSE)</f>
        <v>6</v>
      </c>
      <c r="AF275" s="204">
        <f t="shared" si="15"/>
        <v>6</v>
      </c>
      <c r="AG275" s="205">
        <f>Table2[[#This Row],[Coating defect survey10]]</f>
        <v>5</v>
      </c>
      <c r="AH275" s="208">
        <f>Table2[[#This Row],[CP Level within NACE Criteria4]]</f>
        <v>1</v>
      </c>
      <c r="AI275" s="206">
        <f>IF(Table2[[#This Row],[CP level]]&gt;9.9,1,0)</f>
        <v>0</v>
      </c>
      <c r="AJ275" s="206">
        <f>Table2[[#This Row],[Column3]]*Table2[[#This Row],[Coating defect survey2]]</f>
        <v>0</v>
      </c>
      <c r="AK275" s="209">
        <v>19.493670000000002</v>
      </c>
    </row>
    <row r="276" spans="1:37" s="100" customFormat="1">
      <c r="A276" s="128">
        <v>9</v>
      </c>
      <c r="B276" s="129" t="s">
        <v>778</v>
      </c>
      <c r="C276" s="96">
        <v>6521</v>
      </c>
      <c r="D276" s="97" t="s">
        <v>779</v>
      </c>
      <c r="E276" s="130"/>
      <c r="F276" s="130">
        <v>2000</v>
      </c>
      <c r="G276" s="130">
        <f>2013-Table2[[#This Row],[Startup Year]]</f>
        <v>13</v>
      </c>
      <c r="H276" s="130" t="s">
        <v>101</v>
      </c>
      <c r="I276" s="130" t="s">
        <v>108</v>
      </c>
      <c r="J276" s="130" t="s">
        <v>113</v>
      </c>
      <c r="K276" s="130">
        <v>0</v>
      </c>
      <c r="L276" s="130" t="s">
        <v>105</v>
      </c>
      <c r="M276" s="130" t="s">
        <v>105</v>
      </c>
      <c r="N276" s="130" t="s">
        <v>105</v>
      </c>
      <c r="O276" s="130" t="s">
        <v>143</v>
      </c>
      <c r="P276" s="130" t="s">
        <v>105</v>
      </c>
      <c r="Q276" s="130" t="s">
        <v>66</v>
      </c>
      <c r="R276" s="130" t="s">
        <v>72</v>
      </c>
      <c r="S27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76" s="131">
        <v>19.493670000000002</v>
      </c>
      <c r="U276" s="130"/>
      <c r="V276" s="131">
        <f>VLOOKUP(H276,'Ext. Pa'!$B$3:$C$77,2,FALSE)</f>
        <v>1</v>
      </c>
      <c r="W276" s="130">
        <f>VLOOKUP(I276,'Ext. Pa'!$B$3:$C$77,2,FALSE)</f>
        <v>1</v>
      </c>
      <c r="X276" s="130">
        <f>VLOOKUP(J276,'Ext. Pa'!$B$3:$C$77,2,FALSE)</f>
        <v>4</v>
      </c>
      <c r="Y276" s="130">
        <f>VLOOKUP(K276,'Ext. Pa'!$B$3:$C$77,2,FALSE)</f>
        <v>0</v>
      </c>
      <c r="Z276" s="130">
        <f>VLOOKUP(L276,'Ext. Pa'!$B$3:$C$77,2,FALSE)</f>
        <v>5</v>
      </c>
      <c r="AA276" s="130">
        <f>VLOOKUP(M276,'Ext. Pa'!$B$3:$C$77,2,FALSE)</f>
        <v>5</v>
      </c>
      <c r="AB276" s="130">
        <f>VLOOKUP(N276,'Ext. Pa'!$B$3:$C$77,2,FALSE)</f>
        <v>5</v>
      </c>
      <c r="AC276" s="130">
        <f>VLOOKUP(O276,'Ext. Pa'!$B$3:$C$77,2,FALSE)</f>
        <v>1</v>
      </c>
      <c r="AD276" s="130">
        <f>VLOOKUP(P276,'Ext. Pa'!$B$3:$C$77,2,FALSE)</f>
        <v>5</v>
      </c>
      <c r="AE276" s="130">
        <f>VLOOKUP(Q276,'Ext. Pa'!$B$3:$C$77,2,FALSE)</f>
        <v>6</v>
      </c>
      <c r="AF276" s="132">
        <f t="shared" si="15"/>
        <v>3.25</v>
      </c>
      <c r="AG276" s="134">
        <f>Table2[[#This Row],[Coating defect survey10]]</f>
        <v>1</v>
      </c>
      <c r="AH276" s="134">
        <f>Table2[[#This Row],[CP Level within NACE Criteria4]]</f>
        <v>1</v>
      </c>
      <c r="AI276" s="135">
        <f>IF(Table2[[#This Row],[CP level]]&gt;9.9,1,0)</f>
        <v>0</v>
      </c>
      <c r="AJ276" s="135">
        <f>Table2[[#This Row],[Column3]]*Table2[[#This Row],[Coating defect survey2]]</f>
        <v>0</v>
      </c>
      <c r="AK276" s="170">
        <v>19.493670000000002</v>
      </c>
    </row>
    <row r="277" spans="1:37" s="100" customFormat="1">
      <c r="A277" s="128">
        <v>9</v>
      </c>
      <c r="B277" s="129" t="s">
        <v>783</v>
      </c>
      <c r="C277" s="96">
        <v>652200002</v>
      </c>
      <c r="D277" s="97" t="s">
        <v>784</v>
      </c>
      <c r="E277" s="130"/>
      <c r="F277" s="130">
        <v>2000</v>
      </c>
      <c r="G277" s="130">
        <f>2013-Table2[[#This Row],[Startup Year]]</f>
        <v>13</v>
      </c>
      <c r="H277" s="130" t="s">
        <v>101</v>
      </c>
      <c r="I277" s="130" t="s">
        <v>108</v>
      </c>
      <c r="J277" s="130" t="s">
        <v>113</v>
      </c>
      <c r="K277" s="130">
        <v>0</v>
      </c>
      <c r="L277" s="130" t="s">
        <v>105</v>
      </c>
      <c r="M277" s="130" t="s">
        <v>105</v>
      </c>
      <c r="N277" s="130" t="s">
        <v>105</v>
      </c>
      <c r="O277" s="130" t="s">
        <v>143</v>
      </c>
      <c r="P277" s="130" t="s">
        <v>105</v>
      </c>
      <c r="Q277" s="130" t="s">
        <v>66</v>
      </c>
      <c r="R277" s="130" t="s">
        <v>72</v>
      </c>
      <c r="S277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77" s="131">
        <v>19.493670000000002</v>
      </c>
      <c r="U277" s="130"/>
      <c r="V277" s="131">
        <f>VLOOKUP(H277,'Ext. Pa'!$B$3:$C$77,2,FALSE)</f>
        <v>1</v>
      </c>
      <c r="W277" s="130">
        <f>VLOOKUP(I277,'Ext. Pa'!$B$3:$C$77,2,FALSE)</f>
        <v>1</v>
      </c>
      <c r="X277" s="130">
        <f>VLOOKUP(J277,'Ext. Pa'!$B$3:$C$77,2,FALSE)</f>
        <v>4</v>
      </c>
      <c r="Y277" s="130">
        <f>VLOOKUP(K277,'Ext. Pa'!$B$3:$C$77,2,FALSE)</f>
        <v>0</v>
      </c>
      <c r="Z277" s="130">
        <f>VLOOKUP(L277,'Ext. Pa'!$B$3:$C$77,2,FALSE)</f>
        <v>5</v>
      </c>
      <c r="AA277" s="130">
        <f>VLOOKUP(M277,'Ext. Pa'!$B$3:$C$77,2,FALSE)</f>
        <v>5</v>
      </c>
      <c r="AB277" s="130">
        <f>VLOOKUP(N277,'Ext. Pa'!$B$3:$C$77,2,FALSE)</f>
        <v>5</v>
      </c>
      <c r="AC277" s="130">
        <f>VLOOKUP(O277,'Ext. Pa'!$B$3:$C$77,2,FALSE)</f>
        <v>1</v>
      </c>
      <c r="AD277" s="130">
        <f>VLOOKUP(P277,'Ext. Pa'!$B$3:$C$77,2,FALSE)</f>
        <v>5</v>
      </c>
      <c r="AE277" s="130">
        <f>VLOOKUP(Q277,'Ext. Pa'!$B$3:$C$77,2,FALSE)</f>
        <v>6</v>
      </c>
      <c r="AF277" s="132">
        <f t="shared" si="15"/>
        <v>3.25</v>
      </c>
      <c r="AG277" s="134">
        <f>Table2[[#This Row],[Coating defect survey10]]</f>
        <v>1</v>
      </c>
      <c r="AH277" s="134">
        <f>Table2[[#This Row],[CP Level within NACE Criteria4]]</f>
        <v>1</v>
      </c>
      <c r="AI277" s="135">
        <f>IF(Table2[[#This Row],[CP level]]&gt;9.9,1,0)</f>
        <v>0</v>
      </c>
      <c r="AJ277" s="135">
        <f>Table2[[#This Row],[Column3]]*Table2[[#This Row],[Coating defect survey2]]</f>
        <v>0</v>
      </c>
      <c r="AK277" s="170">
        <v>19.493670000000002</v>
      </c>
    </row>
    <row r="278" spans="1:37" s="100" customFormat="1">
      <c r="A278" s="128">
        <v>9</v>
      </c>
      <c r="B278" s="129" t="s">
        <v>780</v>
      </c>
      <c r="C278" s="96">
        <v>6523</v>
      </c>
      <c r="D278" s="97" t="s">
        <v>781</v>
      </c>
      <c r="E278" s="130"/>
      <c r="F278" s="130">
        <v>2000</v>
      </c>
      <c r="G278" s="130">
        <f>2013-Table2[[#This Row],[Startup Year]]</f>
        <v>13</v>
      </c>
      <c r="H278" s="130" t="s">
        <v>101</v>
      </c>
      <c r="I278" s="130" t="s">
        <v>108</v>
      </c>
      <c r="J278" s="130" t="s">
        <v>113</v>
      </c>
      <c r="K278" s="130">
        <v>0</v>
      </c>
      <c r="L278" s="130" t="s">
        <v>105</v>
      </c>
      <c r="M278" s="130" t="s">
        <v>105</v>
      </c>
      <c r="N278" s="130" t="s">
        <v>105</v>
      </c>
      <c r="O278" s="130" t="s">
        <v>143</v>
      </c>
      <c r="P278" s="130" t="s">
        <v>105</v>
      </c>
      <c r="Q278" s="130" t="s">
        <v>66</v>
      </c>
      <c r="R278" s="130" t="s">
        <v>72</v>
      </c>
      <c r="S27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78" s="131">
        <v>19.493670000000002</v>
      </c>
      <c r="U278" s="130"/>
      <c r="V278" s="131">
        <f>VLOOKUP(H278,'Ext. Pa'!$B$3:$C$77,2,FALSE)</f>
        <v>1</v>
      </c>
      <c r="W278" s="130">
        <f>VLOOKUP(I278,'Ext. Pa'!$B$3:$C$77,2,FALSE)</f>
        <v>1</v>
      </c>
      <c r="X278" s="130">
        <f>VLOOKUP(J278,'Ext. Pa'!$B$3:$C$77,2,FALSE)</f>
        <v>4</v>
      </c>
      <c r="Y278" s="130">
        <f>VLOOKUP(K278,'Ext. Pa'!$B$3:$C$77,2,FALSE)</f>
        <v>0</v>
      </c>
      <c r="Z278" s="130">
        <f>VLOOKUP(L278,'Ext. Pa'!$B$3:$C$77,2,FALSE)</f>
        <v>5</v>
      </c>
      <c r="AA278" s="130">
        <f>VLOOKUP(M278,'Ext. Pa'!$B$3:$C$77,2,FALSE)</f>
        <v>5</v>
      </c>
      <c r="AB278" s="130">
        <f>VLOOKUP(N278,'Ext. Pa'!$B$3:$C$77,2,FALSE)</f>
        <v>5</v>
      </c>
      <c r="AC278" s="130">
        <f>VLOOKUP(O278,'Ext. Pa'!$B$3:$C$77,2,FALSE)</f>
        <v>1</v>
      </c>
      <c r="AD278" s="130">
        <f>VLOOKUP(P278,'Ext. Pa'!$B$3:$C$77,2,FALSE)</f>
        <v>5</v>
      </c>
      <c r="AE278" s="130">
        <f>VLOOKUP(Q278,'Ext. Pa'!$B$3:$C$77,2,FALSE)</f>
        <v>6</v>
      </c>
      <c r="AF278" s="132">
        <f t="shared" si="15"/>
        <v>3.25</v>
      </c>
      <c r="AG278" s="134">
        <f>Table2[[#This Row],[Coating defect survey10]]</f>
        <v>1</v>
      </c>
      <c r="AH278" s="134">
        <f>Table2[[#This Row],[CP Level within NACE Criteria4]]</f>
        <v>1</v>
      </c>
      <c r="AI278" s="135">
        <f>IF(Table2[[#This Row],[CP level]]&gt;9.9,1,0)</f>
        <v>0</v>
      </c>
      <c r="AJ278" s="135">
        <f>Table2[[#This Row],[Column3]]*Table2[[#This Row],[Coating defect survey2]]</f>
        <v>0</v>
      </c>
      <c r="AK278" s="170">
        <v>19.493670000000002</v>
      </c>
    </row>
    <row r="279" spans="1:37" s="100" customFormat="1">
      <c r="A279" s="128">
        <v>9</v>
      </c>
      <c r="B279" s="129" t="s">
        <v>798</v>
      </c>
      <c r="C279" s="96">
        <v>6525</v>
      </c>
      <c r="D279" s="97" t="s">
        <v>799</v>
      </c>
      <c r="E279" s="130"/>
      <c r="F279" s="130">
        <v>2000</v>
      </c>
      <c r="G279" s="130">
        <f>2013-Table2[[#This Row],[Startup Year]]</f>
        <v>13</v>
      </c>
      <c r="H279" s="130" t="s">
        <v>101</v>
      </c>
      <c r="I279" s="130" t="s">
        <v>108</v>
      </c>
      <c r="J279" s="130" t="s">
        <v>113</v>
      </c>
      <c r="K279" s="130">
        <v>0</v>
      </c>
      <c r="L279" s="130" t="s">
        <v>105</v>
      </c>
      <c r="M279" s="130" t="s">
        <v>105</v>
      </c>
      <c r="N279" s="130" t="s">
        <v>105</v>
      </c>
      <c r="O279" s="130" t="s">
        <v>143</v>
      </c>
      <c r="P279" s="130" t="s">
        <v>105</v>
      </c>
      <c r="Q279" s="130" t="s">
        <v>66</v>
      </c>
      <c r="R279" s="130" t="s">
        <v>72</v>
      </c>
      <c r="S27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79" s="131">
        <v>19.493670000000002</v>
      </c>
      <c r="U279" s="130"/>
      <c r="V279" s="131">
        <f>VLOOKUP(H279,'Ext. Pa'!$B$3:$C$77,2,FALSE)</f>
        <v>1</v>
      </c>
      <c r="W279" s="130">
        <f>VLOOKUP(I279,'Ext. Pa'!$B$3:$C$77,2,FALSE)</f>
        <v>1</v>
      </c>
      <c r="X279" s="130">
        <f>VLOOKUP(J279,'Ext. Pa'!$B$3:$C$77,2,FALSE)</f>
        <v>4</v>
      </c>
      <c r="Y279" s="130">
        <f>VLOOKUP(K279,'Ext. Pa'!$B$3:$C$77,2,FALSE)</f>
        <v>0</v>
      </c>
      <c r="Z279" s="130">
        <f>VLOOKUP(L279,'Ext. Pa'!$B$3:$C$77,2,FALSE)</f>
        <v>5</v>
      </c>
      <c r="AA279" s="130">
        <f>VLOOKUP(M279,'Ext. Pa'!$B$3:$C$77,2,FALSE)</f>
        <v>5</v>
      </c>
      <c r="AB279" s="130">
        <f>VLOOKUP(N279,'Ext. Pa'!$B$3:$C$77,2,FALSE)</f>
        <v>5</v>
      </c>
      <c r="AC279" s="130">
        <f>VLOOKUP(O279,'Ext. Pa'!$B$3:$C$77,2,FALSE)</f>
        <v>1</v>
      </c>
      <c r="AD279" s="130">
        <f>VLOOKUP(P279,'Ext. Pa'!$B$3:$C$77,2,FALSE)</f>
        <v>5</v>
      </c>
      <c r="AE279" s="130">
        <f>VLOOKUP(Q279,'Ext. Pa'!$B$3:$C$77,2,FALSE)</f>
        <v>6</v>
      </c>
      <c r="AF279" s="132">
        <f t="shared" si="15"/>
        <v>3.25</v>
      </c>
      <c r="AG279" s="134">
        <f>Table2[[#This Row],[Coating defect survey10]]</f>
        <v>1</v>
      </c>
      <c r="AH279" s="134">
        <f>Table2[[#This Row],[CP Level within NACE Criteria4]]</f>
        <v>1</v>
      </c>
      <c r="AI279" s="135">
        <f>IF(Table2[[#This Row],[CP level]]&gt;9.9,1,0)</f>
        <v>0</v>
      </c>
      <c r="AJ279" s="135">
        <f>Table2[[#This Row],[Column3]]*Table2[[#This Row],[Coating defect survey2]]</f>
        <v>0</v>
      </c>
      <c r="AK279" s="170">
        <v>19.493670000000002</v>
      </c>
    </row>
    <row r="280" spans="1:37" s="100" customFormat="1">
      <c r="A280" s="128">
        <v>9</v>
      </c>
      <c r="B280" s="129" t="s">
        <v>782</v>
      </c>
      <c r="C280" s="96">
        <v>652501</v>
      </c>
      <c r="D280" s="97"/>
      <c r="E280" s="130"/>
      <c r="F280" s="130">
        <v>2000</v>
      </c>
      <c r="G280" s="130">
        <f>2013-Table2[[#This Row],[Startup Year]]</f>
        <v>13</v>
      </c>
      <c r="H280" s="130" t="s">
        <v>101</v>
      </c>
      <c r="I280" s="130" t="s">
        <v>108</v>
      </c>
      <c r="J280" s="130" t="s">
        <v>113</v>
      </c>
      <c r="K280" s="130">
        <v>0</v>
      </c>
      <c r="L280" s="130" t="s">
        <v>105</v>
      </c>
      <c r="M280" s="130" t="s">
        <v>105</v>
      </c>
      <c r="N280" s="130" t="s">
        <v>105</v>
      </c>
      <c r="O280" s="130" t="s">
        <v>143</v>
      </c>
      <c r="P280" s="130" t="s">
        <v>105</v>
      </c>
      <c r="Q280" s="130" t="s">
        <v>66</v>
      </c>
      <c r="R280" s="130" t="s">
        <v>72</v>
      </c>
      <c r="S28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0" s="131">
        <v>19.493670000000002</v>
      </c>
      <c r="U280" s="130"/>
      <c r="V280" s="131">
        <f>VLOOKUP(H280,'Ext. Pa'!$B$3:$C$77,2,FALSE)</f>
        <v>1</v>
      </c>
      <c r="W280" s="130">
        <f>VLOOKUP(I280,'Ext. Pa'!$B$3:$C$77,2,FALSE)</f>
        <v>1</v>
      </c>
      <c r="X280" s="130">
        <f>VLOOKUP(J280,'Ext. Pa'!$B$3:$C$77,2,FALSE)</f>
        <v>4</v>
      </c>
      <c r="Y280" s="130">
        <f>VLOOKUP(K280,'Ext. Pa'!$B$3:$C$77,2,FALSE)</f>
        <v>0</v>
      </c>
      <c r="Z280" s="130">
        <f>VLOOKUP(L280,'Ext. Pa'!$B$3:$C$77,2,FALSE)</f>
        <v>5</v>
      </c>
      <c r="AA280" s="130">
        <f>VLOOKUP(M280,'Ext. Pa'!$B$3:$C$77,2,FALSE)</f>
        <v>5</v>
      </c>
      <c r="AB280" s="130">
        <f>VLOOKUP(N280,'Ext. Pa'!$B$3:$C$77,2,FALSE)</f>
        <v>5</v>
      </c>
      <c r="AC280" s="130">
        <f>VLOOKUP(O280,'Ext. Pa'!$B$3:$C$77,2,FALSE)</f>
        <v>1</v>
      </c>
      <c r="AD280" s="130">
        <f>VLOOKUP(P280,'Ext. Pa'!$B$3:$C$77,2,FALSE)</f>
        <v>5</v>
      </c>
      <c r="AE280" s="130">
        <f>VLOOKUP(Q280,'Ext. Pa'!$B$3:$C$77,2,FALSE)</f>
        <v>6</v>
      </c>
      <c r="AF280" s="132">
        <f t="shared" si="15"/>
        <v>3.25</v>
      </c>
      <c r="AG280" s="134">
        <f>Table2[[#This Row],[Coating defect survey10]]</f>
        <v>1</v>
      </c>
      <c r="AH280" s="134">
        <f>Table2[[#This Row],[CP Level within NACE Criteria4]]</f>
        <v>1</v>
      </c>
      <c r="AI280" s="135">
        <f>IF(Table2[[#This Row],[CP level]]&gt;9.9,1,0)</f>
        <v>0</v>
      </c>
      <c r="AJ280" s="135">
        <f>Table2[[#This Row],[Column3]]*Table2[[#This Row],[Coating defect survey2]]</f>
        <v>0</v>
      </c>
      <c r="AK280" s="170">
        <v>19.493670000000002</v>
      </c>
    </row>
    <row r="281" spans="1:37" s="218" customFormat="1">
      <c r="A281" s="84">
        <v>9</v>
      </c>
      <c r="B281" s="216" t="s">
        <v>469</v>
      </c>
      <c r="C281" s="81">
        <v>4470</v>
      </c>
      <c r="D281" s="82" t="s">
        <v>341</v>
      </c>
      <c r="E281" s="85"/>
      <c r="F281" s="85">
        <v>2000</v>
      </c>
      <c r="G281" s="85">
        <f>2013-Table2[[#This Row],[Startup Year]]</f>
        <v>13</v>
      </c>
      <c r="H281" s="85" t="s">
        <v>101</v>
      </c>
      <c r="I281" s="85" t="s">
        <v>108</v>
      </c>
      <c r="J281" s="85" t="s">
        <v>113</v>
      </c>
      <c r="K281" s="83">
        <v>0</v>
      </c>
      <c r="L281" s="85" t="s">
        <v>105</v>
      </c>
      <c r="M281" s="85" t="s">
        <v>105</v>
      </c>
      <c r="N281" s="85" t="s">
        <v>105</v>
      </c>
      <c r="O281" s="85" t="s">
        <v>105</v>
      </c>
      <c r="P281" s="85" t="s">
        <v>105</v>
      </c>
      <c r="Q281" s="85" t="s">
        <v>66</v>
      </c>
      <c r="R281" s="85" t="s">
        <v>72</v>
      </c>
      <c r="S281" s="85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1" s="85">
        <v>19.493670000000002</v>
      </c>
      <c r="U281" s="85"/>
      <c r="V281" s="85">
        <f>VLOOKUP(H281,'Ext. Pa'!$B$3:$C$77,2,FALSE)</f>
        <v>1</v>
      </c>
      <c r="W281" s="85">
        <f>VLOOKUP(I281,'Ext. Pa'!$B$3:$C$77,2,FALSE)</f>
        <v>1</v>
      </c>
      <c r="X281" s="85">
        <f>VLOOKUP(J281,'Ext. Pa'!$B$3:$C$77,2,FALSE)</f>
        <v>4</v>
      </c>
      <c r="Y281" s="85">
        <f>VLOOKUP(K281,'Ext. Pa'!$B$3:$C$77,2,FALSE)</f>
        <v>0</v>
      </c>
      <c r="Z281" s="85">
        <f>VLOOKUP(L281,'Ext. Pa'!$B$3:$C$77,2,FALSE)</f>
        <v>5</v>
      </c>
      <c r="AA281" s="85">
        <f>VLOOKUP(M281,'Ext. Pa'!$B$3:$C$77,2,FALSE)</f>
        <v>5</v>
      </c>
      <c r="AB281" s="85">
        <f>VLOOKUP(N281,'Ext. Pa'!$B$3:$C$77,2,FALSE)</f>
        <v>5</v>
      </c>
      <c r="AC281" s="85">
        <f>VLOOKUP(O281,'Ext. Pa'!$B$3:$C$77,2,FALSE)</f>
        <v>5</v>
      </c>
      <c r="AD281" s="85">
        <f>VLOOKUP(P281,'Ext. Pa'!$B$3:$C$77,2,FALSE)</f>
        <v>5</v>
      </c>
      <c r="AE281" s="85">
        <f>VLOOKUP(Q281,'Ext. Pa'!$B$3:$C$77,2,FALSE)</f>
        <v>6</v>
      </c>
      <c r="AF281" s="217">
        <f t="shared" si="15"/>
        <v>3.25</v>
      </c>
      <c r="AG281" s="124">
        <f>Table2[[#This Row],[Coating defect survey10]]</f>
        <v>5</v>
      </c>
      <c r="AH281" s="123">
        <f>Table2[[#This Row],[CP Level within NACE Criteria4]]</f>
        <v>1</v>
      </c>
      <c r="AI281" s="127">
        <f>IF(Table2[[#This Row],[CP level]]&gt;9.9,1,0)</f>
        <v>0</v>
      </c>
      <c r="AJ281" s="127">
        <f>Table2[[#This Row],[Column3]]*Table2[[#This Row],[Coating defect survey2]]</f>
        <v>0</v>
      </c>
      <c r="AK281" s="65">
        <v>19.493670000000002</v>
      </c>
    </row>
    <row r="282" spans="1:37" s="100" customFormat="1">
      <c r="A282" s="94">
        <v>9</v>
      </c>
      <c r="B282" s="95" t="s">
        <v>470</v>
      </c>
      <c r="C282" s="96">
        <v>6203</v>
      </c>
      <c r="D282" s="97" t="s">
        <v>342</v>
      </c>
      <c r="E282" s="98"/>
      <c r="F282" s="98">
        <v>1990</v>
      </c>
      <c r="G282" s="98">
        <f>2013-Table2[[#This Row],[Startup Year]]</f>
        <v>23</v>
      </c>
      <c r="H282" s="98" t="s">
        <v>103</v>
      </c>
      <c r="I282" s="98" t="s">
        <v>108</v>
      </c>
      <c r="J282" s="98" t="s">
        <v>113</v>
      </c>
      <c r="K282" s="130">
        <v>0</v>
      </c>
      <c r="L282" s="98" t="s">
        <v>105</v>
      </c>
      <c r="M282" s="98" t="s">
        <v>105</v>
      </c>
      <c r="N282" s="98" t="s">
        <v>105</v>
      </c>
      <c r="O282" s="98" t="s">
        <v>105</v>
      </c>
      <c r="P282" s="98" t="s">
        <v>105</v>
      </c>
      <c r="Q282" s="98" t="s">
        <v>66</v>
      </c>
      <c r="R282" s="98" t="s">
        <v>72</v>
      </c>
      <c r="S282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21.360759493670884</v>
      </c>
      <c r="T282" s="98">
        <v>19.493670000000002</v>
      </c>
      <c r="U282" s="98"/>
      <c r="V282" s="98">
        <f>VLOOKUP(H282,'Ext. Pa'!$B$3:$C$77,2,FALSE)</f>
        <v>5</v>
      </c>
      <c r="W282" s="98">
        <f>VLOOKUP(I282,'Ext. Pa'!$B$3:$C$77,2,FALSE)</f>
        <v>1</v>
      </c>
      <c r="X282" s="98">
        <f>VLOOKUP(J282,'Ext. Pa'!$B$3:$C$77,2,FALSE)</f>
        <v>4</v>
      </c>
      <c r="Y282" s="98">
        <f>VLOOKUP(K282,'Ext. Pa'!$B$3:$C$77,2,FALSE)</f>
        <v>0</v>
      </c>
      <c r="Z282" s="98">
        <f>VLOOKUP(L282,'Ext. Pa'!$B$3:$C$77,2,FALSE)</f>
        <v>5</v>
      </c>
      <c r="AA282" s="98">
        <f>VLOOKUP(M282,'Ext. Pa'!$B$3:$C$77,2,FALSE)</f>
        <v>5</v>
      </c>
      <c r="AB282" s="98">
        <f>VLOOKUP(N282,'Ext. Pa'!$B$3:$C$77,2,FALSE)</f>
        <v>5</v>
      </c>
      <c r="AC282" s="98">
        <f>VLOOKUP(O282,'Ext. Pa'!$B$3:$C$77,2,FALSE)</f>
        <v>5</v>
      </c>
      <c r="AD282" s="98">
        <f>VLOOKUP(P282,'Ext. Pa'!$B$3:$C$77,2,FALSE)</f>
        <v>5</v>
      </c>
      <c r="AE282" s="98">
        <f>VLOOKUP(Q282,'Ext. Pa'!$B$3:$C$77,2,FALSE)</f>
        <v>6</v>
      </c>
      <c r="AF282" s="99">
        <f t="shared" si="15"/>
        <v>5.75</v>
      </c>
      <c r="AG282" s="134">
        <f>Table2[[#This Row],[Coating defect survey10]]</f>
        <v>5</v>
      </c>
      <c r="AH282" s="134">
        <f>Table2[[#This Row],[CP Level within NACE Criteria4]]</f>
        <v>1</v>
      </c>
      <c r="AI282" s="135">
        <f>IF(Table2[[#This Row],[CP level]]&gt;9.9,1,0)</f>
        <v>0</v>
      </c>
      <c r="AJ282" s="135">
        <f>Table2[[#This Row],[Column3]]*Table2[[#This Row],[Coating defect survey2]]</f>
        <v>0</v>
      </c>
      <c r="AK282" s="170">
        <v>19.493670000000002</v>
      </c>
    </row>
    <row r="283" spans="1:37" s="100" customFormat="1">
      <c r="A283" s="94">
        <v>9</v>
      </c>
      <c r="B283" s="95" t="s">
        <v>471</v>
      </c>
      <c r="C283" s="96">
        <v>6208</v>
      </c>
      <c r="D283" s="97" t="s">
        <v>343</v>
      </c>
      <c r="E283" s="98"/>
      <c r="F283" s="98">
        <v>2008</v>
      </c>
      <c r="G283" s="98">
        <f>2013-Table2[[#This Row],[Startup Year]]</f>
        <v>5</v>
      </c>
      <c r="H283" s="98" t="s">
        <v>101</v>
      </c>
      <c r="I283" s="98" t="s">
        <v>108</v>
      </c>
      <c r="J283" s="98" t="s">
        <v>113</v>
      </c>
      <c r="K283" s="130">
        <v>0</v>
      </c>
      <c r="L283" s="98" t="s">
        <v>105</v>
      </c>
      <c r="M283" s="98" t="s">
        <v>105</v>
      </c>
      <c r="N283" s="98" t="s">
        <v>105</v>
      </c>
      <c r="O283" s="98" t="s">
        <v>105</v>
      </c>
      <c r="P283" s="98" t="s">
        <v>105</v>
      </c>
      <c r="Q283" s="98" t="s">
        <v>66</v>
      </c>
      <c r="R283" s="98" t="s">
        <v>72</v>
      </c>
      <c r="S28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  <c r="T283" s="98">
        <v>16.487341772151897</v>
      </c>
      <c r="U283" s="98"/>
      <c r="V283" s="98">
        <f>VLOOKUP(H283,'Ext. Pa'!$B$3:$C$77,2,FALSE)</f>
        <v>1</v>
      </c>
      <c r="W283" s="98">
        <f>VLOOKUP(I283,'Ext. Pa'!$B$3:$C$77,2,FALSE)</f>
        <v>1</v>
      </c>
      <c r="X283" s="98">
        <f>VLOOKUP(J283,'Ext. Pa'!$B$3:$C$77,2,FALSE)</f>
        <v>4</v>
      </c>
      <c r="Y283" s="98">
        <f>VLOOKUP(K283,'Ext. Pa'!$B$3:$C$77,2,FALSE)</f>
        <v>0</v>
      </c>
      <c r="Z283" s="98">
        <f>VLOOKUP(L283,'Ext. Pa'!$B$3:$C$77,2,FALSE)</f>
        <v>5</v>
      </c>
      <c r="AA283" s="98">
        <f>VLOOKUP(M283,'Ext. Pa'!$B$3:$C$77,2,FALSE)</f>
        <v>5</v>
      </c>
      <c r="AB283" s="98">
        <f>VLOOKUP(N283,'Ext. Pa'!$B$3:$C$77,2,FALSE)</f>
        <v>5</v>
      </c>
      <c r="AC283" s="98">
        <f>VLOOKUP(O283,'Ext. Pa'!$B$3:$C$77,2,FALSE)</f>
        <v>5</v>
      </c>
      <c r="AD283" s="98">
        <f>VLOOKUP(P283,'Ext. Pa'!$B$3:$C$77,2,FALSE)</f>
        <v>5</v>
      </c>
      <c r="AE283" s="98">
        <f>VLOOKUP(Q283,'Ext. Pa'!$B$3:$C$77,2,FALSE)</f>
        <v>6</v>
      </c>
      <c r="AF283" s="99">
        <f t="shared" si="15"/>
        <v>1.25</v>
      </c>
      <c r="AG283" s="134">
        <f>Table2[[#This Row],[Coating defect survey10]]</f>
        <v>5</v>
      </c>
      <c r="AH283" s="134">
        <f>Table2[[#This Row],[CP Level within NACE Criteria4]]</f>
        <v>1</v>
      </c>
      <c r="AI283" s="135">
        <f>IF(Table2[[#This Row],[CP level]]&gt;9.9,1,0)</f>
        <v>0</v>
      </c>
      <c r="AJ283" s="135">
        <f>Table2[[#This Row],[Column3]]*Table2[[#This Row],[Coating defect survey2]]</f>
        <v>0</v>
      </c>
      <c r="AK28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16.487341772151897</v>
      </c>
    </row>
    <row r="284" spans="1:37" s="207" customFormat="1">
      <c r="A284" s="113">
        <v>9</v>
      </c>
      <c r="B284" s="202" t="s">
        <v>472</v>
      </c>
      <c r="C284" s="111">
        <v>6531</v>
      </c>
      <c r="D284" s="112" t="s">
        <v>344</v>
      </c>
      <c r="E284" s="86"/>
      <c r="F284" s="86">
        <v>2000</v>
      </c>
      <c r="G284" s="86">
        <f>2013-Table2[[#This Row],[Startup Year]]</f>
        <v>13</v>
      </c>
      <c r="H284" s="86" t="s">
        <v>101</v>
      </c>
      <c r="I284" s="86" t="s">
        <v>108</v>
      </c>
      <c r="J284" s="86" t="s">
        <v>113</v>
      </c>
      <c r="K284" s="212" t="s">
        <v>123</v>
      </c>
      <c r="L284" s="86" t="s">
        <v>105</v>
      </c>
      <c r="M284" s="86" t="s">
        <v>105</v>
      </c>
      <c r="N284" s="86" t="s">
        <v>105</v>
      </c>
      <c r="O284" s="86" t="s">
        <v>105</v>
      </c>
      <c r="P284" s="86" t="s">
        <v>105</v>
      </c>
      <c r="Q284" s="86" t="s">
        <v>66</v>
      </c>
      <c r="R284" s="86" t="s">
        <v>72</v>
      </c>
      <c r="S284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36.74050632911392</v>
      </c>
      <c r="T284" s="86">
        <v>36.74050632911392</v>
      </c>
      <c r="U284" s="86"/>
      <c r="V284" s="86">
        <f>VLOOKUP(H284,'Ext. Pa'!$B$3:$C$77,2,FALSE)</f>
        <v>1</v>
      </c>
      <c r="W284" s="86">
        <f>VLOOKUP(I284,'Ext. Pa'!$B$3:$C$77,2,FALSE)</f>
        <v>1</v>
      </c>
      <c r="X284" s="86">
        <f>VLOOKUP(J284,'Ext. Pa'!$B$3:$C$77,2,FALSE)</f>
        <v>4</v>
      </c>
      <c r="Y284" s="86">
        <f>VLOOKUP(K284,'Ext. Pa'!$B$3:$C$77,2,FALSE)</f>
        <v>6</v>
      </c>
      <c r="Z284" s="86">
        <f>VLOOKUP(L284,'Ext. Pa'!$B$3:$C$77,2,FALSE)</f>
        <v>5</v>
      </c>
      <c r="AA284" s="86">
        <f>VLOOKUP(M284,'Ext. Pa'!$B$3:$C$77,2,FALSE)</f>
        <v>5</v>
      </c>
      <c r="AB284" s="86">
        <f>VLOOKUP(N284,'Ext. Pa'!$B$3:$C$77,2,FALSE)</f>
        <v>5</v>
      </c>
      <c r="AC284" s="86">
        <f>VLOOKUP(O284,'Ext. Pa'!$B$3:$C$77,2,FALSE)</f>
        <v>5</v>
      </c>
      <c r="AD284" s="86">
        <f>VLOOKUP(P284,'Ext. Pa'!$B$3:$C$77,2,FALSE)</f>
        <v>5</v>
      </c>
      <c r="AE284" s="86">
        <f>VLOOKUP(Q284,'Ext. Pa'!$B$3:$C$77,2,FALSE)</f>
        <v>6</v>
      </c>
      <c r="AF284" s="204">
        <f t="shared" si="15"/>
        <v>3.25</v>
      </c>
      <c r="AG284" s="205">
        <f>Table2[[#This Row],[Coating defect survey10]]</f>
        <v>5</v>
      </c>
      <c r="AH284" s="208">
        <f>Table2[[#This Row],[CP Level within NACE Criteria4]]</f>
        <v>1</v>
      </c>
      <c r="AI284" s="206">
        <f>IF(Table2[[#This Row],[CP level]]&gt;9.9,1,0)</f>
        <v>0</v>
      </c>
      <c r="AJ284" s="206">
        <f>Table2[[#This Row],[Column3]]*Table2[[#This Row],[Coating defect survey2]]</f>
        <v>0</v>
      </c>
      <c r="AK284" s="209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36.74050632911392</v>
      </c>
    </row>
    <row r="285" spans="1:37" s="100" customFormat="1">
      <c r="A285" s="128">
        <v>9</v>
      </c>
      <c r="B285" s="129" t="s">
        <v>822</v>
      </c>
      <c r="C285" s="96">
        <v>653100001</v>
      </c>
      <c r="D285" s="97"/>
      <c r="E285" s="130"/>
      <c r="F285" s="130">
        <v>2000</v>
      </c>
      <c r="G285" s="130">
        <f>2013-Table2[[#This Row],[Startup Year]]</f>
        <v>13</v>
      </c>
      <c r="H285" s="130" t="s">
        <v>101</v>
      </c>
      <c r="I285" s="130" t="s">
        <v>108</v>
      </c>
      <c r="J285" s="130" t="s">
        <v>113</v>
      </c>
      <c r="K285" s="130">
        <v>0</v>
      </c>
      <c r="L285" s="130" t="s">
        <v>105</v>
      </c>
      <c r="M285" s="130" t="s">
        <v>105</v>
      </c>
      <c r="N285" s="130" t="s">
        <v>105</v>
      </c>
      <c r="O285" s="130" t="s">
        <v>143</v>
      </c>
      <c r="P285" s="130" t="s">
        <v>105</v>
      </c>
      <c r="Q285" s="130" t="s">
        <v>66</v>
      </c>
      <c r="R285" s="130" t="s">
        <v>72</v>
      </c>
      <c r="S28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5" s="131">
        <v>17.753164556962023</v>
      </c>
      <c r="U285" s="130"/>
      <c r="V285" s="131">
        <f>VLOOKUP(H285,'Ext. Pa'!$B$3:$C$77,2,FALSE)</f>
        <v>1</v>
      </c>
      <c r="W285" s="130">
        <f>VLOOKUP(I285,'Ext. Pa'!$B$3:$C$77,2,FALSE)</f>
        <v>1</v>
      </c>
      <c r="X285" s="130">
        <f>VLOOKUP(J285,'Ext. Pa'!$B$3:$C$77,2,FALSE)</f>
        <v>4</v>
      </c>
      <c r="Y285" s="130">
        <f>VLOOKUP(K285,'Ext. Pa'!$B$3:$C$77,2,FALSE)</f>
        <v>0</v>
      </c>
      <c r="Z285" s="130">
        <f>VLOOKUP(L285,'Ext. Pa'!$B$3:$C$77,2,FALSE)</f>
        <v>5</v>
      </c>
      <c r="AA285" s="130">
        <f>VLOOKUP(M285,'Ext. Pa'!$B$3:$C$77,2,FALSE)</f>
        <v>5</v>
      </c>
      <c r="AB285" s="130">
        <f>VLOOKUP(N285,'Ext. Pa'!$B$3:$C$77,2,FALSE)</f>
        <v>5</v>
      </c>
      <c r="AC285" s="130">
        <f>VLOOKUP(O285,'Ext. Pa'!$B$3:$C$77,2,FALSE)</f>
        <v>1</v>
      </c>
      <c r="AD285" s="130">
        <f>VLOOKUP(P285,'Ext. Pa'!$B$3:$C$77,2,FALSE)</f>
        <v>5</v>
      </c>
      <c r="AE285" s="130">
        <f>VLOOKUP(Q285,'Ext. Pa'!$B$3:$C$77,2,FALSE)</f>
        <v>6</v>
      </c>
      <c r="AF285" s="132">
        <f t="shared" ref="AF285:AF306" si="16">IF(G285&lt;40,(G285)/4,40)</f>
        <v>3.25</v>
      </c>
      <c r="AG285" s="134">
        <f>Table2[[#This Row],[Coating defect survey10]]</f>
        <v>1</v>
      </c>
      <c r="AH285" s="134">
        <f>Table2[[#This Row],[CP Level within NACE Criteria4]]</f>
        <v>1</v>
      </c>
      <c r="AI285" s="135">
        <f>IF(Table2[[#This Row],[CP level]]&gt;9.9,1,0)</f>
        <v>0</v>
      </c>
      <c r="AJ285" s="135">
        <f>Table2[[#This Row],[Column3]]*Table2[[#This Row],[Coating defect survey2]]</f>
        <v>0</v>
      </c>
      <c r="AK28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86" spans="1:37" s="100" customFormat="1">
      <c r="A286" s="128">
        <v>9</v>
      </c>
      <c r="B286" s="129" t="s">
        <v>816</v>
      </c>
      <c r="C286" s="96">
        <v>65311</v>
      </c>
      <c r="D286" s="97" t="s">
        <v>817</v>
      </c>
      <c r="E286" s="130"/>
      <c r="F286" s="130">
        <v>2000</v>
      </c>
      <c r="G286" s="130">
        <f>2013-Table2[[#This Row],[Startup Year]]</f>
        <v>13</v>
      </c>
      <c r="H286" s="130" t="s">
        <v>101</v>
      </c>
      <c r="I286" s="130" t="s">
        <v>108</v>
      </c>
      <c r="J286" s="130" t="s">
        <v>113</v>
      </c>
      <c r="K286" s="130">
        <v>0</v>
      </c>
      <c r="L286" s="130" t="s">
        <v>105</v>
      </c>
      <c r="M286" s="130" t="s">
        <v>105</v>
      </c>
      <c r="N286" s="130" t="s">
        <v>105</v>
      </c>
      <c r="O286" s="130" t="s">
        <v>143</v>
      </c>
      <c r="P286" s="130" t="s">
        <v>105</v>
      </c>
      <c r="Q286" s="130" t="s">
        <v>66</v>
      </c>
      <c r="R286" s="130" t="s">
        <v>72</v>
      </c>
      <c r="S28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6" s="98">
        <v>17.753164556962023</v>
      </c>
      <c r="U286" s="130"/>
      <c r="V286" s="131">
        <f>VLOOKUP(H286,'Ext. Pa'!$B$3:$C$77,2,FALSE)</f>
        <v>1</v>
      </c>
      <c r="W286" s="130">
        <f>VLOOKUP(I286,'Ext. Pa'!$B$3:$C$77,2,FALSE)</f>
        <v>1</v>
      </c>
      <c r="X286" s="130">
        <f>VLOOKUP(J286,'Ext. Pa'!$B$3:$C$77,2,FALSE)</f>
        <v>4</v>
      </c>
      <c r="Y286" s="130">
        <f>VLOOKUP(K286,'Ext. Pa'!$B$3:$C$77,2,FALSE)</f>
        <v>0</v>
      </c>
      <c r="Z286" s="130">
        <f>VLOOKUP(L286,'Ext. Pa'!$B$3:$C$77,2,FALSE)</f>
        <v>5</v>
      </c>
      <c r="AA286" s="130">
        <f>VLOOKUP(M286,'Ext. Pa'!$B$3:$C$77,2,FALSE)</f>
        <v>5</v>
      </c>
      <c r="AB286" s="130">
        <f>VLOOKUP(N286,'Ext. Pa'!$B$3:$C$77,2,FALSE)</f>
        <v>5</v>
      </c>
      <c r="AC286" s="130">
        <f>VLOOKUP(O286,'Ext. Pa'!$B$3:$C$77,2,FALSE)</f>
        <v>1</v>
      </c>
      <c r="AD286" s="130">
        <f>VLOOKUP(P286,'Ext. Pa'!$B$3:$C$77,2,FALSE)</f>
        <v>5</v>
      </c>
      <c r="AE286" s="130">
        <f>VLOOKUP(Q286,'Ext. Pa'!$B$3:$C$77,2,FALSE)</f>
        <v>6</v>
      </c>
      <c r="AF286" s="132">
        <f t="shared" si="16"/>
        <v>3.25</v>
      </c>
      <c r="AG286" s="133">
        <f>Table2[[#This Row],[Coating defect survey10]]</f>
        <v>1</v>
      </c>
      <c r="AH286" s="134">
        <f>Table2[[#This Row],[CP Level within NACE Criteria4]]</f>
        <v>1</v>
      </c>
      <c r="AI286" s="135">
        <f>IF(Table2[[#This Row],[CP level]]&gt;9.9,1,0)</f>
        <v>0</v>
      </c>
      <c r="AJ286" s="135">
        <f>Table2[[#This Row],[Column3]]*Table2[[#This Row],[Coating defect survey2]]</f>
        <v>0</v>
      </c>
      <c r="AK28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87" spans="1:37" s="100" customFormat="1">
      <c r="A287" s="128">
        <v>9</v>
      </c>
      <c r="B287" s="129" t="s">
        <v>824</v>
      </c>
      <c r="C287" s="96">
        <v>653110101</v>
      </c>
      <c r="D287" s="97" t="s">
        <v>823</v>
      </c>
      <c r="E287" s="130"/>
      <c r="F287" s="130">
        <v>2000</v>
      </c>
      <c r="G287" s="130">
        <f>2013-Table2[[#This Row],[Startup Year]]</f>
        <v>13</v>
      </c>
      <c r="H287" s="130" t="s">
        <v>101</v>
      </c>
      <c r="I287" s="130" t="s">
        <v>108</v>
      </c>
      <c r="J287" s="130" t="s">
        <v>113</v>
      </c>
      <c r="K287" s="130">
        <v>0</v>
      </c>
      <c r="L287" s="130" t="s">
        <v>105</v>
      </c>
      <c r="M287" s="130" t="s">
        <v>105</v>
      </c>
      <c r="N287" s="130" t="s">
        <v>105</v>
      </c>
      <c r="O287" s="130" t="s">
        <v>143</v>
      </c>
      <c r="P287" s="130" t="s">
        <v>105</v>
      </c>
      <c r="Q287" s="130" t="s">
        <v>66</v>
      </c>
      <c r="R287" s="130" t="s">
        <v>72</v>
      </c>
      <c r="S28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7" s="98">
        <v>17.753164556962023</v>
      </c>
      <c r="U287" s="130"/>
      <c r="V287" s="131">
        <f>VLOOKUP(H287,'Ext. Pa'!$B$3:$C$77,2,FALSE)</f>
        <v>1</v>
      </c>
      <c r="W287" s="130">
        <f>VLOOKUP(I287,'Ext. Pa'!$B$3:$C$77,2,FALSE)</f>
        <v>1</v>
      </c>
      <c r="X287" s="130">
        <f>VLOOKUP(J287,'Ext. Pa'!$B$3:$C$77,2,FALSE)</f>
        <v>4</v>
      </c>
      <c r="Y287" s="130">
        <f>VLOOKUP(K287,'Ext. Pa'!$B$3:$C$77,2,FALSE)</f>
        <v>0</v>
      </c>
      <c r="Z287" s="130">
        <f>VLOOKUP(L287,'Ext. Pa'!$B$3:$C$77,2,FALSE)</f>
        <v>5</v>
      </c>
      <c r="AA287" s="130">
        <f>VLOOKUP(M287,'Ext. Pa'!$B$3:$C$77,2,FALSE)</f>
        <v>5</v>
      </c>
      <c r="AB287" s="130">
        <f>VLOOKUP(N287,'Ext. Pa'!$B$3:$C$77,2,FALSE)</f>
        <v>5</v>
      </c>
      <c r="AC287" s="130">
        <f>VLOOKUP(O287,'Ext. Pa'!$B$3:$C$77,2,FALSE)</f>
        <v>1</v>
      </c>
      <c r="AD287" s="130">
        <f>VLOOKUP(P287,'Ext. Pa'!$B$3:$C$77,2,FALSE)</f>
        <v>5</v>
      </c>
      <c r="AE287" s="130">
        <f>VLOOKUP(Q287,'Ext. Pa'!$B$3:$C$77,2,FALSE)</f>
        <v>6</v>
      </c>
      <c r="AF287" s="132">
        <f t="shared" si="16"/>
        <v>3.25</v>
      </c>
      <c r="AG287" s="133">
        <f>Table2[[#This Row],[Coating defect survey10]]</f>
        <v>1</v>
      </c>
      <c r="AH287" s="134">
        <f>Table2[[#This Row],[CP Level within NACE Criteria4]]</f>
        <v>1</v>
      </c>
      <c r="AI287" s="135">
        <f>IF(Table2[[#This Row],[CP level]]&gt;9.9,1,0)</f>
        <v>0</v>
      </c>
      <c r="AJ287" s="135">
        <f>Table2[[#This Row],[Column3]]*Table2[[#This Row],[Coating defect survey2]]</f>
        <v>0</v>
      </c>
      <c r="AK28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88" spans="1:37" s="100" customFormat="1">
      <c r="A288" s="128">
        <v>9</v>
      </c>
      <c r="B288" s="129" t="s">
        <v>825</v>
      </c>
      <c r="C288" s="96">
        <v>653110103</v>
      </c>
      <c r="D288" s="97" t="s">
        <v>826</v>
      </c>
      <c r="E288" s="130"/>
      <c r="F288" s="130">
        <v>2000</v>
      </c>
      <c r="G288" s="130">
        <f>2013-Table2[[#This Row],[Startup Year]]</f>
        <v>13</v>
      </c>
      <c r="H288" s="130" t="s">
        <v>101</v>
      </c>
      <c r="I288" s="130" t="s">
        <v>108</v>
      </c>
      <c r="J288" s="130" t="s">
        <v>113</v>
      </c>
      <c r="K288" s="130">
        <v>0</v>
      </c>
      <c r="L288" s="130" t="s">
        <v>105</v>
      </c>
      <c r="M288" s="130" t="s">
        <v>105</v>
      </c>
      <c r="N288" s="130" t="s">
        <v>105</v>
      </c>
      <c r="O288" s="130" t="s">
        <v>143</v>
      </c>
      <c r="P288" s="130" t="s">
        <v>105</v>
      </c>
      <c r="Q288" s="130" t="s">
        <v>66</v>
      </c>
      <c r="R288" s="130" t="s">
        <v>72</v>
      </c>
      <c r="S28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8" s="131">
        <v>17.753164556962023</v>
      </c>
      <c r="U288" s="130"/>
      <c r="V288" s="131">
        <f>VLOOKUP(H288,'Ext. Pa'!$B$3:$C$77,2,FALSE)</f>
        <v>1</v>
      </c>
      <c r="W288" s="130">
        <f>VLOOKUP(I288,'Ext. Pa'!$B$3:$C$77,2,FALSE)</f>
        <v>1</v>
      </c>
      <c r="X288" s="130">
        <f>VLOOKUP(J288,'Ext. Pa'!$B$3:$C$77,2,FALSE)</f>
        <v>4</v>
      </c>
      <c r="Y288" s="130">
        <f>VLOOKUP(K288,'Ext. Pa'!$B$3:$C$77,2,FALSE)</f>
        <v>0</v>
      </c>
      <c r="Z288" s="130">
        <f>VLOOKUP(L288,'Ext. Pa'!$B$3:$C$77,2,FALSE)</f>
        <v>5</v>
      </c>
      <c r="AA288" s="130">
        <f>VLOOKUP(M288,'Ext. Pa'!$B$3:$C$77,2,FALSE)</f>
        <v>5</v>
      </c>
      <c r="AB288" s="130">
        <f>VLOOKUP(N288,'Ext. Pa'!$B$3:$C$77,2,FALSE)</f>
        <v>5</v>
      </c>
      <c r="AC288" s="130">
        <f>VLOOKUP(O288,'Ext. Pa'!$B$3:$C$77,2,FALSE)</f>
        <v>1</v>
      </c>
      <c r="AD288" s="130">
        <f>VLOOKUP(P288,'Ext. Pa'!$B$3:$C$77,2,FALSE)</f>
        <v>5</v>
      </c>
      <c r="AE288" s="130">
        <f>VLOOKUP(Q288,'Ext. Pa'!$B$3:$C$77,2,FALSE)</f>
        <v>6</v>
      </c>
      <c r="AF288" s="132">
        <f t="shared" si="16"/>
        <v>3.25</v>
      </c>
      <c r="AG288" s="134">
        <f>Table2[[#This Row],[Coating defect survey10]]</f>
        <v>1</v>
      </c>
      <c r="AH288" s="134">
        <f>Table2[[#This Row],[CP Level within NACE Criteria4]]</f>
        <v>1</v>
      </c>
      <c r="AI288" s="135">
        <f>IF(Table2[[#This Row],[CP level]]&gt;9.9,1,0)</f>
        <v>0</v>
      </c>
      <c r="AJ288" s="135">
        <f>Table2[[#This Row],[Column3]]*Table2[[#This Row],[Coating defect survey2]]</f>
        <v>0</v>
      </c>
      <c r="AK28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89" spans="1:37" s="100" customFormat="1">
      <c r="A289" s="128">
        <v>9</v>
      </c>
      <c r="B289" s="129" t="s">
        <v>827</v>
      </c>
      <c r="C289" s="96">
        <v>653110104</v>
      </c>
      <c r="D289" s="97" t="s">
        <v>828</v>
      </c>
      <c r="E289" s="130"/>
      <c r="F289" s="130">
        <v>2000</v>
      </c>
      <c r="G289" s="130">
        <f>2013-Table2[[#This Row],[Startup Year]]</f>
        <v>13</v>
      </c>
      <c r="H289" s="130" t="s">
        <v>101</v>
      </c>
      <c r="I289" s="130" t="s">
        <v>108</v>
      </c>
      <c r="J289" s="130" t="s">
        <v>113</v>
      </c>
      <c r="K289" s="130">
        <v>0</v>
      </c>
      <c r="L289" s="130" t="s">
        <v>105</v>
      </c>
      <c r="M289" s="130" t="s">
        <v>105</v>
      </c>
      <c r="N289" s="130" t="s">
        <v>105</v>
      </c>
      <c r="O289" s="130" t="s">
        <v>143</v>
      </c>
      <c r="P289" s="130" t="s">
        <v>105</v>
      </c>
      <c r="Q289" s="130" t="s">
        <v>66</v>
      </c>
      <c r="R289" s="130" t="s">
        <v>72</v>
      </c>
      <c r="S28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89" s="131">
        <v>17.753164556962023</v>
      </c>
      <c r="U289" s="130"/>
      <c r="V289" s="131">
        <f>VLOOKUP(H289,'Ext. Pa'!$B$3:$C$77,2,FALSE)</f>
        <v>1</v>
      </c>
      <c r="W289" s="130">
        <f>VLOOKUP(I289,'Ext. Pa'!$B$3:$C$77,2,FALSE)</f>
        <v>1</v>
      </c>
      <c r="X289" s="130">
        <f>VLOOKUP(J289,'Ext. Pa'!$B$3:$C$77,2,FALSE)</f>
        <v>4</v>
      </c>
      <c r="Y289" s="130">
        <f>VLOOKUP(K289,'Ext. Pa'!$B$3:$C$77,2,FALSE)</f>
        <v>0</v>
      </c>
      <c r="Z289" s="130">
        <f>VLOOKUP(L289,'Ext. Pa'!$B$3:$C$77,2,FALSE)</f>
        <v>5</v>
      </c>
      <c r="AA289" s="130">
        <f>VLOOKUP(M289,'Ext. Pa'!$B$3:$C$77,2,FALSE)</f>
        <v>5</v>
      </c>
      <c r="AB289" s="130">
        <f>VLOOKUP(N289,'Ext. Pa'!$B$3:$C$77,2,FALSE)</f>
        <v>5</v>
      </c>
      <c r="AC289" s="130">
        <f>VLOOKUP(O289,'Ext. Pa'!$B$3:$C$77,2,FALSE)</f>
        <v>1</v>
      </c>
      <c r="AD289" s="130">
        <f>VLOOKUP(P289,'Ext. Pa'!$B$3:$C$77,2,FALSE)</f>
        <v>5</v>
      </c>
      <c r="AE289" s="130">
        <f>VLOOKUP(Q289,'Ext. Pa'!$B$3:$C$77,2,FALSE)</f>
        <v>6</v>
      </c>
      <c r="AF289" s="132">
        <f t="shared" si="16"/>
        <v>3.25</v>
      </c>
      <c r="AG289" s="134">
        <f>Table2[[#This Row],[Coating defect survey10]]</f>
        <v>1</v>
      </c>
      <c r="AH289" s="134">
        <f>Table2[[#This Row],[CP Level within NACE Criteria4]]</f>
        <v>1</v>
      </c>
      <c r="AI289" s="135">
        <f>IF(Table2[[#This Row],[CP level]]&gt;9.9,1,0)</f>
        <v>0</v>
      </c>
      <c r="AJ289" s="135">
        <f>Table2[[#This Row],[Column3]]*Table2[[#This Row],[Coating defect survey2]]</f>
        <v>0</v>
      </c>
      <c r="AK28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0" spans="1:37" s="100" customFormat="1">
      <c r="A290" s="128">
        <v>9</v>
      </c>
      <c r="B290" s="129" t="s">
        <v>829</v>
      </c>
      <c r="C290" s="96">
        <v>653110105</v>
      </c>
      <c r="D290" s="97" t="s">
        <v>830</v>
      </c>
      <c r="E290" s="130"/>
      <c r="F290" s="130">
        <v>2000</v>
      </c>
      <c r="G290" s="130">
        <f>2013-Table2[[#This Row],[Startup Year]]</f>
        <v>13</v>
      </c>
      <c r="H290" s="130" t="s">
        <v>101</v>
      </c>
      <c r="I290" s="130" t="s">
        <v>108</v>
      </c>
      <c r="J290" s="130" t="s">
        <v>113</v>
      </c>
      <c r="K290" s="130">
        <v>0</v>
      </c>
      <c r="L290" s="130" t="s">
        <v>105</v>
      </c>
      <c r="M290" s="130" t="s">
        <v>105</v>
      </c>
      <c r="N290" s="130" t="s">
        <v>105</v>
      </c>
      <c r="O290" s="130" t="s">
        <v>143</v>
      </c>
      <c r="P290" s="130" t="s">
        <v>105</v>
      </c>
      <c r="Q290" s="130" t="s">
        <v>66</v>
      </c>
      <c r="R290" s="130" t="s">
        <v>72</v>
      </c>
      <c r="S29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0" s="131">
        <v>17.753164556962023</v>
      </c>
      <c r="U290" s="130"/>
      <c r="V290" s="131">
        <f>VLOOKUP(H290,'Ext. Pa'!$B$3:$C$77,2,FALSE)</f>
        <v>1</v>
      </c>
      <c r="W290" s="130">
        <f>VLOOKUP(I290,'Ext. Pa'!$B$3:$C$77,2,FALSE)</f>
        <v>1</v>
      </c>
      <c r="X290" s="130">
        <f>VLOOKUP(J290,'Ext. Pa'!$B$3:$C$77,2,FALSE)</f>
        <v>4</v>
      </c>
      <c r="Y290" s="130">
        <f>VLOOKUP(K290,'Ext. Pa'!$B$3:$C$77,2,FALSE)</f>
        <v>0</v>
      </c>
      <c r="Z290" s="130">
        <f>VLOOKUP(L290,'Ext. Pa'!$B$3:$C$77,2,FALSE)</f>
        <v>5</v>
      </c>
      <c r="AA290" s="130">
        <f>VLOOKUP(M290,'Ext. Pa'!$B$3:$C$77,2,FALSE)</f>
        <v>5</v>
      </c>
      <c r="AB290" s="130">
        <f>VLOOKUP(N290,'Ext. Pa'!$B$3:$C$77,2,FALSE)</f>
        <v>5</v>
      </c>
      <c r="AC290" s="130">
        <f>VLOOKUP(O290,'Ext. Pa'!$B$3:$C$77,2,FALSE)</f>
        <v>1</v>
      </c>
      <c r="AD290" s="130">
        <f>VLOOKUP(P290,'Ext. Pa'!$B$3:$C$77,2,FALSE)</f>
        <v>5</v>
      </c>
      <c r="AE290" s="130">
        <f>VLOOKUP(Q290,'Ext. Pa'!$B$3:$C$77,2,FALSE)</f>
        <v>6</v>
      </c>
      <c r="AF290" s="132">
        <f t="shared" si="16"/>
        <v>3.25</v>
      </c>
      <c r="AG290" s="134">
        <f>Table2[[#This Row],[Coating defect survey10]]</f>
        <v>1</v>
      </c>
      <c r="AH290" s="134">
        <f>Table2[[#This Row],[CP Level within NACE Criteria4]]</f>
        <v>1</v>
      </c>
      <c r="AI290" s="135">
        <f>IF(Table2[[#This Row],[CP level]]&gt;9.9,1,0)</f>
        <v>0</v>
      </c>
      <c r="AJ290" s="135">
        <f>Table2[[#This Row],[Column3]]*Table2[[#This Row],[Coating defect survey2]]</f>
        <v>0</v>
      </c>
      <c r="AK29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1" spans="1:37" s="100" customFormat="1">
      <c r="A291" s="128">
        <v>9</v>
      </c>
      <c r="B291" s="129" t="s">
        <v>831</v>
      </c>
      <c r="C291" s="96">
        <v>653110106</v>
      </c>
      <c r="D291" s="97" t="s">
        <v>832</v>
      </c>
      <c r="E291" s="130"/>
      <c r="F291" s="130">
        <v>2000</v>
      </c>
      <c r="G291" s="130">
        <f>2013-Table2[[#This Row],[Startup Year]]</f>
        <v>13</v>
      </c>
      <c r="H291" s="130" t="s">
        <v>101</v>
      </c>
      <c r="I291" s="130" t="s">
        <v>108</v>
      </c>
      <c r="J291" s="130" t="s">
        <v>113</v>
      </c>
      <c r="K291" s="130">
        <v>0</v>
      </c>
      <c r="L291" s="130" t="s">
        <v>105</v>
      </c>
      <c r="M291" s="130" t="s">
        <v>105</v>
      </c>
      <c r="N291" s="130" t="s">
        <v>105</v>
      </c>
      <c r="O291" s="130" t="s">
        <v>143</v>
      </c>
      <c r="P291" s="130" t="s">
        <v>105</v>
      </c>
      <c r="Q291" s="130" t="s">
        <v>66</v>
      </c>
      <c r="R291" s="130" t="s">
        <v>72</v>
      </c>
      <c r="S29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1" s="98">
        <v>17.753164556962023</v>
      </c>
      <c r="U291" s="130"/>
      <c r="V291" s="131">
        <f>VLOOKUP(H291,'Ext. Pa'!$B$3:$C$77,2,FALSE)</f>
        <v>1</v>
      </c>
      <c r="W291" s="130">
        <f>VLOOKUP(I291,'Ext. Pa'!$B$3:$C$77,2,FALSE)</f>
        <v>1</v>
      </c>
      <c r="X291" s="130">
        <f>VLOOKUP(J291,'Ext. Pa'!$B$3:$C$77,2,FALSE)</f>
        <v>4</v>
      </c>
      <c r="Y291" s="130">
        <f>VLOOKUP(K291,'Ext. Pa'!$B$3:$C$77,2,FALSE)</f>
        <v>0</v>
      </c>
      <c r="Z291" s="130">
        <f>VLOOKUP(L291,'Ext. Pa'!$B$3:$C$77,2,FALSE)</f>
        <v>5</v>
      </c>
      <c r="AA291" s="130">
        <f>VLOOKUP(M291,'Ext. Pa'!$B$3:$C$77,2,FALSE)</f>
        <v>5</v>
      </c>
      <c r="AB291" s="130">
        <f>VLOOKUP(N291,'Ext. Pa'!$B$3:$C$77,2,FALSE)</f>
        <v>5</v>
      </c>
      <c r="AC291" s="130">
        <f>VLOOKUP(O291,'Ext. Pa'!$B$3:$C$77,2,FALSE)</f>
        <v>1</v>
      </c>
      <c r="AD291" s="130">
        <f>VLOOKUP(P291,'Ext. Pa'!$B$3:$C$77,2,FALSE)</f>
        <v>5</v>
      </c>
      <c r="AE291" s="130">
        <f>VLOOKUP(Q291,'Ext. Pa'!$B$3:$C$77,2,FALSE)</f>
        <v>6</v>
      </c>
      <c r="AF291" s="132">
        <f t="shared" si="16"/>
        <v>3.25</v>
      </c>
      <c r="AG291" s="133">
        <f>Table2[[#This Row],[Coating defect survey10]]</f>
        <v>1</v>
      </c>
      <c r="AH291" s="134">
        <f>Table2[[#This Row],[CP Level within NACE Criteria4]]</f>
        <v>1</v>
      </c>
      <c r="AI291" s="135">
        <f>IF(Table2[[#This Row],[CP level]]&gt;9.9,1,0)</f>
        <v>0</v>
      </c>
      <c r="AJ291" s="135">
        <f>Table2[[#This Row],[Column3]]*Table2[[#This Row],[Coating defect survey2]]</f>
        <v>0</v>
      </c>
      <c r="AK29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2" spans="1:37" s="100" customFormat="1">
      <c r="A292" s="128">
        <v>9</v>
      </c>
      <c r="B292" s="129" t="s">
        <v>833</v>
      </c>
      <c r="C292" s="96">
        <v>653110108</v>
      </c>
      <c r="D292" s="97" t="s">
        <v>834</v>
      </c>
      <c r="E292" s="130"/>
      <c r="F292" s="130">
        <v>2000</v>
      </c>
      <c r="G292" s="130">
        <f>2013-Table2[[#This Row],[Startup Year]]</f>
        <v>13</v>
      </c>
      <c r="H292" s="130" t="s">
        <v>101</v>
      </c>
      <c r="I292" s="130" t="s">
        <v>108</v>
      </c>
      <c r="J292" s="130" t="s">
        <v>113</v>
      </c>
      <c r="K292" s="130">
        <v>0</v>
      </c>
      <c r="L292" s="130" t="s">
        <v>105</v>
      </c>
      <c r="M292" s="130" t="s">
        <v>105</v>
      </c>
      <c r="N292" s="130" t="s">
        <v>105</v>
      </c>
      <c r="O292" s="130" t="s">
        <v>143</v>
      </c>
      <c r="P292" s="130" t="s">
        <v>105</v>
      </c>
      <c r="Q292" s="130" t="s">
        <v>66</v>
      </c>
      <c r="R292" s="130" t="s">
        <v>72</v>
      </c>
      <c r="S29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2" s="131">
        <v>17.753164556962023</v>
      </c>
      <c r="U292" s="130"/>
      <c r="V292" s="131">
        <f>VLOOKUP(H292,'Ext. Pa'!$B$3:$C$77,2,FALSE)</f>
        <v>1</v>
      </c>
      <c r="W292" s="130">
        <f>VLOOKUP(I292,'Ext. Pa'!$B$3:$C$77,2,FALSE)</f>
        <v>1</v>
      </c>
      <c r="X292" s="130">
        <f>VLOOKUP(J292,'Ext. Pa'!$B$3:$C$77,2,FALSE)</f>
        <v>4</v>
      </c>
      <c r="Y292" s="130">
        <f>VLOOKUP(K292,'Ext. Pa'!$B$3:$C$77,2,FALSE)</f>
        <v>0</v>
      </c>
      <c r="Z292" s="130">
        <f>VLOOKUP(L292,'Ext. Pa'!$B$3:$C$77,2,FALSE)</f>
        <v>5</v>
      </c>
      <c r="AA292" s="130">
        <f>VLOOKUP(M292,'Ext. Pa'!$B$3:$C$77,2,FALSE)</f>
        <v>5</v>
      </c>
      <c r="AB292" s="130">
        <f>VLOOKUP(N292,'Ext. Pa'!$B$3:$C$77,2,FALSE)</f>
        <v>5</v>
      </c>
      <c r="AC292" s="130">
        <f>VLOOKUP(O292,'Ext. Pa'!$B$3:$C$77,2,FALSE)</f>
        <v>1</v>
      </c>
      <c r="AD292" s="130">
        <f>VLOOKUP(P292,'Ext. Pa'!$B$3:$C$77,2,FALSE)</f>
        <v>5</v>
      </c>
      <c r="AE292" s="130">
        <f>VLOOKUP(Q292,'Ext. Pa'!$B$3:$C$77,2,FALSE)</f>
        <v>6</v>
      </c>
      <c r="AF292" s="132">
        <f t="shared" si="16"/>
        <v>3.25</v>
      </c>
      <c r="AG292" s="134">
        <f>Table2[[#This Row],[Coating defect survey10]]</f>
        <v>1</v>
      </c>
      <c r="AH292" s="134">
        <f>Table2[[#This Row],[CP Level within NACE Criteria4]]</f>
        <v>1</v>
      </c>
      <c r="AI292" s="135">
        <f>IF(Table2[[#This Row],[CP level]]&gt;9.9,1,0)</f>
        <v>0</v>
      </c>
      <c r="AJ292" s="135">
        <f>Table2[[#This Row],[Column3]]*Table2[[#This Row],[Coating defect survey2]]</f>
        <v>0</v>
      </c>
      <c r="AK29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3" spans="1:37" s="100" customFormat="1">
      <c r="A293" s="128">
        <v>9</v>
      </c>
      <c r="B293" s="129" t="s">
        <v>835</v>
      </c>
      <c r="C293" s="96">
        <v>653110109</v>
      </c>
      <c r="D293" s="97" t="s">
        <v>836</v>
      </c>
      <c r="E293" s="130"/>
      <c r="F293" s="130">
        <v>2000</v>
      </c>
      <c r="G293" s="130">
        <f>2013-Table2[[#This Row],[Startup Year]]</f>
        <v>13</v>
      </c>
      <c r="H293" s="130" t="s">
        <v>101</v>
      </c>
      <c r="I293" s="130" t="s">
        <v>108</v>
      </c>
      <c r="J293" s="130" t="s">
        <v>113</v>
      </c>
      <c r="K293" s="130">
        <v>0</v>
      </c>
      <c r="L293" s="130" t="s">
        <v>105</v>
      </c>
      <c r="M293" s="130" t="s">
        <v>105</v>
      </c>
      <c r="N293" s="130" t="s">
        <v>105</v>
      </c>
      <c r="O293" s="130" t="s">
        <v>143</v>
      </c>
      <c r="P293" s="130" t="s">
        <v>105</v>
      </c>
      <c r="Q293" s="130" t="s">
        <v>66</v>
      </c>
      <c r="R293" s="130" t="s">
        <v>72</v>
      </c>
      <c r="S29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3" s="131">
        <v>17.753164556962023</v>
      </c>
      <c r="U293" s="130"/>
      <c r="V293" s="131">
        <f>VLOOKUP(H293,'Ext. Pa'!$B$3:$C$77,2,FALSE)</f>
        <v>1</v>
      </c>
      <c r="W293" s="130">
        <f>VLOOKUP(I293,'Ext. Pa'!$B$3:$C$77,2,FALSE)</f>
        <v>1</v>
      </c>
      <c r="X293" s="130">
        <f>VLOOKUP(J293,'Ext. Pa'!$B$3:$C$77,2,FALSE)</f>
        <v>4</v>
      </c>
      <c r="Y293" s="130">
        <f>VLOOKUP(K293,'Ext. Pa'!$B$3:$C$77,2,FALSE)</f>
        <v>0</v>
      </c>
      <c r="Z293" s="130">
        <f>VLOOKUP(L293,'Ext. Pa'!$B$3:$C$77,2,FALSE)</f>
        <v>5</v>
      </c>
      <c r="AA293" s="130">
        <f>VLOOKUP(M293,'Ext. Pa'!$B$3:$C$77,2,FALSE)</f>
        <v>5</v>
      </c>
      <c r="AB293" s="130">
        <f>VLOOKUP(N293,'Ext. Pa'!$B$3:$C$77,2,FALSE)</f>
        <v>5</v>
      </c>
      <c r="AC293" s="130">
        <f>VLOOKUP(O293,'Ext. Pa'!$B$3:$C$77,2,FALSE)</f>
        <v>1</v>
      </c>
      <c r="AD293" s="130">
        <f>VLOOKUP(P293,'Ext. Pa'!$B$3:$C$77,2,FALSE)</f>
        <v>5</v>
      </c>
      <c r="AE293" s="130">
        <f>VLOOKUP(Q293,'Ext. Pa'!$B$3:$C$77,2,FALSE)</f>
        <v>6</v>
      </c>
      <c r="AF293" s="132">
        <f t="shared" si="16"/>
        <v>3.25</v>
      </c>
      <c r="AG293" s="134">
        <f>Table2[[#This Row],[Coating defect survey10]]</f>
        <v>1</v>
      </c>
      <c r="AH293" s="134">
        <f>Table2[[#This Row],[CP Level within NACE Criteria4]]</f>
        <v>1</v>
      </c>
      <c r="AI293" s="135">
        <f>IF(Table2[[#This Row],[CP level]]&gt;9.9,1,0)</f>
        <v>0</v>
      </c>
      <c r="AJ293" s="135">
        <f>Table2[[#This Row],[Column3]]*Table2[[#This Row],[Coating defect survey2]]</f>
        <v>0</v>
      </c>
      <c r="AK29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4" spans="1:37" s="100" customFormat="1">
      <c r="A294" s="128">
        <v>9</v>
      </c>
      <c r="B294" s="129" t="s">
        <v>837</v>
      </c>
      <c r="C294" s="96">
        <v>653110110</v>
      </c>
      <c r="D294" s="97" t="s">
        <v>838</v>
      </c>
      <c r="E294" s="130"/>
      <c r="F294" s="130">
        <v>2000</v>
      </c>
      <c r="G294" s="130">
        <f>2013-Table2[[#This Row],[Startup Year]]</f>
        <v>13</v>
      </c>
      <c r="H294" s="130" t="s">
        <v>101</v>
      </c>
      <c r="I294" s="130" t="s">
        <v>108</v>
      </c>
      <c r="J294" s="130" t="s">
        <v>113</v>
      </c>
      <c r="K294" s="130">
        <v>0</v>
      </c>
      <c r="L294" s="130" t="s">
        <v>105</v>
      </c>
      <c r="M294" s="130" t="s">
        <v>105</v>
      </c>
      <c r="N294" s="130" t="s">
        <v>105</v>
      </c>
      <c r="O294" s="130" t="s">
        <v>143</v>
      </c>
      <c r="P294" s="130" t="s">
        <v>105</v>
      </c>
      <c r="Q294" s="130" t="s">
        <v>66</v>
      </c>
      <c r="R294" s="130" t="s">
        <v>72</v>
      </c>
      <c r="S294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4" s="98">
        <v>17.753164556962023</v>
      </c>
      <c r="U294" s="130"/>
      <c r="V294" s="131">
        <f>VLOOKUP(H294,'Ext. Pa'!$B$3:$C$77,2,FALSE)</f>
        <v>1</v>
      </c>
      <c r="W294" s="130">
        <f>VLOOKUP(I294,'Ext. Pa'!$B$3:$C$77,2,FALSE)</f>
        <v>1</v>
      </c>
      <c r="X294" s="130">
        <f>VLOOKUP(J294,'Ext. Pa'!$B$3:$C$77,2,FALSE)</f>
        <v>4</v>
      </c>
      <c r="Y294" s="130">
        <f>VLOOKUP(K294,'Ext. Pa'!$B$3:$C$77,2,FALSE)</f>
        <v>0</v>
      </c>
      <c r="Z294" s="130">
        <f>VLOOKUP(L294,'Ext. Pa'!$B$3:$C$77,2,FALSE)</f>
        <v>5</v>
      </c>
      <c r="AA294" s="130">
        <f>VLOOKUP(M294,'Ext. Pa'!$B$3:$C$77,2,FALSE)</f>
        <v>5</v>
      </c>
      <c r="AB294" s="130">
        <f>VLOOKUP(N294,'Ext. Pa'!$B$3:$C$77,2,FALSE)</f>
        <v>5</v>
      </c>
      <c r="AC294" s="130">
        <f>VLOOKUP(O294,'Ext. Pa'!$B$3:$C$77,2,FALSE)</f>
        <v>1</v>
      </c>
      <c r="AD294" s="130">
        <f>VLOOKUP(P294,'Ext. Pa'!$B$3:$C$77,2,FALSE)</f>
        <v>5</v>
      </c>
      <c r="AE294" s="130">
        <f>VLOOKUP(Q294,'Ext. Pa'!$B$3:$C$77,2,FALSE)</f>
        <v>6</v>
      </c>
      <c r="AF294" s="132">
        <f t="shared" si="16"/>
        <v>3.25</v>
      </c>
      <c r="AG294" s="133">
        <f>Table2[[#This Row],[Coating defect survey10]]</f>
        <v>1</v>
      </c>
      <c r="AH294" s="134">
        <f>Table2[[#This Row],[CP Level within NACE Criteria4]]</f>
        <v>1</v>
      </c>
      <c r="AI294" s="135">
        <f>IF(Table2[[#This Row],[CP level]]&gt;9.9,1,0)</f>
        <v>0</v>
      </c>
      <c r="AJ294" s="135">
        <f>Table2[[#This Row],[Column3]]*Table2[[#This Row],[Coating defect survey2]]</f>
        <v>0</v>
      </c>
      <c r="AK29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5" spans="1:37" s="100" customFormat="1">
      <c r="A295" s="128">
        <v>9</v>
      </c>
      <c r="B295" s="129" t="s">
        <v>839</v>
      </c>
      <c r="C295" s="96">
        <v>653110111</v>
      </c>
      <c r="D295" s="97" t="s">
        <v>840</v>
      </c>
      <c r="E295" s="130"/>
      <c r="F295" s="130">
        <v>2000</v>
      </c>
      <c r="G295" s="130">
        <f>2013-Table2[[#This Row],[Startup Year]]</f>
        <v>13</v>
      </c>
      <c r="H295" s="130" t="s">
        <v>101</v>
      </c>
      <c r="I295" s="130" t="s">
        <v>108</v>
      </c>
      <c r="J295" s="130" t="s">
        <v>113</v>
      </c>
      <c r="K295" s="130">
        <v>0</v>
      </c>
      <c r="L295" s="130" t="s">
        <v>105</v>
      </c>
      <c r="M295" s="130" t="s">
        <v>105</v>
      </c>
      <c r="N295" s="130" t="s">
        <v>105</v>
      </c>
      <c r="O295" s="130" t="s">
        <v>143</v>
      </c>
      <c r="P295" s="130" t="s">
        <v>105</v>
      </c>
      <c r="Q295" s="130" t="s">
        <v>66</v>
      </c>
      <c r="R295" s="130" t="s">
        <v>72</v>
      </c>
      <c r="S29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5" s="98">
        <v>17.753164556962023</v>
      </c>
      <c r="U295" s="130"/>
      <c r="V295" s="131">
        <f>VLOOKUP(H295,'Ext. Pa'!$B$3:$C$77,2,FALSE)</f>
        <v>1</v>
      </c>
      <c r="W295" s="130">
        <f>VLOOKUP(I295,'Ext. Pa'!$B$3:$C$77,2,FALSE)</f>
        <v>1</v>
      </c>
      <c r="X295" s="130">
        <f>VLOOKUP(J295,'Ext. Pa'!$B$3:$C$77,2,FALSE)</f>
        <v>4</v>
      </c>
      <c r="Y295" s="130">
        <f>VLOOKUP(K295,'Ext. Pa'!$B$3:$C$77,2,FALSE)</f>
        <v>0</v>
      </c>
      <c r="Z295" s="130">
        <f>VLOOKUP(L295,'Ext. Pa'!$B$3:$C$77,2,FALSE)</f>
        <v>5</v>
      </c>
      <c r="AA295" s="130">
        <f>VLOOKUP(M295,'Ext. Pa'!$B$3:$C$77,2,FALSE)</f>
        <v>5</v>
      </c>
      <c r="AB295" s="130">
        <f>VLOOKUP(N295,'Ext. Pa'!$B$3:$C$77,2,FALSE)</f>
        <v>5</v>
      </c>
      <c r="AC295" s="130">
        <f>VLOOKUP(O295,'Ext. Pa'!$B$3:$C$77,2,FALSE)</f>
        <v>1</v>
      </c>
      <c r="AD295" s="130">
        <f>VLOOKUP(P295,'Ext. Pa'!$B$3:$C$77,2,FALSE)</f>
        <v>5</v>
      </c>
      <c r="AE295" s="130">
        <f>VLOOKUP(Q295,'Ext. Pa'!$B$3:$C$77,2,FALSE)</f>
        <v>6</v>
      </c>
      <c r="AF295" s="132">
        <f t="shared" si="16"/>
        <v>3.25</v>
      </c>
      <c r="AG295" s="133">
        <f>Table2[[#This Row],[Coating defect survey10]]</f>
        <v>1</v>
      </c>
      <c r="AH295" s="134">
        <f>Table2[[#This Row],[CP Level within NACE Criteria4]]</f>
        <v>1</v>
      </c>
      <c r="AI295" s="135">
        <f>IF(Table2[[#This Row],[CP level]]&gt;9.9,1,0)</f>
        <v>0</v>
      </c>
      <c r="AJ295" s="135">
        <f>Table2[[#This Row],[Column3]]*Table2[[#This Row],[Coating defect survey2]]</f>
        <v>0</v>
      </c>
      <c r="AK29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6" spans="1:37" s="100" customFormat="1">
      <c r="A296" s="128">
        <v>9</v>
      </c>
      <c r="B296" s="129" t="s">
        <v>841</v>
      </c>
      <c r="C296" s="96">
        <v>653110112</v>
      </c>
      <c r="D296" s="97" t="s">
        <v>842</v>
      </c>
      <c r="E296" s="130"/>
      <c r="F296" s="130">
        <v>2000</v>
      </c>
      <c r="G296" s="130">
        <f>2013-Table2[[#This Row],[Startup Year]]</f>
        <v>13</v>
      </c>
      <c r="H296" s="130" t="s">
        <v>101</v>
      </c>
      <c r="I296" s="130" t="s">
        <v>108</v>
      </c>
      <c r="J296" s="130" t="s">
        <v>113</v>
      </c>
      <c r="K296" s="130">
        <v>0</v>
      </c>
      <c r="L296" s="130" t="s">
        <v>105</v>
      </c>
      <c r="M296" s="130" t="s">
        <v>105</v>
      </c>
      <c r="N296" s="130" t="s">
        <v>105</v>
      </c>
      <c r="O296" s="130" t="s">
        <v>143</v>
      </c>
      <c r="P296" s="130" t="s">
        <v>105</v>
      </c>
      <c r="Q296" s="130" t="s">
        <v>66</v>
      </c>
      <c r="R296" s="130" t="s">
        <v>72</v>
      </c>
      <c r="S29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6" s="131">
        <v>17.753164556962023</v>
      </c>
      <c r="U296" s="130"/>
      <c r="V296" s="131">
        <f>VLOOKUP(H296,'Ext. Pa'!$B$3:$C$77,2,FALSE)</f>
        <v>1</v>
      </c>
      <c r="W296" s="130">
        <f>VLOOKUP(I296,'Ext. Pa'!$B$3:$C$77,2,FALSE)</f>
        <v>1</v>
      </c>
      <c r="X296" s="130">
        <f>VLOOKUP(J296,'Ext. Pa'!$B$3:$C$77,2,FALSE)</f>
        <v>4</v>
      </c>
      <c r="Y296" s="130">
        <f>VLOOKUP(K296,'Ext. Pa'!$B$3:$C$77,2,FALSE)</f>
        <v>0</v>
      </c>
      <c r="Z296" s="130">
        <f>VLOOKUP(L296,'Ext. Pa'!$B$3:$C$77,2,FALSE)</f>
        <v>5</v>
      </c>
      <c r="AA296" s="130">
        <f>VLOOKUP(M296,'Ext. Pa'!$B$3:$C$77,2,FALSE)</f>
        <v>5</v>
      </c>
      <c r="AB296" s="130">
        <f>VLOOKUP(N296,'Ext. Pa'!$B$3:$C$77,2,FALSE)</f>
        <v>5</v>
      </c>
      <c r="AC296" s="130">
        <f>VLOOKUP(O296,'Ext. Pa'!$B$3:$C$77,2,FALSE)</f>
        <v>1</v>
      </c>
      <c r="AD296" s="130">
        <f>VLOOKUP(P296,'Ext. Pa'!$B$3:$C$77,2,FALSE)</f>
        <v>5</v>
      </c>
      <c r="AE296" s="130">
        <f>VLOOKUP(Q296,'Ext. Pa'!$B$3:$C$77,2,FALSE)</f>
        <v>6</v>
      </c>
      <c r="AF296" s="132">
        <f t="shared" si="16"/>
        <v>3.25</v>
      </c>
      <c r="AG296" s="134">
        <f>Table2[[#This Row],[Coating defect survey10]]</f>
        <v>1</v>
      </c>
      <c r="AH296" s="134">
        <f>Table2[[#This Row],[CP Level within NACE Criteria4]]</f>
        <v>1</v>
      </c>
      <c r="AI296" s="135">
        <f>IF(Table2[[#This Row],[CP level]]&gt;9.9,1,0)</f>
        <v>0</v>
      </c>
      <c r="AJ296" s="135">
        <f>Table2[[#This Row],[Column3]]*Table2[[#This Row],[Coating defect survey2]]</f>
        <v>0</v>
      </c>
      <c r="AK29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7" spans="1:37" s="100" customFormat="1">
      <c r="A297" s="128">
        <v>9</v>
      </c>
      <c r="B297" s="129" t="s">
        <v>854</v>
      </c>
      <c r="C297" s="96">
        <v>553110113</v>
      </c>
      <c r="D297" s="97" t="s">
        <v>843</v>
      </c>
      <c r="E297" s="130"/>
      <c r="F297" s="130">
        <v>2000</v>
      </c>
      <c r="G297" s="130">
        <f>2013-Table2[[#This Row],[Startup Year]]</f>
        <v>13</v>
      </c>
      <c r="H297" s="130" t="s">
        <v>101</v>
      </c>
      <c r="I297" s="130" t="s">
        <v>108</v>
      </c>
      <c r="J297" s="130" t="s">
        <v>113</v>
      </c>
      <c r="K297" s="130">
        <v>0</v>
      </c>
      <c r="L297" s="130" t="s">
        <v>105</v>
      </c>
      <c r="M297" s="130" t="s">
        <v>105</v>
      </c>
      <c r="N297" s="130" t="s">
        <v>105</v>
      </c>
      <c r="O297" s="130" t="s">
        <v>143</v>
      </c>
      <c r="P297" s="130" t="s">
        <v>105</v>
      </c>
      <c r="Q297" s="130" t="s">
        <v>66</v>
      </c>
      <c r="R297" s="130" t="s">
        <v>72</v>
      </c>
      <c r="S29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7" s="98">
        <v>17.753164556962023</v>
      </c>
      <c r="U297" s="130"/>
      <c r="V297" s="131">
        <f>VLOOKUP(H297,'Ext. Pa'!$B$3:$C$77,2,FALSE)</f>
        <v>1</v>
      </c>
      <c r="W297" s="130">
        <f>VLOOKUP(I297,'Ext. Pa'!$B$3:$C$77,2,FALSE)</f>
        <v>1</v>
      </c>
      <c r="X297" s="130">
        <f>VLOOKUP(J297,'Ext. Pa'!$B$3:$C$77,2,FALSE)</f>
        <v>4</v>
      </c>
      <c r="Y297" s="130">
        <f>VLOOKUP(K297,'Ext. Pa'!$B$3:$C$77,2,FALSE)</f>
        <v>0</v>
      </c>
      <c r="Z297" s="130">
        <f>VLOOKUP(L297,'Ext. Pa'!$B$3:$C$77,2,FALSE)</f>
        <v>5</v>
      </c>
      <c r="AA297" s="130">
        <f>VLOOKUP(M297,'Ext. Pa'!$B$3:$C$77,2,FALSE)</f>
        <v>5</v>
      </c>
      <c r="AB297" s="130">
        <f>VLOOKUP(N297,'Ext. Pa'!$B$3:$C$77,2,FALSE)</f>
        <v>5</v>
      </c>
      <c r="AC297" s="130">
        <f>VLOOKUP(O297,'Ext. Pa'!$B$3:$C$77,2,FALSE)</f>
        <v>1</v>
      </c>
      <c r="AD297" s="130">
        <f>VLOOKUP(P297,'Ext. Pa'!$B$3:$C$77,2,FALSE)</f>
        <v>5</v>
      </c>
      <c r="AE297" s="130">
        <f>VLOOKUP(Q297,'Ext. Pa'!$B$3:$C$77,2,FALSE)</f>
        <v>6</v>
      </c>
      <c r="AF297" s="132">
        <f t="shared" si="16"/>
        <v>3.25</v>
      </c>
      <c r="AG297" s="133">
        <f>Table2[[#This Row],[Coating defect survey10]]</f>
        <v>1</v>
      </c>
      <c r="AH297" s="134">
        <f>Table2[[#This Row],[CP Level within NACE Criteria4]]</f>
        <v>1</v>
      </c>
      <c r="AI297" s="135">
        <f>IF(Table2[[#This Row],[CP level]]&gt;9.9,1,0)</f>
        <v>0</v>
      </c>
      <c r="AJ297" s="135">
        <f>Table2[[#This Row],[Column3]]*Table2[[#This Row],[Coating defect survey2]]</f>
        <v>0</v>
      </c>
      <c r="AK29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8" spans="1:37" s="100" customFormat="1">
      <c r="A298" s="128">
        <v>9</v>
      </c>
      <c r="B298" s="129" t="s">
        <v>844</v>
      </c>
      <c r="C298" s="96">
        <v>653110114</v>
      </c>
      <c r="D298" s="97"/>
      <c r="E298" s="130"/>
      <c r="F298" s="130">
        <v>2000</v>
      </c>
      <c r="G298" s="130">
        <f>2013-Table2[[#This Row],[Startup Year]]</f>
        <v>13</v>
      </c>
      <c r="H298" s="130" t="s">
        <v>101</v>
      </c>
      <c r="I298" s="130" t="s">
        <v>108</v>
      </c>
      <c r="J298" s="130" t="s">
        <v>113</v>
      </c>
      <c r="K298" s="130">
        <v>0</v>
      </c>
      <c r="L298" s="130" t="s">
        <v>105</v>
      </c>
      <c r="M298" s="130" t="s">
        <v>105</v>
      </c>
      <c r="N298" s="130" t="s">
        <v>105</v>
      </c>
      <c r="O298" s="130" t="s">
        <v>143</v>
      </c>
      <c r="P298" s="130" t="s">
        <v>105</v>
      </c>
      <c r="Q298" s="130" t="s">
        <v>66</v>
      </c>
      <c r="R298" s="130" t="s">
        <v>72</v>
      </c>
      <c r="S29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8" s="131">
        <v>17.753164556962023</v>
      </c>
      <c r="U298" s="130"/>
      <c r="V298" s="131">
        <f>VLOOKUP(H298,'Ext. Pa'!$B$3:$C$77,2,FALSE)</f>
        <v>1</v>
      </c>
      <c r="W298" s="130">
        <f>VLOOKUP(I298,'Ext. Pa'!$B$3:$C$77,2,FALSE)</f>
        <v>1</v>
      </c>
      <c r="X298" s="130">
        <f>VLOOKUP(J298,'Ext. Pa'!$B$3:$C$77,2,FALSE)</f>
        <v>4</v>
      </c>
      <c r="Y298" s="130">
        <f>VLOOKUP(K298,'Ext. Pa'!$B$3:$C$77,2,FALSE)</f>
        <v>0</v>
      </c>
      <c r="Z298" s="130">
        <f>VLOOKUP(L298,'Ext. Pa'!$B$3:$C$77,2,FALSE)</f>
        <v>5</v>
      </c>
      <c r="AA298" s="130">
        <f>VLOOKUP(M298,'Ext. Pa'!$B$3:$C$77,2,FALSE)</f>
        <v>5</v>
      </c>
      <c r="AB298" s="130">
        <f>VLOOKUP(N298,'Ext. Pa'!$B$3:$C$77,2,FALSE)</f>
        <v>5</v>
      </c>
      <c r="AC298" s="130">
        <f>VLOOKUP(O298,'Ext. Pa'!$B$3:$C$77,2,FALSE)</f>
        <v>1</v>
      </c>
      <c r="AD298" s="130">
        <f>VLOOKUP(P298,'Ext. Pa'!$B$3:$C$77,2,FALSE)</f>
        <v>5</v>
      </c>
      <c r="AE298" s="130">
        <f>VLOOKUP(Q298,'Ext. Pa'!$B$3:$C$77,2,FALSE)</f>
        <v>6</v>
      </c>
      <c r="AF298" s="132">
        <f t="shared" si="16"/>
        <v>3.25</v>
      </c>
      <c r="AG298" s="134">
        <f>Table2[[#This Row],[Coating defect survey10]]</f>
        <v>1</v>
      </c>
      <c r="AH298" s="134">
        <f>Table2[[#This Row],[CP Level within NACE Criteria4]]</f>
        <v>1</v>
      </c>
      <c r="AI298" s="135">
        <f>IF(Table2[[#This Row],[CP level]]&gt;9.9,1,0)</f>
        <v>0</v>
      </c>
      <c r="AJ298" s="135">
        <f>Table2[[#This Row],[Column3]]*Table2[[#This Row],[Coating defect survey2]]</f>
        <v>0</v>
      </c>
      <c r="AK29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299" spans="1:37" s="100" customFormat="1">
      <c r="A299" s="128">
        <v>9</v>
      </c>
      <c r="B299" s="129" t="s">
        <v>845</v>
      </c>
      <c r="C299" s="96">
        <v>653110115</v>
      </c>
      <c r="D299" s="97" t="s">
        <v>846</v>
      </c>
      <c r="E299" s="130"/>
      <c r="F299" s="130">
        <v>2000</v>
      </c>
      <c r="G299" s="130">
        <f>2013-Table2[[#This Row],[Startup Year]]</f>
        <v>13</v>
      </c>
      <c r="H299" s="130" t="s">
        <v>101</v>
      </c>
      <c r="I299" s="130" t="s">
        <v>108</v>
      </c>
      <c r="J299" s="130" t="s">
        <v>113</v>
      </c>
      <c r="K299" s="130">
        <v>0</v>
      </c>
      <c r="L299" s="130" t="s">
        <v>105</v>
      </c>
      <c r="M299" s="130" t="s">
        <v>105</v>
      </c>
      <c r="N299" s="130" t="s">
        <v>105</v>
      </c>
      <c r="O299" s="130" t="s">
        <v>143</v>
      </c>
      <c r="P299" s="130" t="s">
        <v>105</v>
      </c>
      <c r="Q299" s="130" t="s">
        <v>66</v>
      </c>
      <c r="R299" s="130" t="s">
        <v>72</v>
      </c>
      <c r="S29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299" s="131">
        <v>17.753164556962023</v>
      </c>
      <c r="U299" s="130"/>
      <c r="V299" s="131">
        <f>VLOOKUP(H299,'Ext. Pa'!$B$3:$C$77,2,FALSE)</f>
        <v>1</v>
      </c>
      <c r="W299" s="130">
        <f>VLOOKUP(I299,'Ext. Pa'!$B$3:$C$77,2,FALSE)</f>
        <v>1</v>
      </c>
      <c r="X299" s="130">
        <f>VLOOKUP(J299,'Ext. Pa'!$B$3:$C$77,2,FALSE)</f>
        <v>4</v>
      </c>
      <c r="Y299" s="130">
        <f>VLOOKUP(K299,'Ext. Pa'!$B$3:$C$77,2,FALSE)</f>
        <v>0</v>
      </c>
      <c r="Z299" s="130">
        <f>VLOOKUP(L299,'Ext. Pa'!$B$3:$C$77,2,FALSE)</f>
        <v>5</v>
      </c>
      <c r="AA299" s="130">
        <f>VLOOKUP(M299,'Ext. Pa'!$B$3:$C$77,2,FALSE)</f>
        <v>5</v>
      </c>
      <c r="AB299" s="130">
        <f>VLOOKUP(N299,'Ext. Pa'!$B$3:$C$77,2,FALSE)</f>
        <v>5</v>
      </c>
      <c r="AC299" s="130">
        <f>VLOOKUP(O299,'Ext. Pa'!$B$3:$C$77,2,FALSE)</f>
        <v>1</v>
      </c>
      <c r="AD299" s="130">
        <f>VLOOKUP(P299,'Ext. Pa'!$B$3:$C$77,2,FALSE)</f>
        <v>5</v>
      </c>
      <c r="AE299" s="130">
        <f>VLOOKUP(Q299,'Ext. Pa'!$B$3:$C$77,2,FALSE)</f>
        <v>6</v>
      </c>
      <c r="AF299" s="132">
        <f t="shared" si="16"/>
        <v>3.25</v>
      </c>
      <c r="AG299" s="134">
        <f>Table2[[#This Row],[Coating defect survey10]]</f>
        <v>1</v>
      </c>
      <c r="AH299" s="134">
        <f>Table2[[#This Row],[CP Level within NACE Criteria4]]</f>
        <v>1</v>
      </c>
      <c r="AI299" s="135">
        <f>IF(Table2[[#This Row],[CP level]]&gt;9.9,1,0)</f>
        <v>0</v>
      </c>
      <c r="AJ299" s="135">
        <f>Table2[[#This Row],[Column3]]*Table2[[#This Row],[Coating defect survey2]]</f>
        <v>0</v>
      </c>
      <c r="AK29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0" spans="1:37" s="100" customFormat="1">
      <c r="A300" s="128">
        <v>9</v>
      </c>
      <c r="B300" s="129" t="s">
        <v>847</v>
      </c>
      <c r="C300" s="96">
        <v>653110116</v>
      </c>
      <c r="D300" s="97" t="s">
        <v>848</v>
      </c>
      <c r="E300" s="130"/>
      <c r="F300" s="130">
        <v>2000</v>
      </c>
      <c r="G300" s="130">
        <f>2013-Table2[[#This Row],[Startup Year]]</f>
        <v>13</v>
      </c>
      <c r="H300" s="130" t="s">
        <v>101</v>
      </c>
      <c r="I300" s="130" t="s">
        <v>108</v>
      </c>
      <c r="J300" s="130" t="s">
        <v>113</v>
      </c>
      <c r="K300" s="130">
        <v>0</v>
      </c>
      <c r="L300" s="130" t="s">
        <v>105</v>
      </c>
      <c r="M300" s="130" t="s">
        <v>105</v>
      </c>
      <c r="N300" s="130" t="s">
        <v>105</v>
      </c>
      <c r="O300" s="130" t="s">
        <v>143</v>
      </c>
      <c r="P300" s="130" t="s">
        <v>105</v>
      </c>
      <c r="Q300" s="130" t="s">
        <v>66</v>
      </c>
      <c r="R300" s="130" t="s">
        <v>72</v>
      </c>
      <c r="S30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0" s="131">
        <v>17.753164556962023</v>
      </c>
      <c r="U300" s="130"/>
      <c r="V300" s="131">
        <f>VLOOKUP(H300,'Ext. Pa'!$B$3:$C$77,2,FALSE)</f>
        <v>1</v>
      </c>
      <c r="W300" s="130">
        <f>VLOOKUP(I300,'Ext. Pa'!$B$3:$C$77,2,FALSE)</f>
        <v>1</v>
      </c>
      <c r="X300" s="130">
        <f>VLOOKUP(J300,'Ext. Pa'!$B$3:$C$77,2,FALSE)</f>
        <v>4</v>
      </c>
      <c r="Y300" s="130">
        <f>VLOOKUP(K300,'Ext. Pa'!$B$3:$C$77,2,FALSE)</f>
        <v>0</v>
      </c>
      <c r="Z300" s="130">
        <f>VLOOKUP(L300,'Ext. Pa'!$B$3:$C$77,2,FALSE)</f>
        <v>5</v>
      </c>
      <c r="AA300" s="130">
        <f>VLOOKUP(M300,'Ext. Pa'!$B$3:$C$77,2,FALSE)</f>
        <v>5</v>
      </c>
      <c r="AB300" s="130">
        <f>VLOOKUP(N300,'Ext. Pa'!$B$3:$C$77,2,FALSE)</f>
        <v>5</v>
      </c>
      <c r="AC300" s="130">
        <f>VLOOKUP(O300,'Ext. Pa'!$B$3:$C$77,2,FALSE)</f>
        <v>1</v>
      </c>
      <c r="AD300" s="130">
        <f>VLOOKUP(P300,'Ext. Pa'!$B$3:$C$77,2,FALSE)</f>
        <v>5</v>
      </c>
      <c r="AE300" s="130">
        <f>VLOOKUP(Q300,'Ext. Pa'!$B$3:$C$77,2,FALSE)</f>
        <v>6</v>
      </c>
      <c r="AF300" s="132">
        <f t="shared" si="16"/>
        <v>3.25</v>
      </c>
      <c r="AG300" s="134">
        <f>Table2[[#This Row],[Coating defect survey10]]</f>
        <v>1</v>
      </c>
      <c r="AH300" s="134">
        <f>Table2[[#This Row],[CP Level within NACE Criteria4]]</f>
        <v>1</v>
      </c>
      <c r="AI300" s="135">
        <f>IF(Table2[[#This Row],[CP level]]&gt;9.9,1,0)</f>
        <v>0</v>
      </c>
      <c r="AJ300" s="135">
        <f>Table2[[#This Row],[Column3]]*Table2[[#This Row],[Coating defect survey2]]</f>
        <v>0</v>
      </c>
      <c r="AK30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1" spans="1:37" s="100" customFormat="1">
      <c r="A301" s="128">
        <v>9</v>
      </c>
      <c r="B301" s="129" t="s">
        <v>849</v>
      </c>
      <c r="C301" s="96">
        <v>653110117</v>
      </c>
      <c r="D301" s="97" t="s">
        <v>850</v>
      </c>
      <c r="E301" s="130"/>
      <c r="F301" s="130">
        <v>2000</v>
      </c>
      <c r="G301" s="130">
        <f>2013-Table2[[#This Row],[Startup Year]]</f>
        <v>13</v>
      </c>
      <c r="H301" s="130" t="s">
        <v>101</v>
      </c>
      <c r="I301" s="130" t="s">
        <v>108</v>
      </c>
      <c r="J301" s="130" t="s">
        <v>113</v>
      </c>
      <c r="K301" s="130">
        <v>0</v>
      </c>
      <c r="L301" s="130" t="s">
        <v>105</v>
      </c>
      <c r="M301" s="130" t="s">
        <v>105</v>
      </c>
      <c r="N301" s="130" t="s">
        <v>105</v>
      </c>
      <c r="O301" s="130" t="s">
        <v>143</v>
      </c>
      <c r="P301" s="130" t="s">
        <v>105</v>
      </c>
      <c r="Q301" s="130" t="s">
        <v>66</v>
      </c>
      <c r="R301" s="130" t="s">
        <v>72</v>
      </c>
      <c r="S30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1" s="131">
        <v>17.753164556962023</v>
      </c>
      <c r="U301" s="130"/>
      <c r="V301" s="131">
        <f>VLOOKUP(H301,'Ext. Pa'!$B$3:$C$77,2,FALSE)</f>
        <v>1</v>
      </c>
      <c r="W301" s="130">
        <f>VLOOKUP(I301,'Ext. Pa'!$B$3:$C$77,2,FALSE)</f>
        <v>1</v>
      </c>
      <c r="X301" s="130">
        <f>VLOOKUP(J301,'Ext. Pa'!$B$3:$C$77,2,FALSE)</f>
        <v>4</v>
      </c>
      <c r="Y301" s="130">
        <f>VLOOKUP(K301,'Ext. Pa'!$B$3:$C$77,2,FALSE)</f>
        <v>0</v>
      </c>
      <c r="Z301" s="130">
        <f>VLOOKUP(L301,'Ext. Pa'!$B$3:$C$77,2,FALSE)</f>
        <v>5</v>
      </c>
      <c r="AA301" s="130">
        <f>VLOOKUP(M301,'Ext. Pa'!$B$3:$C$77,2,FALSE)</f>
        <v>5</v>
      </c>
      <c r="AB301" s="130">
        <f>VLOOKUP(N301,'Ext. Pa'!$B$3:$C$77,2,FALSE)</f>
        <v>5</v>
      </c>
      <c r="AC301" s="130">
        <f>VLOOKUP(O301,'Ext. Pa'!$B$3:$C$77,2,FALSE)</f>
        <v>1</v>
      </c>
      <c r="AD301" s="130">
        <f>VLOOKUP(P301,'Ext. Pa'!$B$3:$C$77,2,FALSE)</f>
        <v>5</v>
      </c>
      <c r="AE301" s="130">
        <f>VLOOKUP(Q301,'Ext. Pa'!$B$3:$C$77,2,FALSE)</f>
        <v>6</v>
      </c>
      <c r="AF301" s="132">
        <f t="shared" si="16"/>
        <v>3.25</v>
      </c>
      <c r="AG301" s="134">
        <f>Table2[[#This Row],[Coating defect survey10]]</f>
        <v>1</v>
      </c>
      <c r="AH301" s="134">
        <f>Table2[[#This Row],[CP Level within NACE Criteria4]]</f>
        <v>1</v>
      </c>
      <c r="AI301" s="135">
        <f>IF(Table2[[#This Row],[CP level]]&gt;9.9,1,0)</f>
        <v>0</v>
      </c>
      <c r="AJ301" s="135">
        <f>Table2[[#This Row],[Column3]]*Table2[[#This Row],[Coating defect survey2]]</f>
        <v>0</v>
      </c>
      <c r="AK30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2" spans="1:37" s="100" customFormat="1">
      <c r="A302" s="128">
        <v>9</v>
      </c>
      <c r="B302" s="129" t="s">
        <v>818</v>
      </c>
      <c r="C302" s="96">
        <v>6531102</v>
      </c>
      <c r="D302" s="97" t="s">
        <v>819</v>
      </c>
      <c r="E302" s="130"/>
      <c r="F302" s="130">
        <v>2000</v>
      </c>
      <c r="G302" s="130">
        <f>2013-Table2[[#This Row],[Startup Year]]</f>
        <v>13</v>
      </c>
      <c r="H302" s="130" t="s">
        <v>101</v>
      </c>
      <c r="I302" s="130" t="s">
        <v>108</v>
      </c>
      <c r="J302" s="130" t="s">
        <v>113</v>
      </c>
      <c r="K302" s="130">
        <v>0</v>
      </c>
      <c r="L302" s="130" t="s">
        <v>105</v>
      </c>
      <c r="M302" s="130" t="s">
        <v>105</v>
      </c>
      <c r="N302" s="130" t="s">
        <v>105</v>
      </c>
      <c r="O302" s="130" t="s">
        <v>143</v>
      </c>
      <c r="P302" s="130" t="s">
        <v>105</v>
      </c>
      <c r="Q302" s="130" t="s">
        <v>66</v>
      </c>
      <c r="R302" s="130" t="s">
        <v>72</v>
      </c>
      <c r="S30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2" s="131">
        <v>17.753164556962023</v>
      </c>
      <c r="U302" s="130"/>
      <c r="V302" s="131">
        <f>VLOOKUP(H302,'Ext. Pa'!$B$3:$C$77,2,FALSE)</f>
        <v>1</v>
      </c>
      <c r="W302" s="130">
        <f>VLOOKUP(I302,'Ext. Pa'!$B$3:$C$77,2,FALSE)</f>
        <v>1</v>
      </c>
      <c r="X302" s="130">
        <f>VLOOKUP(J302,'Ext. Pa'!$B$3:$C$77,2,FALSE)</f>
        <v>4</v>
      </c>
      <c r="Y302" s="130">
        <f>VLOOKUP(K302,'Ext. Pa'!$B$3:$C$77,2,FALSE)</f>
        <v>0</v>
      </c>
      <c r="Z302" s="130">
        <f>VLOOKUP(L302,'Ext. Pa'!$B$3:$C$77,2,FALSE)</f>
        <v>5</v>
      </c>
      <c r="AA302" s="130">
        <f>VLOOKUP(M302,'Ext. Pa'!$B$3:$C$77,2,FALSE)</f>
        <v>5</v>
      </c>
      <c r="AB302" s="130">
        <f>VLOOKUP(N302,'Ext. Pa'!$B$3:$C$77,2,FALSE)</f>
        <v>5</v>
      </c>
      <c r="AC302" s="130">
        <f>VLOOKUP(O302,'Ext. Pa'!$B$3:$C$77,2,FALSE)</f>
        <v>1</v>
      </c>
      <c r="AD302" s="130">
        <f>VLOOKUP(P302,'Ext. Pa'!$B$3:$C$77,2,FALSE)</f>
        <v>5</v>
      </c>
      <c r="AE302" s="130">
        <f>VLOOKUP(Q302,'Ext. Pa'!$B$3:$C$77,2,FALSE)</f>
        <v>6</v>
      </c>
      <c r="AF302" s="132">
        <f t="shared" si="16"/>
        <v>3.25</v>
      </c>
      <c r="AG302" s="134">
        <f>Table2[[#This Row],[Coating defect survey10]]</f>
        <v>1</v>
      </c>
      <c r="AH302" s="134">
        <f>Table2[[#This Row],[CP Level within NACE Criteria4]]</f>
        <v>1</v>
      </c>
      <c r="AI302" s="135">
        <f>IF(Table2[[#This Row],[CP level]]&gt;9.9,1,0)</f>
        <v>0</v>
      </c>
      <c r="AJ302" s="135">
        <f>Table2[[#This Row],[Column3]]*Table2[[#This Row],[Coating defect survey2]]</f>
        <v>0</v>
      </c>
      <c r="AK30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3" spans="1:37" s="100" customFormat="1">
      <c r="A303" s="128">
        <v>9</v>
      </c>
      <c r="B303" s="129" t="s">
        <v>851</v>
      </c>
      <c r="C303" s="96">
        <v>653110201</v>
      </c>
      <c r="D303" s="97" t="s">
        <v>852</v>
      </c>
      <c r="E303" s="130"/>
      <c r="F303" s="130">
        <v>2000</v>
      </c>
      <c r="G303" s="130">
        <f>2013-Table2[[#This Row],[Startup Year]]</f>
        <v>13</v>
      </c>
      <c r="H303" s="130" t="s">
        <v>101</v>
      </c>
      <c r="I303" s="130" t="s">
        <v>108</v>
      </c>
      <c r="J303" s="130" t="s">
        <v>113</v>
      </c>
      <c r="K303" s="130">
        <v>0</v>
      </c>
      <c r="L303" s="130" t="s">
        <v>105</v>
      </c>
      <c r="M303" s="130" t="s">
        <v>105</v>
      </c>
      <c r="N303" s="130" t="s">
        <v>105</v>
      </c>
      <c r="O303" s="130" t="s">
        <v>143</v>
      </c>
      <c r="P303" s="130" t="s">
        <v>105</v>
      </c>
      <c r="Q303" s="130" t="s">
        <v>66</v>
      </c>
      <c r="R303" s="130" t="s">
        <v>72</v>
      </c>
      <c r="S303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3" s="98">
        <v>17.753164556962023</v>
      </c>
      <c r="U303" s="130"/>
      <c r="V303" s="131">
        <f>VLOOKUP(H303,'Ext. Pa'!$B$3:$C$77,2,FALSE)</f>
        <v>1</v>
      </c>
      <c r="W303" s="130">
        <f>VLOOKUP(I303,'Ext. Pa'!$B$3:$C$77,2,FALSE)</f>
        <v>1</v>
      </c>
      <c r="X303" s="130">
        <f>VLOOKUP(J303,'Ext. Pa'!$B$3:$C$77,2,FALSE)</f>
        <v>4</v>
      </c>
      <c r="Y303" s="130">
        <f>VLOOKUP(K303,'Ext. Pa'!$B$3:$C$77,2,FALSE)</f>
        <v>0</v>
      </c>
      <c r="Z303" s="130">
        <f>VLOOKUP(L303,'Ext. Pa'!$B$3:$C$77,2,FALSE)</f>
        <v>5</v>
      </c>
      <c r="AA303" s="130">
        <f>VLOOKUP(M303,'Ext. Pa'!$B$3:$C$77,2,FALSE)</f>
        <v>5</v>
      </c>
      <c r="AB303" s="130">
        <f>VLOOKUP(N303,'Ext. Pa'!$B$3:$C$77,2,FALSE)</f>
        <v>5</v>
      </c>
      <c r="AC303" s="130">
        <f>VLOOKUP(O303,'Ext. Pa'!$B$3:$C$77,2,FALSE)</f>
        <v>1</v>
      </c>
      <c r="AD303" s="130">
        <f>VLOOKUP(P303,'Ext. Pa'!$B$3:$C$77,2,FALSE)</f>
        <v>5</v>
      </c>
      <c r="AE303" s="130">
        <f>VLOOKUP(Q303,'Ext. Pa'!$B$3:$C$77,2,FALSE)</f>
        <v>6</v>
      </c>
      <c r="AF303" s="132">
        <f t="shared" si="16"/>
        <v>3.25</v>
      </c>
      <c r="AG303" s="133">
        <f>Table2[[#This Row],[Coating defect survey10]]</f>
        <v>1</v>
      </c>
      <c r="AH303" s="134">
        <f>Table2[[#This Row],[CP Level within NACE Criteria4]]</f>
        <v>1</v>
      </c>
      <c r="AI303" s="135">
        <f>IF(Table2[[#This Row],[CP level]]&gt;9.9,1,0)</f>
        <v>0</v>
      </c>
      <c r="AJ303" s="135">
        <f>Table2[[#This Row],[Column3]]*Table2[[#This Row],[Coating defect survey2]]</f>
        <v>0</v>
      </c>
      <c r="AK30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4" spans="1:37" s="100" customFormat="1">
      <c r="A304" s="128">
        <v>9</v>
      </c>
      <c r="B304" s="129" t="s">
        <v>853</v>
      </c>
      <c r="C304" s="96">
        <v>653110202</v>
      </c>
      <c r="D304" s="97" t="s">
        <v>819</v>
      </c>
      <c r="E304" s="130"/>
      <c r="F304" s="130">
        <v>2000</v>
      </c>
      <c r="G304" s="130">
        <f>2013-Table2[[#This Row],[Startup Year]]</f>
        <v>13</v>
      </c>
      <c r="H304" s="130" t="s">
        <v>101</v>
      </c>
      <c r="I304" s="130" t="s">
        <v>108</v>
      </c>
      <c r="J304" s="130" t="s">
        <v>113</v>
      </c>
      <c r="K304" s="130">
        <v>0</v>
      </c>
      <c r="L304" s="130" t="s">
        <v>105</v>
      </c>
      <c r="M304" s="130" t="s">
        <v>105</v>
      </c>
      <c r="N304" s="130" t="s">
        <v>105</v>
      </c>
      <c r="O304" s="130" t="s">
        <v>143</v>
      </c>
      <c r="P304" s="130" t="s">
        <v>105</v>
      </c>
      <c r="Q304" s="130" t="s">
        <v>66</v>
      </c>
      <c r="R304" s="130" t="s">
        <v>72</v>
      </c>
      <c r="S30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4" s="131">
        <v>17.753164556962023</v>
      </c>
      <c r="U304" s="130"/>
      <c r="V304" s="131">
        <f>VLOOKUP(H304,'Ext. Pa'!$B$3:$C$77,2,FALSE)</f>
        <v>1</v>
      </c>
      <c r="W304" s="130">
        <f>VLOOKUP(I304,'Ext. Pa'!$B$3:$C$77,2,FALSE)</f>
        <v>1</v>
      </c>
      <c r="X304" s="130">
        <f>VLOOKUP(J304,'Ext. Pa'!$B$3:$C$77,2,FALSE)</f>
        <v>4</v>
      </c>
      <c r="Y304" s="130">
        <f>VLOOKUP(K304,'Ext. Pa'!$B$3:$C$77,2,FALSE)</f>
        <v>0</v>
      </c>
      <c r="Z304" s="130">
        <f>VLOOKUP(L304,'Ext. Pa'!$B$3:$C$77,2,FALSE)</f>
        <v>5</v>
      </c>
      <c r="AA304" s="130">
        <f>VLOOKUP(M304,'Ext. Pa'!$B$3:$C$77,2,FALSE)</f>
        <v>5</v>
      </c>
      <c r="AB304" s="130">
        <f>VLOOKUP(N304,'Ext. Pa'!$B$3:$C$77,2,FALSE)</f>
        <v>5</v>
      </c>
      <c r="AC304" s="130">
        <f>VLOOKUP(O304,'Ext. Pa'!$B$3:$C$77,2,FALSE)</f>
        <v>1</v>
      </c>
      <c r="AD304" s="130">
        <f>VLOOKUP(P304,'Ext. Pa'!$B$3:$C$77,2,FALSE)</f>
        <v>5</v>
      </c>
      <c r="AE304" s="130">
        <f>VLOOKUP(Q304,'Ext. Pa'!$B$3:$C$77,2,FALSE)</f>
        <v>6</v>
      </c>
      <c r="AF304" s="132">
        <f t="shared" si="16"/>
        <v>3.25</v>
      </c>
      <c r="AG304" s="134">
        <f>Table2[[#This Row],[Coating defect survey10]]</f>
        <v>1</v>
      </c>
      <c r="AH304" s="134">
        <f>Table2[[#This Row],[CP Level within NACE Criteria4]]</f>
        <v>1</v>
      </c>
      <c r="AI304" s="135">
        <f>IF(Table2[[#This Row],[CP level]]&gt;9.9,1,0)</f>
        <v>0</v>
      </c>
      <c r="AJ304" s="135">
        <f>Table2[[#This Row],[Column3]]*Table2[[#This Row],[Coating defect survey2]]</f>
        <v>0</v>
      </c>
      <c r="AK30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5" spans="1:37" s="100" customFormat="1">
      <c r="A305" s="128">
        <v>9</v>
      </c>
      <c r="B305" s="129" t="s">
        <v>820</v>
      </c>
      <c r="C305" s="96">
        <v>6531103</v>
      </c>
      <c r="D305" s="97"/>
      <c r="E305" s="130"/>
      <c r="F305" s="130">
        <v>2000</v>
      </c>
      <c r="G305" s="130">
        <f>2013-Table2[[#This Row],[Startup Year]]</f>
        <v>13</v>
      </c>
      <c r="H305" s="130" t="s">
        <v>101</v>
      </c>
      <c r="I305" s="130" t="s">
        <v>108</v>
      </c>
      <c r="J305" s="130" t="s">
        <v>113</v>
      </c>
      <c r="K305" s="130">
        <v>0</v>
      </c>
      <c r="L305" s="130" t="s">
        <v>105</v>
      </c>
      <c r="M305" s="130" t="s">
        <v>105</v>
      </c>
      <c r="N305" s="130" t="s">
        <v>105</v>
      </c>
      <c r="O305" s="130" t="s">
        <v>143</v>
      </c>
      <c r="P305" s="130" t="s">
        <v>105</v>
      </c>
      <c r="Q305" s="130" t="s">
        <v>66</v>
      </c>
      <c r="R305" s="130" t="s">
        <v>72</v>
      </c>
      <c r="S305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5" s="131">
        <v>17.753164556962023</v>
      </c>
      <c r="U305" s="130"/>
      <c r="V305" s="131">
        <f>VLOOKUP(H305,'Ext. Pa'!$B$3:$C$77,2,FALSE)</f>
        <v>1</v>
      </c>
      <c r="W305" s="130">
        <f>VLOOKUP(I305,'Ext. Pa'!$B$3:$C$77,2,FALSE)</f>
        <v>1</v>
      </c>
      <c r="X305" s="130">
        <f>VLOOKUP(J305,'Ext. Pa'!$B$3:$C$77,2,FALSE)</f>
        <v>4</v>
      </c>
      <c r="Y305" s="130">
        <f>VLOOKUP(K305,'Ext. Pa'!$B$3:$C$77,2,FALSE)</f>
        <v>0</v>
      </c>
      <c r="Z305" s="130">
        <f>VLOOKUP(L305,'Ext. Pa'!$B$3:$C$77,2,FALSE)</f>
        <v>5</v>
      </c>
      <c r="AA305" s="130">
        <f>VLOOKUP(M305,'Ext. Pa'!$B$3:$C$77,2,FALSE)</f>
        <v>5</v>
      </c>
      <c r="AB305" s="130">
        <f>VLOOKUP(N305,'Ext. Pa'!$B$3:$C$77,2,FALSE)</f>
        <v>5</v>
      </c>
      <c r="AC305" s="130">
        <f>VLOOKUP(O305,'Ext. Pa'!$B$3:$C$77,2,FALSE)</f>
        <v>1</v>
      </c>
      <c r="AD305" s="130">
        <f>VLOOKUP(P305,'Ext. Pa'!$B$3:$C$77,2,FALSE)</f>
        <v>5</v>
      </c>
      <c r="AE305" s="130">
        <f>VLOOKUP(Q305,'Ext. Pa'!$B$3:$C$77,2,FALSE)</f>
        <v>6</v>
      </c>
      <c r="AF305" s="132">
        <f t="shared" si="16"/>
        <v>3.25</v>
      </c>
      <c r="AG305" s="134">
        <f>Table2[[#This Row],[Coating defect survey10]]</f>
        <v>1</v>
      </c>
      <c r="AH305" s="134">
        <f>Table2[[#This Row],[CP Level within NACE Criteria4]]</f>
        <v>1</v>
      </c>
      <c r="AI305" s="135">
        <f>IF(Table2[[#This Row],[CP level]]&gt;9.9,1,0)</f>
        <v>0</v>
      </c>
      <c r="AJ305" s="135">
        <f>Table2[[#This Row],[Column3]]*Table2[[#This Row],[Coating defect survey2]]</f>
        <v>0</v>
      </c>
      <c r="AK30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6" spans="1:37" s="100" customFormat="1">
      <c r="A306" s="128">
        <v>9</v>
      </c>
      <c r="B306" s="129" t="s">
        <v>821</v>
      </c>
      <c r="C306" s="96">
        <v>6531104</v>
      </c>
      <c r="D306" s="97"/>
      <c r="E306" s="130"/>
      <c r="F306" s="130">
        <v>2000</v>
      </c>
      <c r="G306" s="130">
        <f>2013-Table2[[#This Row],[Startup Year]]</f>
        <v>13</v>
      </c>
      <c r="H306" s="130" t="s">
        <v>101</v>
      </c>
      <c r="I306" s="130" t="s">
        <v>108</v>
      </c>
      <c r="J306" s="130" t="s">
        <v>113</v>
      </c>
      <c r="K306" s="130">
        <v>0</v>
      </c>
      <c r="L306" s="130" t="s">
        <v>105</v>
      </c>
      <c r="M306" s="130" t="s">
        <v>105</v>
      </c>
      <c r="N306" s="130" t="s">
        <v>105</v>
      </c>
      <c r="O306" s="130" t="s">
        <v>143</v>
      </c>
      <c r="P306" s="130" t="s">
        <v>105</v>
      </c>
      <c r="Q306" s="130" t="s">
        <v>66</v>
      </c>
      <c r="R306" s="130" t="s">
        <v>72</v>
      </c>
      <c r="S306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6" s="131">
        <v>17.753164556962023</v>
      </c>
      <c r="U306" s="130"/>
      <c r="V306" s="131">
        <f>VLOOKUP(H306,'Ext. Pa'!$B$3:$C$77,2,FALSE)</f>
        <v>1</v>
      </c>
      <c r="W306" s="130">
        <f>VLOOKUP(I306,'Ext. Pa'!$B$3:$C$77,2,FALSE)</f>
        <v>1</v>
      </c>
      <c r="X306" s="130">
        <f>VLOOKUP(J306,'Ext. Pa'!$B$3:$C$77,2,FALSE)</f>
        <v>4</v>
      </c>
      <c r="Y306" s="130">
        <f>VLOOKUP(K306,'Ext. Pa'!$B$3:$C$77,2,FALSE)</f>
        <v>0</v>
      </c>
      <c r="Z306" s="130">
        <f>VLOOKUP(L306,'Ext. Pa'!$B$3:$C$77,2,FALSE)</f>
        <v>5</v>
      </c>
      <c r="AA306" s="130">
        <f>VLOOKUP(M306,'Ext. Pa'!$B$3:$C$77,2,FALSE)</f>
        <v>5</v>
      </c>
      <c r="AB306" s="130">
        <f>VLOOKUP(N306,'Ext. Pa'!$B$3:$C$77,2,FALSE)</f>
        <v>5</v>
      </c>
      <c r="AC306" s="130">
        <f>VLOOKUP(O306,'Ext. Pa'!$B$3:$C$77,2,FALSE)</f>
        <v>1</v>
      </c>
      <c r="AD306" s="130">
        <f>VLOOKUP(P306,'Ext. Pa'!$B$3:$C$77,2,FALSE)</f>
        <v>5</v>
      </c>
      <c r="AE306" s="130">
        <f>VLOOKUP(Q306,'Ext. Pa'!$B$3:$C$77,2,FALSE)</f>
        <v>6</v>
      </c>
      <c r="AF306" s="132">
        <f t="shared" si="16"/>
        <v>3.25</v>
      </c>
      <c r="AG306" s="134">
        <f>Table2[[#This Row],[Coating defect survey10]]</f>
        <v>1</v>
      </c>
      <c r="AH306" s="134">
        <f>Table2[[#This Row],[CP Level within NACE Criteria4]]</f>
        <v>1</v>
      </c>
      <c r="AI306" s="135">
        <f>IF(Table2[[#This Row],[CP level]]&gt;9.9,1,0)</f>
        <v>0</v>
      </c>
      <c r="AJ306" s="135">
        <f>Table2[[#This Row],[Column3]]*Table2[[#This Row],[Coating defect survey2]]</f>
        <v>0</v>
      </c>
      <c r="AK30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7" spans="1:37" s="207" customFormat="1">
      <c r="A307" s="113">
        <v>9</v>
      </c>
      <c r="B307" s="202" t="s">
        <v>473</v>
      </c>
      <c r="C307" s="111">
        <v>63401</v>
      </c>
      <c r="D307" s="112" t="s">
        <v>345</v>
      </c>
      <c r="E307" s="86"/>
      <c r="F307" s="86">
        <v>2000</v>
      </c>
      <c r="G307" s="86">
        <f>2013-Table2[[#This Row],[Startup Year]]</f>
        <v>13</v>
      </c>
      <c r="H307" s="86" t="s">
        <v>101</v>
      </c>
      <c r="I307" s="86" t="s">
        <v>111</v>
      </c>
      <c r="J307" s="86" t="s">
        <v>113</v>
      </c>
      <c r="K307" s="212">
        <v>0</v>
      </c>
      <c r="L307" s="86" t="s">
        <v>105</v>
      </c>
      <c r="M307" s="86" t="s">
        <v>105</v>
      </c>
      <c r="N307" s="86" t="s">
        <v>105</v>
      </c>
      <c r="O307" s="86" t="s">
        <v>105</v>
      </c>
      <c r="P307" s="86" t="s">
        <v>105</v>
      </c>
      <c r="Q307" s="86" t="s">
        <v>66</v>
      </c>
      <c r="R307" s="86" t="s">
        <v>72</v>
      </c>
      <c r="S307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7" s="86">
        <v>17.753164556962023</v>
      </c>
      <c r="U307" s="86"/>
      <c r="V307" s="86">
        <f>VLOOKUP(H307,'Ext. Pa'!$B$3:$C$77,2,FALSE)</f>
        <v>1</v>
      </c>
      <c r="W307" s="86">
        <f>VLOOKUP(I307,'Ext. Pa'!$B$3:$C$77,2,FALSE)</f>
        <v>8</v>
      </c>
      <c r="X307" s="86">
        <f>VLOOKUP(J307,'Ext. Pa'!$B$3:$C$77,2,FALSE)</f>
        <v>4</v>
      </c>
      <c r="Y307" s="86">
        <f>VLOOKUP(K307,'Ext. Pa'!$B$3:$C$77,2,FALSE)</f>
        <v>0</v>
      </c>
      <c r="Z307" s="86">
        <f>VLOOKUP(L307,'Ext. Pa'!$B$3:$C$77,2,FALSE)</f>
        <v>5</v>
      </c>
      <c r="AA307" s="86">
        <f>VLOOKUP(M307,'Ext. Pa'!$B$3:$C$77,2,FALSE)</f>
        <v>5</v>
      </c>
      <c r="AB307" s="86">
        <f>VLOOKUP(N307,'Ext. Pa'!$B$3:$C$77,2,FALSE)</f>
        <v>5</v>
      </c>
      <c r="AC307" s="86">
        <f>VLOOKUP(O307,'Ext. Pa'!$B$3:$C$77,2,FALSE)</f>
        <v>5</v>
      </c>
      <c r="AD307" s="86">
        <f>VLOOKUP(P307,'Ext. Pa'!$B$3:$C$77,2,FALSE)</f>
        <v>5</v>
      </c>
      <c r="AE307" s="86">
        <f>VLOOKUP(Q307,'Ext. Pa'!$B$3:$C$77,2,FALSE)</f>
        <v>6</v>
      </c>
      <c r="AF307" s="204">
        <f t="shared" ref="AF307:AF325" si="17">IF(G307&lt;40,(G307)/4,40)</f>
        <v>3.25</v>
      </c>
      <c r="AG307" s="208">
        <f>Table2[[#This Row],[Coating defect survey10]]</f>
        <v>5</v>
      </c>
      <c r="AH307" s="208">
        <f>Table2[[#This Row],[CP Level within NACE Criteria4]]</f>
        <v>8</v>
      </c>
      <c r="AI307" s="206">
        <f>IF(Table2[[#This Row],[CP level]]&gt;9.9,1,0)</f>
        <v>0</v>
      </c>
      <c r="AJ307" s="206">
        <f>Table2[[#This Row],[Column3]]*Table2[[#This Row],[Coating defect survey2]]</f>
        <v>0</v>
      </c>
      <c r="AK307" s="209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8" spans="1:37" s="207" customFormat="1">
      <c r="A308" s="110">
        <v>9</v>
      </c>
      <c r="B308" s="210" t="s">
        <v>792</v>
      </c>
      <c r="C308" s="111">
        <v>6340101</v>
      </c>
      <c r="D308" s="112" t="s">
        <v>793</v>
      </c>
      <c r="E308" s="212"/>
      <c r="F308" s="212">
        <v>2000</v>
      </c>
      <c r="G308" s="212">
        <f>2013-Table2[[#This Row],[Startup Year]]</f>
        <v>13</v>
      </c>
      <c r="H308" s="212" t="s">
        <v>101</v>
      </c>
      <c r="I308" s="212" t="s">
        <v>111</v>
      </c>
      <c r="J308" s="212" t="s">
        <v>113</v>
      </c>
      <c r="K308" s="212">
        <v>0</v>
      </c>
      <c r="L308" s="212" t="s">
        <v>105</v>
      </c>
      <c r="M308" s="212" t="s">
        <v>105</v>
      </c>
      <c r="N308" s="212" t="s">
        <v>105</v>
      </c>
      <c r="O308" s="212" t="s">
        <v>143</v>
      </c>
      <c r="P308" s="212" t="s">
        <v>105</v>
      </c>
      <c r="Q308" s="212" t="s">
        <v>66</v>
      </c>
      <c r="R308" s="212" t="s">
        <v>72</v>
      </c>
      <c r="S308" s="213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8" s="213">
        <v>17.753164556962023</v>
      </c>
      <c r="U308" s="212"/>
      <c r="V308" s="213">
        <f>VLOOKUP(H308,'Ext. Pa'!$B$3:$C$77,2,FALSE)</f>
        <v>1</v>
      </c>
      <c r="W308" s="212">
        <f>VLOOKUP(I308,'Ext. Pa'!$B$3:$C$77,2,FALSE)</f>
        <v>8</v>
      </c>
      <c r="X308" s="212">
        <f>VLOOKUP(J308,'Ext. Pa'!$B$3:$C$77,2,FALSE)</f>
        <v>4</v>
      </c>
      <c r="Y308" s="212">
        <f>VLOOKUP(K308,'Ext. Pa'!$B$3:$C$77,2,FALSE)</f>
        <v>0</v>
      </c>
      <c r="Z308" s="212">
        <f>VLOOKUP(L308,'Ext. Pa'!$B$3:$C$77,2,FALSE)</f>
        <v>5</v>
      </c>
      <c r="AA308" s="212">
        <f>VLOOKUP(M308,'Ext. Pa'!$B$3:$C$77,2,FALSE)</f>
        <v>5</v>
      </c>
      <c r="AB308" s="212">
        <f>VLOOKUP(N308,'Ext. Pa'!$B$3:$C$77,2,FALSE)</f>
        <v>5</v>
      </c>
      <c r="AC308" s="212">
        <f>VLOOKUP(O308,'Ext. Pa'!$B$3:$C$77,2,FALSE)</f>
        <v>1</v>
      </c>
      <c r="AD308" s="212">
        <f>VLOOKUP(P308,'Ext. Pa'!$B$3:$C$77,2,FALSE)</f>
        <v>5</v>
      </c>
      <c r="AE308" s="212">
        <f>VLOOKUP(Q308,'Ext. Pa'!$B$3:$C$77,2,FALSE)</f>
        <v>6</v>
      </c>
      <c r="AF308" s="214">
        <f t="shared" si="17"/>
        <v>3.25</v>
      </c>
      <c r="AG308" s="208">
        <f>Table2[[#This Row],[Coating defect survey10]]</f>
        <v>1</v>
      </c>
      <c r="AH308" s="208">
        <f>Table2[[#This Row],[CP Level within NACE Criteria4]]</f>
        <v>8</v>
      </c>
      <c r="AI308" s="206">
        <f>IF(Table2[[#This Row],[CP level]]&gt;9.9,1,0)</f>
        <v>0</v>
      </c>
      <c r="AJ308" s="206">
        <f>Table2[[#This Row],[Column3]]*Table2[[#This Row],[Coating defect survey2]]</f>
        <v>0</v>
      </c>
      <c r="AK308" s="209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09" spans="1:37" s="100" customFormat="1">
      <c r="A309" s="128">
        <v>9</v>
      </c>
      <c r="B309" s="129" t="s">
        <v>796</v>
      </c>
      <c r="C309" s="96">
        <v>634010101</v>
      </c>
      <c r="D309" s="97" t="s">
        <v>793</v>
      </c>
      <c r="E309" s="130"/>
      <c r="F309" s="130">
        <v>2000</v>
      </c>
      <c r="G309" s="130">
        <f>2013-Table2[[#This Row],[Startup Year]]</f>
        <v>13</v>
      </c>
      <c r="H309" s="130" t="s">
        <v>101</v>
      </c>
      <c r="I309" s="130" t="s">
        <v>108</v>
      </c>
      <c r="J309" s="130" t="s">
        <v>113</v>
      </c>
      <c r="K309" s="130">
        <v>0</v>
      </c>
      <c r="L309" s="130" t="s">
        <v>105</v>
      </c>
      <c r="M309" s="130" t="s">
        <v>105</v>
      </c>
      <c r="N309" s="130" t="s">
        <v>105</v>
      </c>
      <c r="O309" s="130" t="s">
        <v>143</v>
      </c>
      <c r="P309" s="130" t="s">
        <v>105</v>
      </c>
      <c r="Q309" s="130" t="s">
        <v>66</v>
      </c>
      <c r="R309" s="130" t="s">
        <v>72</v>
      </c>
      <c r="S30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09" s="131">
        <v>17.753164556962023</v>
      </c>
      <c r="U309" s="130"/>
      <c r="V309" s="131">
        <f>VLOOKUP(H309,'Ext. Pa'!$B$3:$C$77,2,FALSE)</f>
        <v>1</v>
      </c>
      <c r="W309" s="130">
        <f>VLOOKUP(I309,'Ext. Pa'!$B$3:$C$77,2,FALSE)</f>
        <v>1</v>
      </c>
      <c r="X309" s="130">
        <f>VLOOKUP(J309,'Ext. Pa'!$B$3:$C$77,2,FALSE)</f>
        <v>4</v>
      </c>
      <c r="Y309" s="130">
        <f>VLOOKUP(K309,'Ext. Pa'!$B$3:$C$77,2,FALSE)</f>
        <v>0</v>
      </c>
      <c r="Z309" s="130">
        <f>VLOOKUP(L309,'Ext. Pa'!$B$3:$C$77,2,FALSE)</f>
        <v>5</v>
      </c>
      <c r="AA309" s="130">
        <f>VLOOKUP(M309,'Ext. Pa'!$B$3:$C$77,2,FALSE)</f>
        <v>5</v>
      </c>
      <c r="AB309" s="130">
        <f>VLOOKUP(N309,'Ext. Pa'!$B$3:$C$77,2,FALSE)</f>
        <v>5</v>
      </c>
      <c r="AC309" s="130">
        <f>VLOOKUP(O309,'Ext. Pa'!$B$3:$C$77,2,FALSE)</f>
        <v>1</v>
      </c>
      <c r="AD309" s="130">
        <f>VLOOKUP(P309,'Ext. Pa'!$B$3:$C$77,2,FALSE)</f>
        <v>5</v>
      </c>
      <c r="AE309" s="130">
        <f>VLOOKUP(Q309,'Ext. Pa'!$B$3:$C$77,2,FALSE)</f>
        <v>6</v>
      </c>
      <c r="AF309" s="132">
        <f t="shared" si="17"/>
        <v>3.25</v>
      </c>
      <c r="AG309" s="134">
        <f>Table2[[#This Row],[Coating defect survey10]]</f>
        <v>1</v>
      </c>
      <c r="AH309" s="134">
        <f>Table2[[#This Row],[CP Level within NACE Criteria4]]</f>
        <v>1</v>
      </c>
      <c r="AI309" s="135">
        <f>IF(Table2[[#This Row],[CP level]]&gt;9.9,1,0)</f>
        <v>0</v>
      </c>
      <c r="AJ309" s="135">
        <f>Table2[[#This Row],[Column3]]*Table2[[#This Row],[Coating defect survey2]]</f>
        <v>0</v>
      </c>
      <c r="AK30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0" spans="1:37" s="100" customFormat="1">
      <c r="A310" s="128">
        <v>9</v>
      </c>
      <c r="B310" s="129" t="s">
        <v>794</v>
      </c>
      <c r="C310" s="96">
        <v>6340102</v>
      </c>
      <c r="D310" s="97" t="s">
        <v>795</v>
      </c>
      <c r="E310" s="130"/>
      <c r="F310" s="130">
        <v>2000</v>
      </c>
      <c r="G310" s="130">
        <f>2013-Table2[[#This Row],[Startup Year]]</f>
        <v>13</v>
      </c>
      <c r="H310" s="130" t="s">
        <v>101</v>
      </c>
      <c r="I310" s="130" t="s">
        <v>108</v>
      </c>
      <c r="J310" s="130" t="s">
        <v>113</v>
      </c>
      <c r="K310" s="130">
        <v>0</v>
      </c>
      <c r="L310" s="130" t="s">
        <v>105</v>
      </c>
      <c r="M310" s="130" t="s">
        <v>105</v>
      </c>
      <c r="N310" s="130" t="s">
        <v>105</v>
      </c>
      <c r="O310" s="130" t="s">
        <v>143</v>
      </c>
      <c r="P310" s="130" t="s">
        <v>105</v>
      </c>
      <c r="Q310" s="130" t="s">
        <v>66</v>
      </c>
      <c r="R310" s="130" t="s">
        <v>72</v>
      </c>
      <c r="S31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0" s="131">
        <v>17.753164556962023</v>
      </c>
      <c r="U310" s="130"/>
      <c r="V310" s="131">
        <f>VLOOKUP(H310,'Ext. Pa'!$B$3:$C$77,2,FALSE)</f>
        <v>1</v>
      </c>
      <c r="W310" s="130">
        <f>VLOOKUP(I310,'Ext. Pa'!$B$3:$C$77,2,FALSE)</f>
        <v>1</v>
      </c>
      <c r="X310" s="130">
        <f>VLOOKUP(J310,'Ext. Pa'!$B$3:$C$77,2,FALSE)</f>
        <v>4</v>
      </c>
      <c r="Y310" s="130">
        <f>VLOOKUP(K310,'Ext. Pa'!$B$3:$C$77,2,FALSE)</f>
        <v>0</v>
      </c>
      <c r="Z310" s="130">
        <f>VLOOKUP(L310,'Ext. Pa'!$B$3:$C$77,2,FALSE)</f>
        <v>5</v>
      </c>
      <c r="AA310" s="130">
        <f>VLOOKUP(M310,'Ext. Pa'!$B$3:$C$77,2,FALSE)</f>
        <v>5</v>
      </c>
      <c r="AB310" s="130">
        <f>VLOOKUP(N310,'Ext. Pa'!$B$3:$C$77,2,FALSE)</f>
        <v>5</v>
      </c>
      <c r="AC310" s="130">
        <f>VLOOKUP(O310,'Ext. Pa'!$B$3:$C$77,2,FALSE)</f>
        <v>1</v>
      </c>
      <c r="AD310" s="130">
        <f>VLOOKUP(P310,'Ext. Pa'!$B$3:$C$77,2,FALSE)</f>
        <v>5</v>
      </c>
      <c r="AE310" s="130">
        <f>VLOOKUP(Q310,'Ext. Pa'!$B$3:$C$77,2,FALSE)</f>
        <v>6</v>
      </c>
      <c r="AF310" s="132">
        <f t="shared" si="17"/>
        <v>3.25</v>
      </c>
      <c r="AG310" s="134">
        <f>Table2[[#This Row],[Coating defect survey10]]</f>
        <v>1</v>
      </c>
      <c r="AH310" s="134">
        <f>Table2[[#This Row],[CP Level within NACE Criteria4]]</f>
        <v>1</v>
      </c>
      <c r="AI310" s="135">
        <f>IF(Table2[[#This Row],[CP level]]&gt;9.9,1,0)</f>
        <v>0</v>
      </c>
      <c r="AJ310" s="135">
        <f>Table2[[#This Row],[Column3]]*Table2[[#This Row],[Coating defect survey2]]</f>
        <v>0</v>
      </c>
      <c r="AK31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1" spans="1:37" s="100" customFormat="1">
      <c r="A311" s="94">
        <v>9</v>
      </c>
      <c r="B311" s="95" t="s">
        <v>474</v>
      </c>
      <c r="C311" s="96">
        <v>65306</v>
      </c>
      <c r="D311" s="97" t="s">
        <v>346</v>
      </c>
      <c r="E311" s="98"/>
      <c r="F311" s="98">
        <v>2000</v>
      </c>
      <c r="G311" s="98">
        <f>2013-Table2[[#This Row],[Startup Year]]</f>
        <v>13</v>
      </c>
      <c r="H311" s="98" t="s">
        <v>101</v>
      </c>
      <c r="I311" s="98" t="s">
        <v>108</v>
      </c>
      <c r="J311" s="98" t="s">
        <v>113</v>
      </c>
      <c r="K311" s="130">
        <v>0</v>
      </c>
      <c r="L311" s="98" t="s">
        <v>105</v>
      </c>
      <c r="M311" s="98" t="s">
        <v>105</v>
      </c>
      <c r="N311" s="98" t="s">
        <v>105</v>
      </c>
      <c r="O311" s="98" t="s">
        <v>143</v>
      </c>
      <c r="P311" s="98" t="s">
        <v>105</v>
      </c>
      <c r="Q311" s="98" t="s">
        <v>66</v>
      </c>
      <c r="R311" s="98" t="s">
        <v>72</v>
      </c>
      <c r="S311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1" s="98">
        <v>17.753164556962023</v>
      </c>
      <c r="U311" s="98"/>
      <c r="V311" s="98">
        <f>VLOOKUP(H311,'Ext. Pa'!$B$3:$C$77,2,FALSE)</f>
        <v>1</v>
      </c>
      <c r="W311" s="98">
        <f>VLOOKUP(I311,'Ext. Pa'!$B$3:$C$77,2,FALSE)</f>
        <v>1</v>
      </c>
      <c r="X311" s="98">
        <f>VLOOKUP(J311,'Ext. Pa'!$B$3:$C$77,2,FALSE)</f>
        <v>4</v>
      </c>
      <c r="Y311" s="98">
        <f>VLOOKUP(K311,'Ext. Pa'!$B$3:$C$77,2,FALSE)</f>
        <v>0</v>
      </c>
      <c r="Z311" s="98">
        <f>VLOOKUP(L311,'Ext. Pa'!$B$3:$C$77,2,FALSE)</f>
        <v>5</v>
      </c>
      <c r="AA311" s="98">
        <f>VLOOKUP(M311,'Ext. Pa'!$B$3:$C$77,2,FALSE)</f>
        <v>5</v>
      </c>
      <c r="AB311" s="98">
        <f>VLOOKUP(N311,'Ext. Pa'!$B$3:$C$77,2,FALSE)</f>
        <v>5</v>
      </c>
      <c r="AC311" s="98">
        <f>VLOOKUP(O311,'Ext. Pa'!$B$3:$C$77,2,FALSE)</f>
        <v>1</v>
      </c>
      <c r="AD311" s="98">
        <f>VLOOKUP(P311,'Ext. Pa'!$B$3:$C$77,2,FALSE)</f>
        <v>5</v>
      </c>
      <c r="AE311" s="98">
        <f>VLOOKUP(Q311,'Ext. Pa'!$B$3:$C$77,2,FALSE)</f>
        <v>6</v>
      </c>
      <c r="AF311" s="99">
        <f t="shared" si="17"/>
        <v>3.25</v>
      </c>
      <c r="AG311" s="134">
        <f>Table2[[#This Row],[Coating defect survey10]]</f>
        <v>1</v>
      </c>
      <c r="AH311" s="134">
        <f>Table2[[#This Row],[CP Level within NACE Criteria4]]</f>
        <v>1</v>
      </c>
      <c r="AI311" s="135">
        <f>IF(Table2[[#This Row],[CP level]]&gt;9.9,1,0)</f>
        <v>0</v>
      </c>
      <c r="AJ311" s="135">
        <f>Table2[[#This Row],[Column3]]*Table2[[#This Row],[Coating defect survey2]]</f>
        <v>0</v>
      </c>
      <c r="AK31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2" spans="1:37" s="100" customFormat="1">
      <c r="A312" s="128">
        <v>9</v>
      </c>
      <c r="B312" s="129" t="s">
        <v>800</v>
      </c>
      <c r="C312" s="96">
        <v>653050001</v>
      </c>
      <c r="D312" s="97" t="s">
        <v>801</v>
      </c>
      <c r="E312" s="130"/>
      <c r="F312" s="130">
        <v>2000</v>
      </c>
      <c r="G312" s="130">
        <f>2013-Table2[[#This Row],[Startup Year]]</f>
        <v>13</v>
      </c>
      <c r="H312" s="130" t="s">
        <v>101</v>
      </c>
      <c r="I312" s="130" t="s">
        <v>108</v>
      </c>
      <c r="J312" s="130" t="s">
        <v>113</v>
      </c>
      <c r="K312" s="130">
        <v>0</v>
      </c>
      <c r="L312" s="130" t="s">
        <v>105</v>
      </c>
      <c r="M312" s="130" t="s">
        <v>105</v>
      </c>
      <c r="N312" s="130" t="s">
        <v>105</v>
      </c>
      <c r="O312" s="130" t="s">
        <v>143</v>
      </c>
      <c r="P312" s="130" t="s">
        <v>105</v>
      </c>
      <c r="Q312" s="130" t="s">
        <v>66</v>
      </c>
      <c r="R312" s="130" t="s">
        <v>72</v>
      </c>
      <c r="S312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2" s="131">
        <v>17.753164556962023</v>
      </c>
      <c r="U312" s="130"/>
      <c r="V312" s="131">
        <f>VLOOKUP(H312,'Ext. Pa'!$B$3:$C$77,2,FALSE)</f>
        <v>1</v>
      </c>
      <c r="W312" s="130">
        <f>VLOOKUP(I312,'Ext. Pa'!$B$3:$C$77,2,FALSE)</f>
        <v>1</v>
      </c>
      <c r="X312" s="130">
        <f>VLOOKUP(J312,'Ext. Pa'!$B$3:$C$77,2,FALSE)</f>
        <v>4</v>
      </c>
      <c r="Y312" s="130">
        <f>VLOOKUP(K312,'Ext. Pa'!$B$3:$C$77,2,FALSE)</f>
        <v>0</v>
      </c>
      <c r="Z312" s="130">
        <f>VLOOKUP(L312,'Ext. Pa'!$B$3:$C$77,2,FALSE)</f>
        <v>5</v>
      </c>
      <c r="AA312" s="130">
        <f>VLOOKUP(M312,'Ext. Pa'!$B$3:$C$77,2,FALSE)</f>
        <v>5</v>
      </c>
      <c r="AB312" s="130">
        <f>VLOOKUP(N312,'Ext. Pa'!$B$3:$C$77,2,FALSE)</f>
        <v>5</v>
      </c>
      <c r="AC312" s="130">
        <f>VLOOKUP(O312,'Ext. Pa'!$B$3:$C$77,2,FALSE)</f>
        <v>1</v>
      </c>
      <c r="AD312" s="130">
        <f>VLOOKUP(P312,'Ext. Pa'!$B$3:$C$77,2,FALSE)</f>
        <v>5</v>
      </c>
      <c r="AE312" s="130">
        <f>VLOOKUP(Q312,'Ext. Pa'!$B$3:$C$77,2,FALSE)</f>
        <v>6</v>
      </c>
      <c r="AF312" s="132">
        <f t="shared" si="17"/>
        <v>3.25</v>
      </c>
      <c r="AG312" s="134">
        <f>Table2[[#This Row],[Coating defect survey10]]</f>
        <v>1</v>
      </c>
      <c r="AH312" s="134">
        <f>Table2[[#This Row],[CP Level within NACE Criteria4]]</f>
        <v>1</v>
      </c>
      <c r="AI312" s="135">
        <f>IF(Table2[[#This Row],[CP level]]&gt;9.9,1,0)</f>
        <v>0</v>
      </c>
      <c r="AJ312" s="135">
        <f>Table2[[#This Row],[Column3]]*Table2[[#This Row],[Coating defect survey2]]</f>
        <v>0</v>
      </c>
      <c r="AK312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3" spans="1:37" s="100" customFormat="1">
      <c r="A313" s="128">
        <v>9</v>
      </c>
      <c r="B313" s="129" t="s">
        <v>802</v>
      </c>
      <c r="C313" s="96">
        <v>653050002</v>
      </c>
      <c r="D313" s="97" t="s">
        <v>803</v>
      </c>
      <c r="E313" s="130"/>
      <c r="F313" s="130">
        <v>2000</v>
      </c>
      <c r="G313" s="130">
        <f>2013-Table2[[#This Row],[Startup Year]]</f>
        <v>13</v>
      </c>
      <c r="H313" s="130" t="s">
        <v>101</v>
      </c>
      <c r="I313" s="130" t="s">
        <v>108</v>
      </c>
      <c r="J313" s="130" t="s">
        <v>113</v>
      </c>
      <c r="K313" s="130">
        <v>0</v>
      </c>
      <c r="L313" s="130" t="s">
        <v>105</v>
      </c>
      <c r="M313" s="130" t="s">
        <v>105</v>
      </c>
      <c r="N313" s="130" t="s">
        <v>105</v>
      </c>
      <c r="O313" s="130" t="s">
        <v>143</v>
      </c>
      <c r="P313" s="130" t="s">
        <v>105</v>
      </c>
      <c r="Q313" s="130" t="s">
        <v>66</v>
      </c>
      <c r="R313" s="130" t="s">
        <v>72</v>
      </c>
      <c r="S31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3" s="131">
        <v>17.753164556962023</v>
      </c>
      <c r="U313" s="130"/>
      <c r="V313" s="131">
        <f>VLOOKUP(H313,'Ext. Pa'!$B$3:$C$77,2,FALSE)</f>
        <v>1</v>
      </c>
      <c r="W313" s="130">
        <f>VLOOKUP(I313,'Ext. Pa'!$B$3:$C$77,2,FALSE)</f>
        <v>1</v>
      </c>
      <c r="X313" s="130">
        <f>VLOOKUP(J313,'Ext. Pa'!$B$3:$C$77,2,FALSE)</f>
        <v>4</v>
      </c>
      <c r="Y313" s="130">
        <f>VLOOKUP(K313,'Ext. Pa'!$B$3:$C$77,2,FALSE)</f>
        <v>0</v>
      </c>
      <c r="Z313" s="130">
        <f>VLOOKUP(L313,'Ext. Pa'!$B$3:$C$77,2,FALSE)</f>
        <v>5</v>
      </c>
      <c r="AA313" s="130">
        <f>VLOOKUP(M313,'Ext. Pa'!$B$3:$C$77,2,FALSE)</f>
        <v>5</v>
      </c>
      <c r="AB313" s="130">
        <f>VLOOKUP(N313,'Ext. Pa'!$B$3:$C$77,2,FALSE)</f>
        <v>5</v>
      </c>
      <c r="AC313" s="130">
        <f>VLOOKUP(O313,'Ext. Pa'!$B$3:$C$77,2,FALSE)</f>
        <v>1</v>
      </c>
      <c r="AD313" s="130">
        <f>VLOOKUP(P313,'Ext. Pa'!$B$3:$C$77,2,FALSE)</f>
        <v>5</v>
      </c>
      <c r="AE313" s="130">
        <f>VLOOKUP(Q313,'Ext. Pa'!$B$3:$C$77,2,FALSE)</f>
        <v>6</v>
      </c>
      <c r="AF313" s="132">
        <f t="shared" si="17"/>
        <v>3.25</v>
      </c>
      <c r="AG313" s="134">
        <f>Table2[[#This Row],[Coating defect survey10]]</f>
        <v>1</v>
      </c>
      <c r="AH313" s="134">
        <f>Table2[[#This Row],[CP Level within NACE Criteria4]]</f>
        <v>1</v>
      </c>
      <c r="AI313" s="135">
        <f>IF(Table2[[#This Row],[CP level]]&gt;9.9,1,0)</f>
        <v>0</v>
      </c>
      <c r="AJ313" s="135">
        <f>Table2[[#This Row],[Column3]]*Table2[[#This Row],[Coating defect survey2]]</f>
        <v>0</v>
      </c>
      <c r="AK31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4" spans="1:37" s="100" customFormat="1">
      <c r="A314" s="128">
        <v>9</v>
      </c>
      <c r="B314" s="129" t="s">
        <v>797</v>
      </c>
      <c r="C314" s="96">
        <v>653060001</v>
      </c>
      <c r="D314" s="97" t="s">
        <v>346</v>
      </c>
      <c r="E314" s="130"/>
      <c r="F314" s="130">
        <v>2000</v>
      </c>
      <c r="G314" s="130">
        <f>2013-Table2[[#This Row],[Startup Year]]</f>
        <v>13</v>
      </c>
      <c r="H314" s="130" t="s">
        <v>101</v>
      </c>
      <c r="I314" s="130" t="s">
        <v>108</v>
      </c>
      <c r="J314" s="130" t="s">
        <v>113</v>
      </c>
      <c r="K314" s="130">
        <v>0</v>
      </c>
      <c r="L314" s="130" t="s">
        <v>105</v>
      </c>
      <c r="M314" s="130" t="s">
        <v>105</v>
      </c>
      <c r="N314" s="130" t="s">
        <v>105</v>
      </c>
      <c r="O314" s="130" t="s">
        <v>143</v>
      </c>
      <c r="P314" s="130" t="s">
        <v>105</v>
      </c>
      <c r="Q314" s="130" t="s">
        <v>66</v>
      </c>
      <c r="R314" s="130" t="s">
        <v>72</v>
      </c>
      <c r="S31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4" s="131">
        <v>17.753164556962023</v>
      </c>
      <c r="U314" s="130"/>
      <c r="V314" s="131">
        <f>VLOOKUP(H314,'Ext. Pa'!$B$3:$C$77,2,FALSE)</f>
        <v>1</v>
      </c>
      <c r="W314" s="130">
        <f>VLOOKUP(I314,'Ext. Pa'!$B$3:$C$77,2,FALSE)</f>
        <v>1</v>
      </c>
      <c r="X314" s="130">
        <f>VLOOKUP(J314,'Ext. Pa'!$B$3:$C$77,2,FALSE)</f>
        <v>4</v>
      </c>
      <c r="Y314" s="130">
        <f>VLOOKUP(K314,'Ext. Pa'!$B$3:$C$77,2,FALSE)</f>
        <v>0</v>
      </c>
      <c r="Z314" s="130">
        <f>VLOOKUP(L314,'Ext. Pa'!$B$3:$C$77,2,FALSE)</f>
        <v>5</v>
      </c>
      <c r="AA314" s="130">
        <f>VLOOKUP(M314,'Ext. Pa'!$B$3:$C$77,2,FALSE)</f>
        <v>5</v>
      </c>
      <c r="AB314" s="130">
        <f>VLOOKUP(N314,'Ext. Pa'!$B$3:$C$77,2,FALSE)</f>
        <v>5</v>
      </c>
      <c r="AC314" s="130">
        <f>VLOOKUP(O314,'Ext. Pa'!$B$3:$C$77,2,FALSE)</f>
        <v>1</v>
      </c>
      <c r="AD314" s="130">
        <f>VLOOKUP(P314,'Ext. Pa'!$B$3:$C$77,2,FALSE)</f>
        <v>5</v>
      </c>
      <c r="AE314" s="130">
        <f>VLOOKUP(Q314,'Ext. Pa'!$B$3:$C$77,2,FALSE)</f>
        <v>6</v>
      </c>
      <c r="AF314" s="132">
        <f t="shared" si="17"/>
        <v>3.25</v>
      </c>
      <c r="AG314" s="134">
        <f>Table2[[#This Row],[Coating defect survey10]]</f>
        <v>1</v>
      </c>
      <c r="AH314" s="134">
        <f>Table2[[#This Row],[CP Level within NACE Criteria4]]</f>
        <v>1</v>
      </c>
      <c r="AI314" s="135">
        <f>IF(Table2[[#This Row],[CP level]]&gt;9.9,1,0)</f>
        <v>0</v>
      </c>
      <c r="AJ314" s="135">
        <f>Table2[[#This Row],[Column3]]*Table2[[#This Row],[Coating defect survey2]]</f>
        <v>0</v>
      </c>
      <c r="AK31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5" spans="1:37" s="100" customFormat="1">
      <c r="A315" s="94">
        <v>9</v>
      </c>
      <c r="B315" s="95" t="s">
        <v>475</v>
      </c>
      <c r="C315" s="96">
        <v>410903</v>
      </c>
      <c r="D315" s="97" t="s">
        <v>347</v>
      </c>
      <c r="E315" s="98"/>
      <c r="F315" s="98">
        <v>2000</v>
      </c>
      <c r="G315" s="98">
        <f>2013-Table2[[#This Row],[Startup Year]]</f>
        <v>13</v>
      </c>
      <c r="H315" s="98" t="s">
        <v>101</v>
      </c>
      <c r="I315" s="98" t="s">
        <v>108</v>
      </c>
      <c r="J315" s="98" t="s">
        <v>113</v>
      </c>
      <c r="K315" s="130">
        <v>0</v>
      </c>
      <c r="L315" s="98" t="s">
        <v>105</v>
      </c>
      <c r="M315" s="98" t="s">
        <v>105</v>
      </c>
      <c r="N315" s="98" t="s">
        <v>105</v>
      </c>
      <c r="O315" s="98" t="s">
        <v>105</v>
      </c>
      <c r="P315" s="98" t="s">
        <v>105</v>
      </c>
      <c r="Q315" s="98" t="s">
        <v>66</v>
      </c>
      <c r="R315" s="98" t="s">
        <v>72</v>
      </c>
      <c r="S315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5" s="98">
        <v>17.753164556962023</v>
      </c>
      <c r="U315" s="98"/>
      <c r="V315" s="98">
        <f>VLOOKUP(H315,'Ext. Pa'!$B$3:$C$77,2,FALSE)</f>
        <v>1</v>
      </c>
      <c r="W315" s="98">
        <f>VLOOKUP(I315,'Ext. Pa'!$B$3:$C$77,2,FALSE)</f>
        <v>1</v>
      </c>
      <c r="X315" s="98">
        <f>VLOOKUP(J315,'Ext. Pa'!$B$3:$C$77,2,FALSE)</f>
        <v>4</v>
      </c>
      <c r="Y315" s="98">
        <f>VLOOKUP(K315,'Ext. Pa'!$B$3:$C$77,2,FALSE)</f>
        <v>0</v>
      </c>
      <c r="Z315" s="98">
        <f>VLOOKUP(L315,'Ext. Pa'!$B$3:$C$77,2,FALSE)</f>
        <v>5</v>
      </c>
      <c r="AA315" s="98">
        <f>VLOOKUP(M315,'Ext. Pa'!$B$3:$C$77,2,FALSE)</f>
        <v>5</v>
      </c>
      <c r="AB315" s="98">
        <f>VLOOKUP(N315,'Ext. Pa'!$B$3:$C$77,2,FALSE)</f>
        <v>5</v>
      </c>
      <c r="AC315" s="98">
        <f>VLOOKUP(O315,'Ext. Pa'!$B$3:$C$77,2,FALSE)</f>
        <v>5</v>
      </c>
      <c r="AD315" s="98">
        <f>VLOOKUP(P315,'Ext. Pa'!$B$3:$C$77,2,FALSE)</f>
        <v>5</v>
      </c>
      <c r="AE315" s="98">
        <f>VLOOKUP(Q315,'Ext. Pa'!$B$3:$C$77,2,FALSE)</f>
        <v>6</v>
      </c>
      <c r="AF315" s="99">
        <f t="shared" si="17"/>
        <v>3.25</v>
      </c>
      <c r="AG315" s="134">
        <f>Table2[[#This Row],[Coating defect survey10]]</f>
        <v>5</v>
      </c>
      <c r="AH315" s="134">
        <f>Table2[[#This Row],[CP Level within NACE Criteria4]]</f>
        <v>1</v>
      </c>
      <c r="AI315" s="135">
        <f>IF(Table2[[#This Row],[CP level]]&gt;9.9,1,0)</f>
        <v>0</v>
      </c>
      <c r="AJ315" s="135">
        <f>Table2[[#This Row],[Column3]]*Table2[[#This Row],[Coating defect survey2]]</f>
        <v>0</v>
      </c>
      <c r="AK31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6" spans="1:37" s="100" customFormat="1">
      <c r="A316" s="94">
        <v>9</v>
      </c>
      <c r="B316" s="95" t="s">
        <v>476</v>
      </c>
      <c r="C316" s="96">
        <v>6203004</v>
      </c>
      <c r="D316" s="97" t="s">
        <v>348</v>
      </c>
      <c r="E316" s="98"/>
      <c r="F316" s="98">
        <v>2001</v>
      </c>
      <c r="G316" s="98">
        <f>2013-Table2[[#This Row],[Startup Year]]</f>
        <v>12</v>
      </c>
      <c r="H316" s="98" t="s">
        <v>101</v>
      </c>
      <c r="I316" s="98" t="s">
        <v>108</v>
      </c>
      <c r="J316" s="98" t="s">
        <v>113</v>
      </c>
      <c r="K316" s="130">
        <v>0</v>
      </c>
      <c r="L316" s="98" t="s">
        <v>105</v>
      </c>
      <c r="M316" s="98" t="s">
        <v>105</v>
      </c>
      <c r="N316" s="98" t="s">
        <v>105</v>
      </c>
      <c r="O316" s="98" t="s">
        <v>105</v>
      </c>
      <c r="P316" s="98" t="s">
        <v>105</v>
      </c>
      <c r="Q316" s="98" t="s">
        <v>66</v>
      </c>
      <c r="R316" s="98" t="s">
        <v>72</v>
      </c>
      <c r="S316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17.594936708860757</v>
      </c>
      <c r="T316" s="98">
        <v>17.594936708860757</v>
      </c>
      <c r="U316" s="98"/>
      <c r="V316" s="98">
        <f>VLOOKUP(H316,'Ext. Pa'!$B$3:$C$77,2,FALSE)</f>
        <v>1</v>
      </c>
      <c r="W316" s="98">
        <f>VLOOKUP(I316,'Ext. Pa'!$B$3:$C$77,2,FALSE)</f>
        <v>1</v>
      </c>
      <c r="X316" s="98">
        <f>VLOOKUP(J316,'Ext. Pa'!$B$3:$C$77,2,FALSE)</f>
        <v>4</v>
      </c>
      <c r="Y316" s="98">
        <f>VLOOKUP(K316,'Ext. Pa'!$B$3:$C$77,2,FALSE)</f>
        <v>0</v>
      </c>
      <c r="Z316" s="98">
        <f>VLOOKUP(L316,'Ext. Pa'!$B$3:$C$77,2,FALSE)</f>
        <v>5</v>
      </c>
      <c r="AA316" s="98">
        <f>VLOOKUP(M316,'Ext. Pa'!$B$3:$C$77,2,FALSE)</f>
        <v>5</v>
      </c>
      <c r="AB316" s="98">
        <f>VLOOKUP(N316,'Ext. Pa'!$B$3:$C$77,2,FALSE)</f>
        <v>5</v>
      </c>
      <c r="AC316" s="98">
        <f>VLOOKUP(O316,'Ext. Pa'!$B$3:$C$77,2,FALSE)</f>
        <v>5</v>
      </c>
      <c r="AD316" s="98">
        <f>VLOOKUP(P316,'Ext. Pa'!$B$3:$C$77,2,FALSE)</f>
        <v>5</v>
      </c>
      <c r="AE316" s="98">
        <f>VLOOKUP(Q316,'Ext. Pa'!$B$3:$C$77,2,FALSE)</f>
        <v>6</v>
      </c>
      <c r="AF316" s="99">
        <f t="shared" si="17"/>
        <v>3</v>
      </c>
      <c r="AG316" s="134">
        <f>Table2[[#This Row],[Coating defect survey10]]</f>
        <v>5</v>
      </c>
      <c r="AH316" s="134">
        <f>Table2[[#This Row],[CP Level within NACE Criteria4]]</f>
        <v>1</v>
      </c>
      <c r="AI316" s="135">
        <f>IF(Table2[[#This Row],[CP level]]&gt;9.9,1,0)</f>
        <v>0</v>
      </c>
      <c r="AJ316" s="135">
        <f>Table2[[#This Row],[Column3]]*Table2[[#This Row],[Coating defect survey2]]</f>
        <v>0</v>
      </c>
      <c r="AK31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17.594936708860757</v>
      </c>
    </row>
    <row r="317" spans="1:37" s="100" customFormat="1">
      <c r="A317" s="94">
        <v>9</v>
      </c>
      <c r="B317" s="95" t="s">
        <v>477</v>
      </c>
      <c r="C317" s="96">
        <v>651100001</v>
      </c>
      <c r="D317" s="97" t="s">
        <v>349</v>
      </c>
      <c r="E317" s="98"/>
      <c r="F317" s="98">
        <v>2000</v>
      </c>
      <c r="G317" s="98">
        <f>2013-Table2[[#This Row],[Startup Year]]</f>
        <v>13</v>
      </c>
      <c r="H317" s="98" t="s">
        <v>101</v>
      </c>
      <c r="I317" s="98" t="s">
        <v>108</v>
      </c>
      <c r="J317" s="98" t="s">
        <v>113</v>
      </c>
      <c r="K317" s="130">
        <v>0</v>
      </c>
      <c r="L317" s="98" t="s">
        <v>105</v>
      </c>
      <c r="M317" s="98" t="s">
        <v>105</v>
      </c>
      <c r="N317" s="98" t="s">
        <v>105</v>
      </c>
      <c r="O317" s="98" t="s">
        <v>144</v>
      </c>
      <c r="P317" s="98" t="s">
        <v>105</v>
      </c>
      <c r="Q317" s="98" t="s">
        <v>66</v>
      </c>
      <c r="R317" s="98" t="s">
        <v>72</v>
      </c>
      <c r="S317" s="98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7" s="98">
        <v>17.753164556962023</v>
      </c>
      <c r="U317" s="98"/>
      <c r="V317" s="98">
        <f>VLOOKUP(H317,'Ext. Pa'!$B$3:$C$77,2,FALSE)</f>
        <v>1</v>
      </c>
      <c r="W317" s="98">
        <f>VLOOKUP(I317,'Ext. Pa'!$B$3:$C$77,2,FALSE)</f>
        <v>1</v>
      </c>
      <c r="X317" s="98">
        <f>VLOOKUP(J317,'Ext. Pa'!$B$3:$C$77,2,FALSE)</f>
        <v>4</v>
      </c>
      <c r="Y317" s="98">
        <f>VLOOKUP(K317,'Ext. Pa'!$B$3:$C$77,2,FALSE)</f>
        <v>0</v>
      </c>
      <c r="Z317" s="98">
        <f>VLOOKUP(L317,'Ext. Pa'!$B$3:$C$77,2,FALSE)</f>
        <v>5</v>
      </c>
      <c r="AA317" s="98">
        <f>VLOOKUP(M317,'Ext. Pa'!$B$3:$C$77,2,FALSE)</f>
        <v>5</v>
      </c>
      <c r="AB317" s="98">
        <f>VLOOKUP(N317,'Ext. Pa'!$B$3:$C$77,2,FALSE)</f>
        <v>5</v>
      </c>
      <c r="AC317" s="98">
        <f>VLOOKUP(O317,'Ext. Pa'!$B$3:$C$77,2,FALSE)</f>
        <v>3</v>
      </c>
      <c r="AD317" s="98">
        <f>VLOOKUP(P317,'Ext. Pa'!$B$3:$C$77,2,FALSE)</f>
        <v>5</v>
      </c>
      <c r="AE317" s="98">
        <f>VLOOKUP(Q317,'Ext. Pa'!$B$3:$C$77,2,FALSE)</f>
        <v>6</v>
      </c>
      <c r="AF317" s="99">
        <f t="shared" si="17"/>
        <v>3.25</v>
      </c>
      <c r="AG317" s="134">
        <f>Table2[[#This Row],[Coating defect survey10]]</f>
        <v>3</v>
      </c>
      <c r="AH317" s="134">
        <f>Table2[[#This Row],[CP Level within NACE Criteria4]]</f>
        <v>1</v>
      </c>
      <c r="AI317" s="135">
        <f>IF(Table2[[#This Row],[CP level]]&gt;9.9,1,0)</f>
        <v>0</v>
      </c>
      <c r="AJ317" s="135">
        <f>Table2[[#This Row],[Column3]]*Table2[[#This Row],[Coating defect survey2]]</f>
        <v>0</v>
      </c>
      <c r="AK317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8" spans="1:37" s="100" customFormat="1">
      <c r="A318" s="128">
        <v>9</v>
      </c>
      <c r="B318" s="129" t="s">
        <v>808</v>
      </c>
      <c r="C318" s="96">
        <v>651100002</v>
      </c>
      <c r="D318" s="97" t="s">
        <v>809</v>
      </c>
      <c r="E318" s="130"/>
      <c r="F318" s="130">
        <v>2000</v>
      </c>
      <c r="G318" s="130">
        <f>2013-Table2[[#This Row],[Startup Year]]</f>
        <v>13</v>
      </c>
      <c r="H318" s="130" t="s">
        <v>101</v>
      </c>
      <c r="I318" s="130" t="s">
        <v>108</v>
      </c>
      <c r="J318" s="130" t="s">
        <v>113</v>
      </c>
      <c r="K318" s="130">
        <v>0</v>
      </c>
      <c r="L318" s="130" t="s">
        <v>105</v>
      </c>
      <c r="M318" s="130" t="s">
        <v>105</v>
      </c>
      <c r="N318" s="130" t="s">
        <v>105</v>
      </c>
      <c r="O318" s="130" t="s">
        <v>143</v>
      </c>
      <c r="P318" s="130" t="s">
        <v>105</v>
      </c>
      <c r="Q318" s="130" t="s">
        <v>66</v>
      </c>
      <c r="R318" s="98" t="s">
        <v>72</v>
      </c>
      <c r="S318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8" s="131">
        <v>17.753164556962023</v>
      </c>
      <c r="U318" s="130"/>
      <c r="V318" s="131">
        <f>VLOOKUP(H318,'Ext. Pa'!$B$3:$C$77,2,FALSE)</f>
        <v>1</v>
      </c>
      <c r="W318" s="130">
        <f>VLOOKUP(I318,'Ext. Pa'!$B$3:$C$77,2,FALSE)</f>
        <v>1</v>
      </c>
      <c r="X318" s="130">
        <f>VLOOKUP(J318,'Ext. Pa'!$B$3:$C$77,2,FALSE)</f>
        <v>4</v>
      </c>
      <c r="Y318" s="130">
        <f>VLOOKUP(K318,'Ext. Pa'!$B$3:$C$77,2,FALSE)</f>
        <v>0</v>
      </c>
      <c r="Z318" s="130">
        <f>VLOOKUP(L318,'Ext. Pa'!$B$3:$C$77,2,FALSE)</f>
        <v>5</v>
      </c>
      <c r="AA318" s="130">
        <f>VLOOKUP(M318,'Ext. Pa'!$B$3:$C$77,2,FALSE)</f>
        <v>5</v>
      </c>
      <c r="AB318" s="130">
        <f>VLOOKUP(N318,'Ext. Pa'!$B$3:$C$77,2,FALSE)</f>
        <v>5</v>
      </c>
      <c r="AC318" s="130">
        <f>VLOOKUP(O318,'Ext. Pa'!$B$3:$C$77,2,FALSE)</f>
        <v>1</v>
      </c>
      <c r="AD318" s="130">
        <f>VLOOKUP(P318,'Ext. Pa'!$B$3:$C$77,2,FALSE)</f>
        <v>5</v>
      </c>
      <c r="AE318" s="130">
        <f>VLOOKUP(Q318,'Ext. Pa'!$B$3:$C$77,2,FALSE)</f>
        <v>6</v>
      </c>
      <c r="AF318" s="132">
        <f t="shared" si="17"/>
        <v>3.25</v>
      </c>
      <c r="AG318" s="134">
        <f>Table2[[#This Row],[Coating defect survey10]]</f>
        <v>1</v>
      </c>
      <c r="AH318" s="134">
        <f>Table2[[#This Row],[CP Level within NACE Criteria4]]</f>
        <v>1</v>
      </c>
      <c r="AI318" s="135">
        <f>IF(Table2[[#This Row],[CP level]]&gt;9.9,1,0)</f>
        <v>0</v>
      </c>
      <c r="AJ318" s="135">
        <f>Table2[[#This Row],[Column3]]*Table2[[#This Row],[Coating defect survey2]]</f>
        <v>0</v>
      </c>
      <c r="AK318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19" spans="1:37" s="100" customFormat="1">
      <c r="A319" s="128">
        <v>9</v>
      </c>
      <c r="B319" s="129" t="s">
        <v>810</v>
      </c>
      <c r="C319" s="96">
        <v>651100003</v>
      </c>
      <c r="D319" s="97" t="s">
        <v>811</v>
      </c>
      <c r="E319" s="130"/>
      <c r="F319" s="130">
        <v>2000</v>
      </c>
      <c r="G319" s="130">
        <f>2013-Table2[[#This Row],[Startup Year]]</f>
        <v>13</v>
      </c>
      <c r="H319" s="130" t="s">
        <v>101</v>
      </c>
      <c r="I319" s="130" t="s">
        <v>108</v>
      </c>
      <c r="J319" s="130" t="s">
        <v>113</v>
      </c>
      <c r="K319" s="130">
        <v>0</v>
      </c>
      <c r="L319" s="130" t="s">
        <v>105</v>
      </c>
      <c r="M319" s="130" t="s">
        <v>105</v>
      </c>
      <c r="N319" s="130" t="s">
        <v>105</v>
      </c>
      <c r="O319" s="130" t="s">
        <v>143</v>
      </c>
      <c r="P319" s="130" t="s">
        <v>105</v>
      </c>
      <c r="Q319" s="130" t="s">
        <v>66</v>
      </c>
      <c r="R319" s="98" t="s">
        <v>72</v>
      </c>
      <c r="S319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19" s="131">
        <v>17.753164556962023</v>
      </c>
      <c r="U319" s="130"/>
      <c r="V319" s="131">
        <f>VLOOKUP(H319,'Ext. Pa'!$B$3:$C$77,2,FALSE)</f>
        <v>1</v>
      </c>
      <c r="W319" s="130">
        <f>VLOOKUP(I319,'Ext. Pa'!$B$3:$C$77,2,FALSE)</f>
        <v>1</v>
      </c>
      <c r="X319" s="130">
        <f>VLOOKUP(J319,'Ext. Pa'!$B$3:$C$77,2,FALSE)</f>
        <v>4</v>
      </c>
      <c r="Y319" s="130">
        <f>VLOOKUP(K319,'Ext. Pa'!$B$3:$C$77,2,FALSE)</f>
        <v>0</v>
      </c>
      <c r="Z319" s="130">
        <f>VLOOKUP(L319,'Ext. Pa'!$B$3:$C$77,2,FALSE)</f>
        <v>5</v>
      </c>
      <c r="AA319" s="130">
        <f>VLOOKUP(M319,'Ext. Pa'!$B$3:$C$77,2,FALSE)</f>
        <v>5</v>
      </c>
      <c r="AB319" s="130">
        <f>VLOOKUP(N319,'Ext. Pa'!$B$3:$C$77,2,FALSE)</f>
        <v>5</v>
      </c>
      <c r="AC319" s="130">
        <f>VLOOKUP(O319,'Ext. Pa'!$B$3:$C$77,2,FALSE)</f>
        <v>1</v>
      </c>
      <c r="AD319" s="130">
        <f>VLOOKUP(P319,'Ext. Pa'!$B$3:$C$77,2,FALSE)</f>
        <v>5</v>
      </c>
      <c r="AE319" s="130">
        <f>VLOOKUP(Q319,'Ext. Pa'!$B$3:$C$77,2,FALSE)</f>
        <v>6</v>
      </c>
      <c r="AF319" s="132">
        <f t="shared" si="17"/>
        <v>3.25</v>
      </c>
      <c r="AG319" s="134">
        <f>Table2[[#This Row],[Coating defect survey10]]</f>
        <v>1</v>
      </c>
      <c r="AH319" s="134">
        <f>Table2[[#This Row],[CP Level within NACE Criteria4]]</f>
        <v>1</v>
      </c>
      <c r="AI319" s="135">
        <f>IF(Table2[[#This Row],[CP level]]&gt;9.9,1,0)</f>
        <v>0</v>
      </c>
      <c r="AJ319" s="135">
        <f>Table2[[#This Row],[Column3]]*Table2[[#This Row],[Coating defect survey2]]</f>
        <v>0</v>
      </c>
      <c r="AK319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20" spans="1:37" s="100" customFormat="1">
      <c r="A320" s="128">
        <v>9</v>
      </c>
      <c r="B320" s="129" t="s">
        <v>812</v>
      </c>
      <c r="C320" s="96">
        <v>651100004</v>
      </c>
      <c r="D320" s="97" t="s">
        <v>813</v>
      </c>
      <c r="E320" s="130"/>
      <c r="F320" s="130">
        <v>2000</v>
      </c>
      <c r="G320" s="130">
        <f>2013-Table2[[#This Row],[Startup Year]]</f>
        <v>13</v>
      </c>
      <c r="H320" s="130" t="s">
        <v>101</v>
      </c>
      <c r="I320" s="130" t="s">
        <v>108</v>
      </c>
      <c r="J320" s="130" t="s">
        <v>113</v>
      </c>
      <c r="K320" s="130">
        <v>0</v>
      </c>
      <c r="L320" s="130" t="s">
        <v>105</v>
      </c>
      <c r="M320" s="130" t="s">
        <v>105</v>
      </c>
      <c r="N320" s="130" t="s">
        <v>105</v>
      </c>
      <c r="O320" s="130" t="s">
        <v>143</v>
      </c>
      <c r="P320" s="130" t="s">
        <v>105</v>
      </c>
      <c r="Q320" s="130" t="s">
        <v>66</v>
      </c>
      <c r="R320" s="98" t="s">
        <v>72</v>
      </c>
      <c r="S320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20" s="131">
        <v>17.753164556962023</v>
      </c>
      <c r="U320" s="130"/>
      <c r="V320" s="131">
        <f>VLOOKUP(H320,'Ext. Pa'!$B$3:$C$77,2,FALSE)</f>
        <v>1</v>
      </c>
      <c r="W320" s="130">
        <f>VLOOKUP(I320,'Ext. Pa'!$B$3:$C$77,2,FALSE)</f>
        <v>1</v>
      </c>
      <c r="X320" s="130">
        <f>VLOOKUP(J320,'Ext. Pa'!$B$3:$C$77,2,FALSE)</f>
        <v>4</v>
      </c>
      <c r="Y320" s="130">
        <f>VLOOKUP(K320,'Ext. Pa'!$B$3:$C$77,2,FALSE)</f>
        <v>0</v>
      </c>
      <c r="Z320" s="130">
        <f>VLOOKUP(L320,'Ext. Pa'!$B$3:$C$77,2,FALSE)</f>
        <v>5</v>
      </c>
      <c r="AA320" s="130">
        <f>VLOOKUP(M320,'Ext. Pa'!$B$3:$C$77,2,FALSE)</f>
        <v>5</v>
      </c>
      <c r="AB320" s="130">
        <f>VLOOKUP(N320,'Ext. Pa'!$B$3:$C$77,2,FALSE)</f>
        <v>5</v>
      </c>
      <c r="AC320" s="130">
        <f>VLOOKUP(O320,'Ext. Pa'!$B$3:$C$77,2,FALSE)</f>
        <v>1</v>
      </c>
      <c r="AD320" s="130">
        <f>VLOOKUP(P320,'Ext. Pa'!$B$3:$C$77,2,FALSE)</f>
        <v>5</v>
      </c>
      <c r="AE320" s="130">
        <f>VLOOKUP(Q320,'Ext. Pa'!$B$3:$C$77,2,FALSE)</f>
        <v>6</v>
      </c>
      <c r="AF320" s="132">
        <f t="shared" si="17"/>
        <v>3.25</v>
      </c>
      <c r="AG320" s="134">
        <f>Table2[[#This Row],[Coating defect survey10]]</f>
        <v>1</v>
      </c>
      <c r="AH320" s="134">
        <f>Table2[[#This Row],[CP Level within NACE Criteria4]]</f>
        <v>1</v>
      </c>
      <c r="AI320" s="135">
        <f>IF(Table2[[#This Row],[CP level]]&gt;9.9,1,0)</f>
        <v>0</v>
      </c>
      <c r="AJ320" s="135">
        <f>Table2[[#This Row],[Column3]]*Table2[[#This Row],[Coating defect survey2]]</f>
        <v>0</v>
      </c>
      <c r="AK320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21" spans="1:37" s="100" customFormat="1">
      <c r="A321" s="128">
        <v>9</v>
      </c>
      <c r="B321" s="129" t="s">
        <v>814</v>
      </c>
      <c r="C321" s="96">
        <v>651200001</v>
      </c>
      <c r="D321" s="97" t="s">
        <v>815</v>
      </c>
      <c r="E321" s="130"/>
      <c r="F321" s="130">
        <v>2000</v>
      </c>
      <c r="G321" s="130">
        <f>2013-Table2[[#This Row],[Startup Year]]</f>
        <v>13</v>
      </c>
      <c r="H321" s="130" t="s">
        <v>101</v>
      </c>
      <c r="I321" s="130" t="s">
        <v>108</v>
      </c>
      <c r="J321" s="130" t="s">
        <v>113</v>
      </c>
      <c r="K321" s="130">
        <v>0</v>
      </c>
      <c r="L321" s="130" t="s">
        <v>105</v>
      </c>
      <c r="M321" s="130" t="s">
        <v>105</v>
      </c>
      <c r="N321" s="130" t="s">
        <v>105</v>
      </c>
      <c r="O321" s="130" t="s">
        <v>143</v>
      </c>
      <c r="P321" s="130" t="s">
        <v>105</v>
      </c>
      <c r="Q321" s="130" t="s">
        <v>66</v>
      </c>
      <c r="R321" s="98" t="s">
        <v>72</v>
      </c>
      <c r="S321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21" s="131">
        <v>17.753164556962023</v>
      </c>
      <c r="U321" s="130"/>
      <c r="V321" s="131">
        <f>VLOOKUP(H321,'Ext. Pa'!$B$3:$C$77,2,FALSE)</f>
        <v>1</v>
      </c>
      <c r="W321" s="130">
        <f>VLOOKUP(I321,'Ext. Pa'!$B$3:$C$77,2,FALSE)</f>
        <v>1</v>
      </c>
      <c r="X321" s="130">
        <f>VLOOKUP(J321,'Ext. Pa'!$B$3:$C$77,2,FALSE)</f>
        <v>4</v>
      </c>
      <c r="Y321" s="130">
        <f>VLOOKUP(K321,'Ext. Pa'!$B$3:$C$77,2,FALSE)</f>
        <v>0</v>
      </c>
      <c r="Z321" s="130">
        <f>VLOOKUP(L321,'Ext. Pa'!$B$3:$C$77,2,FALSE)</f>
        <v>5</v>
      </c>
      <c r="AA321" s="130">
        <f>VLOOKUP(M321,'Ext. Pa'!$B$3:$C$77,2,FALSE)</f>
        <v>5</v>
      </c>
      <c r="AB321" s="130">
        <f>VLOOKUP(N321,'Ext. Pa'!$B$3:$C$77,2,FALSE)</f>
        <v>5</v>
      </c>
      <c r="AC321" s="130">
        <f>VLOOKUP(O321,'Ext. Pa'!$B$3:$C$77,2,FALSE)</f>
        <v>1</v>
      </c>
      <c r="AD321" s="130">
        <f>VLOOKUP(P321,'Ext. Pa'!$B$3:$C$77,2,FALSE)</f>
        <v>5</v>
      </c>
      <c r="AE321" s="130">
        <f>VLOOKUP(Q321,'Ext. Pa'!$B$3:$C$77,2,FALSE)</f>
        <v>6</v>
      </c>
      <c r="AF321" s="132">
        <f t="shared" si="17"/>
        <v>3.25</v>
      </c>
      <c r="AG321" s="134">
        <f>Table2[[#This Row],[Coating defect survey10]]</f>
        <v>1</v>
      </c>
      <c r="AH321" s="134">
        <f>Table2[[#This Row],[CP Level within NACE Criteria4]]</f>
        <v>1</v>
      </c>
      <c r="AI321" s="135">
        <f>IF(Table2[[#This Row],[CP level]]&gt;9.9,1,0)</f>
        <v>0</v>
      </c>
      <c r="AJ321" s="135">
        <f>Table2[[#This Row],[Column3]]*Table2[[#This Row],[Coating defect survey2]]</f>
        <v>0</v>
      </c>
      <c r="AK321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22" spans="1:37" s="207" customFormat="1">
      <c r="A322" s="113">
        <v>9</v>
      </c>
      <c r="B322" s="202" t="s">
        <v>478</v>
      </c>
      <c r="C322" s="111">
        <v>651300001</v>
      </c>
      <c r="D322" s="112" t="s">
        <v>350</v>
      </c>
      <c r="E322" s="86"/>
      <c r="F322" s="86">
        <v>2000</v>
      </c>
      <c r="G322" s="86">
        <f>2013-Table2[[#This Row],[Startup Year]]</f>
        <v>13</v>
      </c>
      <c r="H322" s="86" t="s">
        <v>101</v>
      </c>
      <c r="I322" s="86" t="s">
        <v>111</v>
      </c>
      <c r="J322" s="86" t="s">
        <v>113</v>
      </c>
      <c r="K322" s="212">
        <v>0</v>
      </c>
      <c r="L322" s="86" t="s">
        <v>105</v>
      </c>
      <c r="M322" s="86" t="s">
        <v>105</v>
      </c>
      <c r="N322" s="86" t="s">
        <v>105</v>
      </c>
      <c r="O322" s="86" t="s">
        <v>144</v>
      </c>
      <c r="P322" s="86" t="s">
        <v>105</v>
      </c>
      <c r="Q322" s="86" t="s">
        <v>66</v>
      </c>
      <c r="R322" s="86" t="s">
        <v>72</v>
      </c>
      <c r="S322" s="86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22" s="86">
        <v>17.753164556962023</v>
      </c>
      <c r="U322" s="86"/>
      <c r="V322" s="86">
        <f>VLOOKUP(H322,'Ext. Pa'!$B$3:$C$77,2,FALSE)</f>
        <v>1</v>
      </c>
      <c r="W322" s="86">
        <f>VLOOKUP(I322,'Ext. Pa'!$B$3:$C$77,2,FALSE)</f>
        <v>8</v>
      </c>
      <c r="X322" s="86">
        <f>VLOOKUP(J322,'Ext. Pa'!$B$3:$C$77,2,FALSE)</f>
        <v>4</v>
      </c>
      <c r="Y322" s="86">
        <f>VLOOKUP(K322,'Ext. Pa'!$B$3:$C$77,2,FALSE)</f>
        <v>0</v>
      </c>
      <c r="Z322" s="86">
        <f>VLOOKUP(L322,'Ext. Pa'!$B$3:$C$77,2,FALSE)</f>
        <v>5</v>
      </c>
      <c r="AA322" s="86">
        <f>VLOOKUP(M322,'Ext. Pa'!$B$3:$C$77,2,FALSE)</f>
        <v>5</v>
      </c>
      <c r="AB322" s="86">
        <f>VLOOKUP(N322,'Ext. Pa'!$B$3:$C$77,2,FALSE)</f>
        <v>5</v>
      </c>
      <c r="AC322" s="86">
        <f>VLOOKUP(O322,'Ext. Pa'!$B$3:$C$77,2,FALSE)</f>
        <v>3</v>
      </c>
      <c r="AD322" s="86">
        <f>VLOOKUP(P322,'Ext. Pa'!$B$3:$C$77,2,FALSE)</f>
        <v>5</v>
      </c>
      <c r="AE322" s="86">
        <f>VLOOKUP(Q322,'Ext. Pa'!$B$3:$C$77,2,FALSE)</f>
        <v>6</v>
      </c>
      <c r="AF322" s="204">
        <f t="shared" si="17"/>
        <v>3.25</v>
      </c>
      <c r="AG322" s="208">
        <f>Table2[[#This Row],[Coating defect survey10]]</f>
        <v>3</v>
      </c>
      <c r="AH322" s="208">
        <f>Table2[[#This Row],[CP Level within NACE Criteria4]]</f>
        <v>8</v>
      </c>
      <c r="AI322" s="206">
        <f>IF(Table2[[#This Row],[CP level]]&gt;9.9,1,0)</f>
        <v>0</v>
      </c>
      <c r="AJ322" s="206">
        <f>Table2[[#This Row],[Column3]]*Table2[[#This Row],[Coating defect survey2]]</f>
        <v>0</v>
      </c>
      <c r="AK322" s="209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23" spans="1:37" s="100" customFormat="1">
      <c r="A323" s="128">
        <v>9</v>
      </c>
      <c r="B323" s="129" t="s">
        <v>804</v>
      </c>
      <c r="C323" s="96">
        <v>65130101</v>
      </c>
      <c r="D323" s="97" t="s">
        <v>805</v>
      </c>
      <c r="E323" s="130"/>
      <c r="F323" s="130">
        <v>2000</v>
      </c>
      <c r="G323" s="130">
        <f>2013-Table2[[#This Row],[Startup Year]]</f>
        <v>13</v>
      </c>
      <c r="H323" s="130" t="s">
        <v>101</v>
      </c>
      <c r="I323" s="130" t="s">
        <v>108</v>
      </c>
      <c r="J323" s="130" t="s">
        <v>113</v>
      </c>
      <c r="K323" s="130">
        <v>0</v>
      </c>
      <c r="L323" s="130" t="s">
        <v>105</v>
      </c>
      <c r="M323" s="130" t="s">
        <v>105</v>
      </c>
      <c r="N323" s="130" t="s">
        <v>105</v>
      </c>
      <c r="O323" s="130" t="s">
        <v>143</v>
      </c>
      <c r="P323" s="130" t="s">
        <v>105</v>
      </c>
      <c r="Q323" s="130" t="s">
        <v>66</v>
      </c>
      <c r="R323" s="130" t="s">
        <v>72</v>
      </c>
      <c r="S323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23" s="131">
        <v>17.753164556962023</v>
      </c>
      <c r="U323" s="130"/>
      <c r="V323" s="131">
        <f>VLOOKUP(H323,'Ext. Pa'!$B$3:$C$77,2,FALSE)</f>
        <v>1</v>
      </c>
      <c r="W323" s="130">
        <f>VLOOKUP(I323,'Ext. Pa'!$B$3:$C$77,2,FALSE)</f>
        <v>1</v>
      </c>
      <c r="X323" s="130">
        <f>VLOOKUP(J323,'Ext. Pa'!$B$3:$C$77,2,FALSE)</f>
        <v>4</v>
      </c>
      <c r="Y323" s="130">
        <f>VLOOKUP(K323,'Ext. Pa'!$B$3:$C$77,2,FALSE)</f>
        <v>0</v>
      </c>
      <c r="Z323" s="130">
        <f>VLOOKUP(L323,'Ext. Pa'!$B$3:$C$77,2,FALSE)</f>
        <v>5</v>
      </c>
      <c r="AA323" s="130">
        <f>VLOOKUP(M323,'Ext. Pa'!$B$3:$C$77,2,FALSE)</f>
        <v>5</v>
      </c>
      <c r="AB323" s="130">
        <f>VLOOKUP(N323,'Ext. Pa'!$B$3:$C$77,2,FALSE)</f>
        <v>5</v>
      </c>
      <c r="AC323" s="130">
        <f>VLOOKUP(O323,'Ext. Pa'!$B$3:$C$77,2,FALSE)</f>
        <v>1</v>
      </c>
      <c r="AD323" s="130">
        <f>VLOOKUP(P323,'Ext. Pa'!$B$3:$C$77,2,FALSE)</f>
        <v>5</v>
      </c>
      <c r="AE323" s="130">
        <f>VLOOKUP(Q323,'Ext. Pa'!$B$3:$C$77,2,FALSE)</f>
        <v>6</v>
      </c>
      <c r="AF323" s="132">
        <f t="shared" si="17"/>
        <v>3.25</v>
      </c>
      <c r="AG323" s="134">
        <f>Table2[[#This Row],[Coating defect survey10]]</f>
        <v>1</v>
      </c>
      <c r="AH323" s="134">
        <f>Table2[[#This Row],[CP Level within NACE Criteria4]]</f>
        <v>1</v>
      </c>
      <c r="AI323" s="135">
        <f>IF(Table2[[#This Row],[CP level]]&gt;9.9,1,0)</f>
        <v>0</v>
      </c>
      <c r="AJ323" s="135">
        <f>Table2[[#This Row],[Column3]]*Table2[[#This Row],[Coating defect survey2]]</f>
        <v>0</v>
      </c>
      <c r="AK323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24" spans="1:37" s="100" customFormat="1">
      <c r="A324" s="128">
        <v>9</v>
      </c>
      <c r="B324" s="129" t="s">
        <v>806</v>
      </c>
      <c r="C324" s="96">
        <v>65130201</v>
      </c>
      <c r="D324" s="97" t="s">
        <v>807</v>
      </c>
      <c r="E324" s="130"/>
      <c r="F324" s="130">
        <v>2000</v>
      </c>
      <c r="G324" s="130">
        <f>2013-Table2[[#This Row],[Startup Year]]</f>
        <v>13</v>
      </c>
      <c r="H324" s="130" t="s">
        <v>101</v>
      </c>
      <c r="I324" s="130" t="s">
        <v>108</v>
      </c>
      <c r="J324" s="130" t="s">
        <v>113</v>
      </c>
      <c r="K324" s="130">
        <v>0</v>
      </c>
      <c r="L324" s="130" t="s">
        <v>105</v>
      </c>
      <c r="M324" s="130" t="s">
        <v>105</v>
      </c>
      <c r="N324" s="130" t="s">
        <v>105</v>
      </c>
      <c r="O324" s="130" t="s">
        <v>143</v>
      </c>
      <c r="P324" s="130" t="s">
        <v>105</v>
      </c>
      <c r="Q324" s="130" t="s">
        <v>66</v>
      </c>
      <c r="R324" s="130" t="s">
        <v>72</v>
      </c>
      <c r="S324" s="131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  <c r="T324" s="131">
        <v>17.753164556962023</v>
      </c>
      <c r="U324" s="130"/>
      <c r="V324" s="131">
        <f>VLOOKUP(H324,'Ext. Pa'!$B$3:$C$77,2,FALSE)</f>
        <v>1</v>
      </c>
      <c r="W324" s="130">
        <f>VLOOKUP(I324,'Ext. Pa'!$B$3:$C$77,2,FALSE)</f>
        <v>1</v>
      </c>
      <c r="X324" s="130">
        <f>VLOOKUP(J324,'Ext. Pa'!$B$3:$C$77,2,FALSE)</f>
        <v>4</v>
      </c>
      <c r="Y324" s="130">
        <f>VLOOKUP(K324,'Ext. Pa'!$B$3:$C$77,2,FALSE)</f>
        <v>0</v>
      </c>
      <c r="Z324" s="130">
        <f>VLOOKUP(L324,'Ext. Pa'!$B$3:$C$77,2,FALSE)</f>
        <v>5</v>
      </c>
      <c r="AA324" s="130">
        <f>VLOOKUP(M324,'Ext. Pa'!$B$3:$C$77,2,FALSE)</f>
        <v>5</v>
      </c>
      <c r="AB324" s="130">
        <f>VLOOKUP(N324,'Ext. Pa'!$B$3:$C$77,2,FALSE)</f>
        <v>5</v>
      </c>
      <c r="AC324" s="130">
        <f>VLOOKUP(O324,'Ext. Pa'!$B$3:$C$77,2,FALSE)</f>
        <v>1</v>
      </c>
      <c r="AD324" s="130">
        <f>VLOOKUP(P324,'Ext. Pa'!$B$3:$C$77,2,FALSE)</f>
        <v>5</v>
      </c>
      <c r="AE324" s="130">
        <f>VLOOKUP(Q324,'Ext. Pa'!$B$3:$C$77,2,FALSE)</f>
        <v>6</v>
      </c>
      <c r="AF324" s="132">
        <f t="shared" si="17"/>
        <v>3.25</v>
      </c>
      <c r="AG324" s="134">
        <f>Table2[[#This Row],[Coating defect survey10]]</f>
        <v>1</v>
      </c>
      <c r="AH324" s="134">
        <f>Table2[[#This Row],[CP Level within NACE Criteria4]]</f>
        <v>1</v>
      </c>
      <c r="AI324" s="135">
        <f>IF(Table2[[#This Row],[CP level]]&gt;9.9,1,0)</f>
        <v>0</v>
      </c>
      <c r="AJ324" s="135">
        <f>Table2[[#This Row],[Column3]]*Table2[[#This Row],[Coating defect survey2]]</f>
        <v>0</v>
      </c>
      <c r="AK324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17.753164556962023</v>
      </c>
    </row>
    <row r="325" spans="1:37">
      <c r="A325" s="36">
        <v>9</v>
      </c>
      <c r="B325" s="92" t="s">
        <v>537</v>
      </c>
      <c r="C325" s="26"/>
      <c r="D325" s="27"/>
      <c r="E325" s="64"/>
      <c r="F325" s="64"/>
      <c r="G325" s="64">
        <v>20</v>
      </c>
      <c r="H325" s="64" t="s">
        <v>101</v>
      </c>
      <c r="I325" s="64" t="s">
        <v>108</v>
      </c>
      <c r="J325" s="64" t="s">
        <v>113</v>
      </c>
      <c r="K325" s="64">
        <v>0</v>
      </c>
      <c r="L325" s="64" t="s">
        <v>105</v>
      </c>
      <c r="M325" s="64" t="s">
        <v>129</v>
      </c>
      <c r="N325" s="64" t="s">
        <v>129</v>
      </c>
      <c r="O325" s="64" t="s">
        <v>145</v>
      </c>
      <c r="P325" s="64" t="s">
        <v>151</v>
      </c>
      <c r="Q325" s="28" t="s">
        <v>62</v>
      </c>
      <c r="R325" s="64" t="s">
        <v>72</v>
      </c>
      <c r="S325" s="65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19.493670886075947</v>
      </c>
      <c r="T325" s="65">
        <v>19.493670886075947</v>
      </c>
      <c r="U325" s="64"/>
      <c r="V325" s="65">
        <f>VLOOKUP(H325,'Ext. Pa'!$B$3:$C$77,2,FALSE)</f>
        <v>1</v>
      </c>
      <c r="W325" s="64">
        <f>VLOOKUP(I325,'Ext. Pa'!$B$3:$C$77,2,FALSE)</f>
        <v>1</v>
      </c>
      <c r="X325" s="64">
        <f>VLOOKUP(J325,'Ext. Pa'!$B$3:$C$77,2,FALSE)</f>
        <v>4</v>
      </c>
      <c r="Y325" s="64">
        <f>VLOOKUP(K325,'Ext. Pa'!$B$3:$C$77,2,FALSE)</f>
        <v>0</v>
      </c>
      <c r="Z325" s="64">
        <f>VLOOKUP(L325,'Ext. Pa'!$B$3:$C$77,2,FALSE)</f>
        <v>5</v>
      </c>
      <c r="AA325" s="64">
        <f>VLOOKUP(M325,'Ext. Pa'!$B$3:$C$77,2,FALSE)</f>
        <v>1</v>
      </c>
      <c r="AB325" s="64">
        <f>VLOOKUP(N325,'Ext. Pa'!$B$3:$C$77,2,FALSE)</f>
        <v>1</v>
      </c>
      <c r="AC325" s="64">
        <f>VLOOKUP(O325,'Ext. Pa'!$B$3:$C$77,2,FALSE)</f>
        <v>5</v>
      </c>
      <c r="AD325" s="64">
        <f>VLOOKUP(P325,'Ext. Pa'!$B$3:$C$77,2,FALSE)</f>
        <v>6</v>
      </c>
      <c r="AE325" s="64">
        <f>VLOOKUP(Q325,'Ext. Pa'!$B$3:$C$77,2,FALSE)</f>
        <v>1</v>
      </c>
      <c r="AF325" s="66">
        <f t="shared" si="17"/>
        <v>5</v>
      </c>
      <c r="AG325" s="123">
        <f>Table2[[#This Row],[Coating defect survey10]]</f>
        <v>5</v>
      </c>
      <c r="AH325" s="123">
        <f>Table2[[#This Row],[CP Level within NACE Criteria4]]</f>
        <v>1</v>
      </c>
      <c r="AI325" s="127">
        <f>IF(Table2[[#This Row],[CP level]]&gt;9.9,1,0)</f>
        <v>0</v>
      </c>
      <c r="AJ325" s="127">
        <f>Table2[[#This Row],[Column3]]*Table2[[#This Row],[Coating defect survey2]]</f>
        <v>0</v>
      </c>
      <c r="AK325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19.493670886075947</v>
      </c>
    </row>
    <row r="326" spans="1:37">
      <c r="A326" s="73">
        <v>9</v>
      </c>
      <c r="B326" s="93" t="s">
        <v>546</v>
      </c>
      <c r="C326" s="74"/>
      <c r="D326" s="75"/>
      <c r="E326" s="76"/>
      <c r="F326" s="76"/>
      <c r="G326" s="76">
        <v>40</v>
      </c>
      <c r="H326" s="76" t="s">
        <v>104</v>
      </c>
      <c r="I326" s="76" t="s">
        <v>111</v>
      </c>
      <c r="J326" s="76" t="s">
        <v>117</v>
      </c>
      <c r="K326" s="76" t="s">
        <v>124</v>
      </c>
      <c r="L326" s="76" t="s">
        <v>127</v>
      </c>
      <c r="M326" s="76" t="s">
        <v>132</v>
      </c>
      <c r="N326" s="76" t="s">
        <v>138</v>
      </c>
      <c r="O326" s="76" t="s">
        <v>146</v>
      </c>
      <c r="P326" s="76" t="s">
        <v>149</v>
      </c>
      <c r="Q326" s="28" t="s">
        <v>62</v>
      </c>
      <c r="R326" s="76" t="s">
        <v>72</v>
      </c>
      <c r="S326" s="85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74.683544303797461</v>
      </c>
      <c r="T326" s="245">
        <v>74.683544303797461</v>
      </c>
      <c r="U326" s="76"/>
      <c r="V326" s="77">
        <f>VLOOKUP(H326,'Ext. Pa'!$B$3:$C$77,2,FALSE)</f>
        <v>10</v>
      </c>
      <c r="W326" s="76">
        <f>VLOOKUP(I326,'Ext. Pa'!$B$3:$C$77,2,FALSE)</f>
        <v>8</v>
      </c>
      <c r="X326" s="76">
        <f>VLOOKUP(J326,'Ext. Pa'!$B$3:$C$77,2,FALSE)</f>
        <v>10</v>
      </c>
      <c r="Y326" s="76">
        <f>VLOOKUP(K326,'Ext. Pa'!$B$3:$C$77,2,FALSE)</f>
        <v>10</v>
      </c>
      <c r="Z326" s="76">
        <f>VLOOKUP(L326,'Ext. Pa'!$B$3:$C$77,2,FALSE)</f>
        <v>10</v>
      </c>
      <c r="AA326" s="76">
        <f>VLOOKUP(M326,'Ext. Pa'!$B$3:$C$77,2,FALSE)</f>
        <v>10</v>
      </c>
      <c r="AB326" s="76">
        <f>VLOOKUP(N326,'Ext. Pa'!$B$3:$C$77,2,FALSE)</f>
        <v>10</v>
      </c>
      <c r="AC326" s="76">
        <f>VLOOKUP(O326,'Ext. Pa'!$B$3:$C$77,2,FALSE)</f>
        <v>10</v>
      </c>
      <c r="AD326" s="76">
        <f>VLOOKUP(P326,'Ext. Pa'!$B$3:$C$77,2,FALSE)</f>
        <v>10</v>
      </c>
      <c r="AE326" s="76">
        <f>VLOOKUP(Q326,'Ext. Pa'!$B$3:$C$77,2,FALSE)</f>
        <v>1</v>
      </c>
      <c r="AF326" s="78">
        <v>10</v>
      </c>
      <c r="AG326" s="124">
        <f>Table2[[#This Row],[Coating defect survey10]]</f>
        <v>10</v>
      </c>
      <c r="AH326" s="125">
        <f>Table2[[#This Row],[CP Level within NACE Criteria4]]</f>
        <v>8</v>
      </c>
      <c r="AI326" s="127">
        <f>IF(Table2[[#This Row],[CP level]]&gt;9.9,1,0)</f>
        <v>0</v>
      </c>
      <c r="AJ326" s="127">
        <f>Table2[[#This Row],[Column3]]*Table2[[#This Row],[Coating defect survey2]]</f>
        <v>0</v>
      </c>
      <c r="AK326" s="170">
        <f>($H$1*Table2[[#This Row],[Coating Type3]]+$J$1*Table2[[#This Row],[Failure due to EC5]]+$K$1*Table2[[#This Row],[No. of Stray current point or Current flow to other buried metal6]]+$L$1*Table2[[#This Row],[AC intereference7]]+$M$1*Table2[[#This Row],[Coating Condition8]]+$N$1*Table2[[#This Row],[Coating Application9]]+$P$1*Table2[[#This Row],[Soil corrosivity11]]+$Q$1*Table2[[#This Row],[External Corrosion rate12]]+$R$1*Table2[[#This Row],[Pipeline Age13]])+$AH$1*Table2[[#This Row],[Column4]]</f>
        <v>74.683544303797461</v>
      </c>
    </row>
    <row r="327" spans="1:37">
      <c r="A327" s="247"/>
      <c r="B327" s="248"/>
      <c r="C327" s="249"/>
      <c r="D327" s="250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46">
        <f>COUNTIF(S3:S324,"&gt;32.15")</f>
        <v>8</v>
      </c>
      <c r="T327" s="246"/>
      <c r="U327" s="251"/>
      <c r="V327" s="246"/>
      <c r="W327" s="251"/>
      <c r="X327" s="251"/>
      <c r="Y327" s="251"/>
      <c r="Z327" s="251"/>
      <c r="AA327" s="251"/>
      <c r="AB327" s="251"/>
      <c r="AC327" s="251"/>
      <c r="AD327" s="251"/>
      <c r="AE327" s="251"/>
      <c r="AF327" s="252"/>
      <c r="AG327" s="246"/>
      <c r="AH327" s="246"/>
      <c r="AI327" s="253"/>
      <c r="AJ327" s="253"/>
    </row>
    <row r="329" spans="1:37">
      <c r="A329" s="9"/>
      <c r="B329" s="5" t="s">
        <v>909</v>
      </c>
    </row>
  </sheetData>
  <dataConsolidate/>
  <dataValidations count="1">
    <dataValidation type="list" allowBlank="1" showInputMessage="1" showErrorMessage="1" sqref="C146">
      <formula1>$C$3:$C$6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'Ext. Pa'!$B$4:$B$8</xm:f>
          </x14:formula1>
          <xm:sqref>H3:H326</xm:sqref>
        </x14:dataValidation>
        <x14:dataValidation type="list" allowBlank="1" showInputMessage="1" showErrorMessage="1">
          <x14:formula1>
            <xm:f>'Ext. Pa'!$B$10:$B$14</xm:f>
          </x14:formula1>
          <xm:sqref>I3:I326</xm:sqref>
        </x14:dataValidation>
        <x14:dataValidation type="list" allowBlank="1" showInputMessage="1" showErrorMessage="1">
          <x14:formula1>
            <xm:f>'Ext. Pa'!$B$16:$B$21</xm:f>
          </x14:formula1>
          <xm:sqref>J3:J326</xm:sqref>
        </x14:dataValidation>
        <x14:dataValidation type="list" allowBlank="1" showInputMessage="1" showErrorMessage="1">
          <x14:formula1>
            <xm:f>'Ext. Pa'!$B$23:$B$26</xm:f>
          </x14:formula1>
          <xm:sqref>K3:K326</xm:sqref>
        </x14:dataValidation>
        <x14:dataValidation type="list" allowBlank="1" showInputMessage="1" showErrorMessage="1">
          <x14:formula1>
            <xm:f>'Ext. Pa'!$B$28:$B$31</xm:f>
          </x14:formula1>
          <xm:sqref>L3:L326</xm:sqref>
        </x14:dataValidation>
        <x14:dataValidation type="list" allowBlank="1" showInputMessage="1" showErrorMessage="1">
          <x14:formula1>
            <xm:f>'Ext. Pa'!$B$33:$B$37</xm:f>
          </x14:formula1>
          <xm:sqref>M3:M326</xm:sqref>
        </x14:dataValidation>
        <x14:dataValidation type="list" allowBlank="1" showInputMessage="1" showErrorMessage="1">
          <x14:formula1>
            <xm:f>'Ext. Pa'!$B$39:$B$43</xm:f>
          </x14:formula1>
          <xm:sqref>N3:N326</xm:sqref>
        </x14:dataValidation>
        <x14:dataValidation type="list" allowBlank="1" showInputMessage="1" showErrorMessage="1">
          <x14:formula1>
            <xm:f>'Ext. Pa'!$B$45:$B$50</xm:f>
          </x14:formula1>
          <xm:sqref>O3:O326</xm:sqref>
        </x14:dataValidation>
        <x14:dataValidation type="list" allowBlank="1" showInputMessage="1" showErrorMessage="1">
          <x14:formula1>
            <xm:f>'Ext. Pa'!$B$52:$B$57</xm:f>
          </x14:formula1>
          <xm:sqref>P3:P326</xm:sqref>
        </x14:dataValidation>
        <x14:dataValidation type="list" allowBlank="1" showInputMessage="1" showErrorMessage="1">
          <x14:formula1>
            <xm:f>'Ext. Pa'!$B$60:$B$65</xm:f>
          </x14:formula1>
          <xm:sqref>Q3:Q326</xm:sqref>
        </x14:dataValidation>
        <x14:dataValidation type="list" allowBlank="1" showInputMessage="1" showErrorMessage="1">
          <x14:formula1>
            <xm:f>'Ext. Pa'!$B$76:$B$77</xm:f>
          </x14:formula1>
          <xm:sqref>R3:R326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Risk score summary</vt:lpstr>
      <vt:lpstr>Risk work flow</vt:lpstr>
      <vt:lpstr>Sheet1</vt:lpstr>
      <vt:lpstr>Risk score summary (Problem)</vt:lpstr>
      <vt:lpstr>Progress</vt:lpstr>
      <vt:lpstr>Int. Mo.</vt:lpstr>
      <vt:lpstr>Int. Pa.</vt:lpstr>
      <vt:lpstr>Ext. Pa</vt:lpstr>
      <vt:lpstr>Ext.Mo</vt:lpstr>
      <vt:lpstr>TPI. Pa.</vt:lpstr>
      <vt:lpstr>TPI. Mo.</vt:lpstr>
      <vt:lpstr>consequence</vt:lpstr>
      <vt:lpstr>conse.pa.</vt:lpstr>
      <vt:lpstr>LGS Pa.</vt:lpstr>
      <vt:lpstr>LGS_Mo.</vt:lpstr>
      <vt:lpstr>Sheet2</vt:lpstr>
      <vt:lpstr>Risk score graph summary (2)</vt:lpstr>
      <vt:lpstr>Risk score graph (Problem)</vt:lpstr>
      <vt:lpstr>_3_Layer_Polyethylene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ARKADEJ PONGSAKDI</dc:creator>
  <cp:lastModifiedBy>Chattarpong Pinsuwan</cp:lastModifiedBy>
  <cp:lastPrinted>2016-11-10T07:02:00Z</cp:lastPrinted>
  <dcterms:created xsi:type="dcterms:W3CDTF">2013-06-12T02:51:49Z</dcterms:created>
  <dcterms:modified xsi:type="dcterms:W3CDTF">2019-06-26T07:51:58Z</dcterms:modified>
</cp:coreProperties>
</file>