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Sam/Documents/profound/profound-model/tests/params/"/>
    </mc:Choice>
  </mc:AlternateContent>
  <xr:revisionPtr revIDLastSave="0" documentId="13_ncr:1_{CFEB3ED2-374A-A349-8D5A-79A111721E81}" xr6:coauthVersionLast="47" xr6:coauthVersionMax="47" xr10:uidLastSave="{00000000-0000-0000-0000-000000000000}"/>
  <bookViews>
    <workbookView xWindow="-20" yWindow="500" windowWidth="28800" windowHeight="15840" activeTab="1" xr2:uid="{00000000-000D-0000-FFFF-FFFF00000000}"/>
  </bookViews>
  <sheets>
    <sheet name="InitialPop" sheetId="12" r:id="rId1"/>
    <sheet name="Demographic" sheetId="2" r:id="rId2"/>
    <sheet name="OUDPrevNSDUH" sheetId="14" r:id="rId3"/>
    <sheet name="StimPrevNSDUH" sheetId="21" r:id="rId4"/>
    <sheet name="OpioidPattern" sheetId="5" r:id="rId5"/>
    <sheet name="StimulantPattern" sheetId="6" r:id="rId6"/>
    <sheet name="LifeTable" sheetId="1" r:id="rId7"/>
    <sheet name="OverdoseRisk" sheetId="7" r:id="rId8"/>
    <sheet name="TransProb" sheetId="8" r:id="rId9"/>
    <sheet name="DecisionTree" sheetId="9" r:id="rId10"/>
    <sheet name="ODSettingEMS" sheetId="20" r:id="rId11"/>
    <sheet name="ODSettingEMS(sp)" sheetId="22" r:id="rId12"/>
    <sheet name="Mortality" sheetId="10" r:id="rId13"/>
    <sheet name="NxKit" sheetId="11" r:id="rId14"/>
    <sheet name="NxDataOEND" sheetId="18" r:id="rId15"/>
    <sheet name="NxDataPharm" sheetId="25" r:id="rId16"/>
    <sheet name="NxMvt" sheetId="19" r:id="rId17"/>
    <sheet name="Cost" sheetId="16" r:id="rId18"/>
    <sheet name="Target" sheetId="23" r:id="rId19"/>
    <sheet name="CalibPar" sheetId="24" r:id="rId20"/>
    <sheet name="NxOnSurv" sheetId="1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8" l="1"/>
  <c r="B18" i="24"/>
  <c r="C18" i="24"/>
  <c r="D18" i="24"/>
  <c r="C17" i="24"/>
  <c r="D17" i="24"/>
  <c r="B17" i="24"/>
  <c r="A18" i="24"/>
  <c r="A17" i="24"/>
  <c r="C6" i="9"/>
  <c r="B2" i="10"/>
  <c r="C3" i="9"/>
  <c r="D2" i="24" l="1"/>
  <c r="C2" i="6"/>
  <c r="D2" i="6"/>
  <c r="B2" i="6"/>
  <c r="B14" i="24"/>
  <c r="C14" i="24"/>
  <c r="D14" i="24"/>
  <c r="A14" i="24"/>
  <c r="C3" i="24" l="1"/>
  <c r="D3" i="24"/>
  <c r="B3" i="24"/>
  <c r="C19" i="24"/>
  <c r="D19" i="24"/>
  <c r="B19" i="24"/>
  <c r="C16" i="24"/>
  <c r="D16" i="24"/>
  <c r="B16" i="24"/>
  <c r="C15" i="24"/>
  <c r="D15" i="24"/>
  <c r="B15" i="24"/>
  <c r="C13" i="24"/>
  <c r="D13" i="24"/>
  <c r="B13" i="24"/>
  <c r="C12" i="24"/>
  <c r="D12" i="24"/>
  <c r="B12" i="24"/>
  <c r="C11" i="24"/>
  <c r="D11" i="24"/>
  <c r="B11" i="24"/>
  <c r="C10" i="24"/>
  <c r="D10" i="24"/>
  <c r="B10" i="24"/>
  <c r="C9" i="24"/>
  <c r="D9" i="24"/>
  <c r="B9" i="24"/>
  <c r="C8" i="24"/>
  <c r="D8" i="24"/>
  <c r="B8" i="24"/>
  <c r="C7" i="24"/>
  <c r="D7" i="24"/>
  <c r="B7" i="24"/>
  <c r="C6" i="24"/>
  <c r="D6" i="24"/>
  <c r="B6" i="24"/>
  <c r="D5" i="24"/>
  <c r="C5" i="24"/>
  <c r="B5" i="24"/>
  <c r="C4" i="24"/>
  <c r="D4" i="24"/>
  <c r="B4" i="24"/>
  <c r="C2" i="24"/>
  <c r="D7" i="5"/>
  <c r="B2" i="24" s="1"/>
  <c r="I13" i="17"/>
  <c r="C6" i="23"/>
  <c r="C7" i="23"/>
  <c r="C8" i="23"/>
  <c r="C9" i="23"/>
  <c r="C13" i="23"/>
  <c r="C12" i="23"/>
  <c r="C11" i="23"/>
  <c r="C10" i="23"/>
  <c r="B2" i="20" l="1"/>
  <c r="H3" i="1"/>
  <c r="H2" i="1"/>
  <c r="D2" i="18"/>
  <c r="E2" i="18"/>
  <c r="F2" i="18"/>
  <c r="G2" i="18"/>
  <c r="G9" i="9" l="1"/>
  <c r="H4" i="1"/>
  <c r="H5" i="1"/>
  <c r="H6" i="1"/>
  <c r="H7" i="1"/>
  <c r="H8" i="1"/>
  <c r="K13" i="17" l="1"/>
  <c r="D13" i="17"/>
  <c r="B13" i="17"/>
  <c r="B17" i="17" s="1"/>
  <c r="K11" i="17"/>
  <c r="J11" i="17"/>
  <c r="I11" i="17"/>
  <c r="D11" i="17"/>
  <c r="C11" i="17"/>
  <c r="B11" i="17"/>
  <c r="K9" i="17"/>
  <c r="K14" i="17" s="1"/>
  <c r="J9" i="17"/>
  <c r="I9" i="17"/>
  <c r="I14" i="17" s="1"/>
  <c r="D9" i="17"/>
  <c r="D14" i="17" s="1"/>
  <c r="C9" i="17"/>
  <c r="B9" i="17"/>
  <c r="B14" i="17" s="1"/>
  <c r="K7" i="17"/>
  <c r="J7" i="17"/>
  <c r="I7" i="17"/>
  <c r="D7" i="17"/>
  <c r="C7" i="17"/>
  <c r="B7" i="17"/>
  <c r="K5" i="17"/>
  <c r="K16" i="17" s="1"/>
  <c r="I5" i="17"/>
  <c r="D5" i="17"/>
  <c r="D15" i="17" s="1"/>
  <c r="B5" i="17"/>
  <c r="B15" i="17" s="1"/>
  <c r="J4" i="17"/>
  <c r="J13" i="17" s="1"/>
  <c r="C4" i="17"/>
  <c r="I17" i="17" l="1"/>
  <c r="C14" i="17"/>
  <c r="J17" i="17"/>
  <c r="C5" i="17"/>
  <c r="C15" i="17" s="1"/>
  <c r="B22" i="17" s="1"/>
  <c r="D17" i="17"/>
  <c r="I15" i="17"/>
  <c r="I16" i="17"/>
  <c r="J5" i="17"/>
  <c r="J15" i="17" s="1"/>
  <c r="J14" i="17"/>
  <c r="J21" i="17" s="1"/>
  <c r="I21" i="17"/>
  <c r="K17" i="17"/>
  <c r="C21" i="17"/>
  <c r="C13" i="17"/>
  <c r="C17" i="17" s="1"/>
  <c r="K15" i="17"/>
  <c r="K18" i="17" s="1"/>
  <c r="B16" i="17"/>
  <c r="D16" i="17"/>
  <c r="D18" i="17" s="1"/>
  <c r="J16" i="17"/>
  <c r="J18" i="17" s="1"/>
  <c r="D3" i="5"/>
  <c r="D2" i="5"/>
  <c r="I18" i="17" l="1"/>
  <c r="B21" i="17"/>
  <c r="C16" i="17"/>
  <c r="C18" i="17" s="1"/>
  <c r="I22" i="17"/>
  <c r="M22" i="17" s="1"/>
  <c r="J22" i="17"/>
  <c r="B18" i="17"/>
  <c r="C22" i="17" l="1"/>
  <c r="E22" i="17" s="1"/>
  <c r="L25" i="17"/>
  <c r="E25" i="17"/>
  <c r="E24" i="17"/>
  <c r="N25" i="17"/>
  <c r="L24" i="17"/>
  <c r="G5" i="12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<sst xmlns="http://schemas.openxmlformats.org/spreadsheetml/2006/main" count="1503" uniqueCount="208">
  <si>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</si>
  <si>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</si>
  <si>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</si>
  <si>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</si>
  <si>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</si>
  <si>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</si>
  <si>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</si>
  <si>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</si>
  <si>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</si>
  <si>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</si>
  <si>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</si>
  <si>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</si>
  <si>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</si>
  <si>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</si>
  <si>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</si>
  <si>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</si>
  <si>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</si>
  <si>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</si>
  <si>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</si>
  <si>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</si>
  <si>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</si>
  <si>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</si>
  <si>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</si>
  <si>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</si>
  <si>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</si>
  <si>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</si>
  <si>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</si>
  <si>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</si>
  <si>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</si>
  <si>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</si>
  <si>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</si>
  <si>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</si>
  <si>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</si>
  <si>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</si>
  <si>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</si>
  <si>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</si>
  <si>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</si>
  <si>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</si>
  <si>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</si>
  <si>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</si>
  <si>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</si>
  <si>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</si>
  <si>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</si>
  <si>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</si>
  <si>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</si>
  <si>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</si>
  <si>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</si>
  <si>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preb</t>
  </si>
  <si>
    <t>il.lr</t>
  </si>
  <si>
    <t>il.hr</t>
  </si>
  <si>
    <t>na</t>
  </si>
  <si>
    <t>m</t>
  </si>
  <si>
    <t>f</t>
  </si>
  <si>
    <t>inactive opioid use (recovery)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</si>
  <si>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</si>
  <si>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</si>
  <si>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</si>
  <si>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</si>
  <si>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</si>
  <si>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Avergae number of months a kit is expired/lost and out of circulation</t>
  </si>
  <si>
    <t>OD_wit</t>
  </si>
  <si>
    <t>OD_hosp</t>
  </si>
  <si>
    <t>OD_cess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</si>
  <si>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</si>
  <si>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</si>
  <si>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</si>
  <si>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</si>
  <si>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</si>
  <si>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</si>
  <si>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</si>
  <si>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White</t>
  </si>
  <si>
    <t>12to17</t>
  </si>
  <si>
    <t>18to25</t>
  </si>
  <si>
    <t>26to34</t>
  </si>
  <si>
    <t>35to49</t>
  </si>
  <si>
    <t>50to64</t>
  </si>
  <si>
    <t>65older</t>
  </si>
  <si>
    <t>Black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</si>
  <si>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</si>
  <si>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</si>
  <si>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</si>
  <si>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</si>
  <si>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</si>
  <si>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</si>
  <si>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</si>
  <si>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</si>
  <si>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Latino</t>
  </si>
  <si>
    <t>Nx</t>
  </si>
  <si>
    <t>Survive</t>
  </si>
  <si>
    <t>Died</t>
  </si>
  <si>
    <t>Survived</t>
  </si>
  <si>
    <t>Nx_surv</t>
  </si>
  <si>
    <t>NoNx_suv</t>
  </si>
  <si>
    <t>NoNx</t>
  </si>
  <si>
    <t>Nx_die</t>
  </si>
  <si>
    <t>NoNx_die</t>
  </si>
  <si>
    <t>Die</t>
  </si>
  <si>
    <t>OR =</t>
  </si>
  <si>
    <t>RR =</t>
  </si>
  <si>
    <t>https://doi.org/10.1016/j.drugpo.2020.102718</t>
  </si>
  <si>
    <t>Reported aOR=</t>
  </si>
  <si>
    <t>To adjust population size of each race</t>
  </si>
  <si>
    <t>year</t>
  </si>
  <si>
    <t>risk</t>
  </si>
  <si>
    <t>high</t>
  </si>
  <si>
    <t>low</t>
  </si>
  <si>
    <t>group</t>
  </si>
  <si>
    <t>monthly prob</t>
  </si>
  <si>
    <t>p.preb2il.lr</t>
  </si>
  <si>
    <t>p.il.lr2il.hr</t>
  </si>
  <si>
    <t>p.il.hr2il.lr</t>
  </si>
  <si>
    <t>p.inact2relap</t>
  </si>
  <si>
    <t>ini.il</t>
  </si>
  <si>
    <t>ini.il.hr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</si>
  <si>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</si>
  <si>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</si>
  <si>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</si>
  <si>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</si>
  <si>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</si>
  <si>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</si>
  <si>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</si>
  <si>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</si>
  <si>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</si>
  <si>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</si>
  <si>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</si>
  <si>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</si>
  <si>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</si>
  <si>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c.nlx.dtb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</si>
  <si>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</si>
  <si>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</si>
  <si>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</si>
  <si>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</si>
  <si>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</si>
  <si>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</si>
  <si>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</si>
  <si>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</si>
  <si>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</si>
  <si>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</si>
  <si>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</si>
  <si>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</si>
  <si>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</si>
  <si>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pop.size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</si>
  <si>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</si>
  <si>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</si>
  <si>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</si>
  <si>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</si>
  <si>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</si>
  <si>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</si>
  <si>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</si>
  <si>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</si>
  <si>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</si>
  <si>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</si>
  <si>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</si>
  <si>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</si>
  <si>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</si>
  <si>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</si>
  <si>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</si>
  <si>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</si>
  <si>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</si>
  <si>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</si>
  <si>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</si>
  <si>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</si>
  <si>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Low2Priv</t>
  </si>
  <si>
    <t>beta</t>
  </si>
  <si>
    <t>https://doi.org/10.1016/j.jsat.2019.12.008</t>
  </si>
  <si>
    <t>nlx.adj</t>
  </si>
  <si>
    <t>Cease opioid use following overdose</t>
  </si>
  <si>
    <t>Overall</t>
  </si>
  <si>
    <t>EDvisits</t>
  </si>
  <si>
    <t>Fx_ODD</t>
  </si>
  <si>
    <t>lognormal</t>
  </si>
  <si>
    <t>mor_bl</t>
  </si>
  <si>
    <t>rr_mor_EMS</t>
  </si>
  <si>
    <t>ODdeaths</t>
  </si>
  <si>
    <t>cap</t>
  </si>
  <si>
    <t>exposed to fentanyl, old value 86.5800865800866%</t>
  </si>
  <si>
    <t>OD_wit_pub</t>
  </si>
  <si>
    <t>pe: Dezman, lo: Carroll (beta). up: Kenney</t>
  </si>
  <si>
    <t>gw.fx</t>
  </si>
  <si>
    <t>annual growth rate in fentanyl exposure</t>
  </si>
  <si>
    <t>fentanyl proportion (10.1001/jamanetworkopen.2019.2851), sti population (NSDUH)</t>
  </si>
  <si>
    <t>ODD Fx, range assumed</t>
  </si>
  <si>
    <t>proportion of prescription opioids from sources other than from doctors (eligible for fentanyl exposure)</t>
    <phoneticPr fontId="5" type="noConversion"/>
  </si>
  <si>
    <t>na</t>
    <phoneticPr fontId="5" type="noConversion"/>
  </si>
  <si>
    <t>NSDUH</t>
    <phoneticPr fontId="5" type="noConversion"/>
  </si>
  <si>
    <t>previous estimates: 0.111(0.0685,0.175241)</t>
    <phoneticPr fontId="5" type="noConversion"/>
  </si>
  <si>
    <t>mor_nx</t>
    <phoneticPr fontId="5" type="noConversion"/>
  </si>
  <si>
    <t>OD_911_pub</t>
    <phoneticPr fontId="5" type="noConversion"/>
  </si>
  <si>
    <t>Probability of witness calling 911 in a public setting</t>
    <phoneticPr fontId="5" type="noConversion"/>
  </si>
  <si>
    <t xml:space="preserve">Multipler (RR) for calling 911 in private setting compared to public </t>
    <phoneticPr fontId="5" type="noConversion"/>
  </si>
  <si>
    <t>Karamouzian</t>
  </si>
  <si>
    <t>Karamouzian. Bounds: Lim, Tracy</t>
    <phoneticPr fontId="5" type="noConversion"/>
  </si>
  <si>
    <t>OD_wit_pub</t>
    <phoneticPr fontId="5" type="noConversion"/>
  </si>
  <si>
    <t>rr_OD_wit_priv</t>
    <phoneticPr fontId="5" type="noConversion"/>
  </si>
  <si>
    <t>rr_OD_911_priv</t>
    <phoneticPr fontId="5" type="noConversion"/>
  </si>
  <si>
    <t>OD_loc_pub</t>
    <phoneticPr fontId="5" type="noConversion"/>
  </si>
  <si>
    <t>High2Pub</t>
    <phoneticPr fontId="5" type="noConversion"/>
  </si>
  <si>
    <t>gw.m.2inact</t>
    <phoneticPr fontId="5" type="noConversion"/>
  </si>
  <si>
    <t>out.prebopioid</t>
    <phoneticPr fontId="5" type="noConversion"/>
  </si>
  <si>
    <t>monthly growth for transition probabilities to inactive state</t>
    <phoneticPr fontId="5" type="noConversion"/>
  </si>
  <si>
    <t>p.preb2inact.ini</t>
    <phoneticPr fontId="5" type="noConversion"/>
  </si>
  <si>
    <t>p.il.lr2inact.ini</t>
    <phoneticPr fontId="5" type="noConversion"/>
  </si>
  <si>
    <t>p.il.hr2inact.ini</t>
    <phoneticPr fontId="5" type="noConversion"/>
  </si>
  <si>
    <t>initial transition probability from prescription opioid use to inactive state</t>
    <phoneticPr fontId="5" type="noConversion"/>
  </si>
  <si>
    <t>initial transition probability from illegal high risk opioid use to inactive state</t>
    <phoneticPr fontId="5" type="noConversion"/>
  </si>
  <si>
    <t>initial transition probability from illegal low risk opioid use to inactive state</t>
    <phoneticPr fontId="5" type="noConversion"/>
  </si>
  <si>
    <t>ini.oud.fx</t>
  </si>
  <si>
    <t>ini.inactive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</si>
</sst>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0.000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66" fontId="0" fillId="0" borderId="0" xfId="0" applyNumberFormat="1"/>
    <xf numFmtId="164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65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i.org/10.1016/j.jsat.2019.12.008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drugpo.2020.10271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C5" sqref="C5"/>
    </sheetView>
  </sheetViews>
  <sheetFormatPr baseColWidth="10" defaultColWidth="8.6640625" defaultRowHeight="15" x14ac:dyDescent="0.2"/>
  <cols>
    <col min="1" max="1" width="12.6640625" customWidth="1"/>
    <col min="2" max="2" width="10.33203125" customWidth="1"/>
  </cols>
  <sheetData>
    <row r="1" spans="1:11" x14ac:dyDescent="0.2">
      <c r="A1" s="8" t="s">
        <v>63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">
      <c r="A2" t="s">
        <v>141</v>
      </c>
      <c r="B2" t="s">
        <v>50</v>
      </c>
      <c r="C2">
        <v>1000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66</v>
      </c>
    </row>
    <row r="3" spans="1:11" x14ac:dyDescent="0.2">
      <c r="A3" t="s">
        <v>142</v>
      </c>
      <c r="B3" t="s">
        <v>50</v>
      </c>
      <c r="C3" s="2">
        <v>1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69</v>
      </c>
    </row>
    <row r="4" spans="1:11" x14ac:dyDescent="0.2">
      <c r="A4" t="s">
        <v>143</v>
      </c>
      <c r="B4" t="s">
        <v>50</v>
      </c>
      <c r="C4" s="4">
        <v>0.8</v>
      </c>
      <c r="D4" s="4">
        <v>3.6799999999999999E-2</v>
      </c>
      <c r="E4" s="4">
        <v>6.7199999999999996E-2</v>
      </c>
      <c r="F4" t="s">
        <v>64</v>
      </c>
      <c r="G4" s="7">
        <f>C4</f>
        <v>0.8</v>
      </c>
      <c r="H4">
        <f>(E4-D4)/2/1.96</f>
        <v>7.7551020408163258E-3</v>
      </c>
      <c r="I4" t="s">
        <v>65</v>
      </c>
      <c r="J4" s="3"/>
      <c r="K4" s="3"/>
    </row>
    <row r="5" spans="1:11" x14ac:dyDescent="0.2">
      <c r="A5" t="s">
        <v>144</v>
      </c>
      <c r="B5" t="s">
        <v>51</v>
      </c>
      <c r="C5" s="2">
        <v>0</v>
      </c>
      <c r="D5" s="2">
        <v>2.7E-2</v>
      </c>
      <c r="E5" s="2">
        <v>3.6999999999999998E-2</v>
      </c>
      <c r="F5" t="s">
        <v>64</v>
      </c>
      <c r="G5" s="7">
        <f t="shared" ref="G5:G6" si="0">C5</f>
        <v>0</v>
      </c>
      <c r="H5">
        <f t="shared" ref="H5:H6" si="1">(E5-D5)/2/1.96</f>
        <v>2.5510204081632651E-3</v>
      </c>
      <c r="I5" t="s">
        <v>67</v>
      </c>
    </row>
    <row r="6" spans="1:11" x14ac:dyDescent="0.2">
      <c r="A6" t="s">
        <v>144</v>
      </c>
      <c r="B6" t="s">
        <v>52</v>
      </c>
      <c r="C6" s="2">
        <v>0</v>
      </c>
      <c r="D6" s="2">
        <v>1.2999999999999999E-2</v>
      </c>
      <c r="E6" s="2">
        <v>1.9E-2</v>
      </c>
      <c r="F6" t="s">
        <v>64</v>
      </c>
      <c r="G6" s="7">
        <f t="shared" si="0"/>
        <v>0</v>
      </c>
      <c r="H6">
        <f t="shared" si="1"/>
        <v>1.5306122448979593E-3</v>
      </c>
      <c r="I6" t="s">
        <v>68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I9"/>
  <sheetViews>
    <sheetView workbookViewId="0">
      <selection activeCell="J27" sqref="J27"/>
    </sheetView>
  </sheetViews>
  <sheetFormatPr baseColWidth="10" defaultColWidth="8.6640625" defaultRowHeight="15" x14ac:dyDescent="0.2"/>
  <cols>
    <col min="1" max="1" width="15.5" customWidth="1"/>
  </cols>
  <sheetData>
    <row r="1" spans="1:9" x14ac:dyDescent="0.2">
      <c r="A1" s="8" t="s">
        <v>63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84</v>
      </c>
    </row>
    <row r="2" spans="1:9" x14ac:dyDescent="0.2">
      <c r="A2" t="s">
        <v>195</v>
      </c>
      <c r="B2">
        <v>0.18</v>
      </c>
      <c r="C2">
        <v>0.05</v>
      </c>
      <c r="D2">
        <v>0.31</v>
      </c>
    </row>
    <row r="3" spans="1:9" x14ac:dyDescent="0.2">
      <c r="A3" t="s">
        <v>60</v>
      </c>
      <c r="B3" s="14">
        <v>0.64500000000000002</v>
      </c>
      <c r="C3" s="15">
        <f>1-39/91</f>
        <v>0.5714285714285714</v>
      </c>
      <c r="D3">
        <v>0.85</v>
      </c>
    </row>
    <row r="4" spans="1:9" x14ac:dyDescent="0.2">
      <c r="A4" t="s">
        <v>192</v>
      </c>
      <c r="B4" s="14">
        <v>0.82</v>
      </c>
      <c r="C4" s="15">
        <v>0.75</v>
      </c>
      <c r="D4">
        <v>0.88</v>
      </c>
    </row>
    <row r="5" spans="1:9" x14ac:dyDescent="0.2">
      <c r="A5" t="s">
        <v>193</v>
      </c>
      <c r="B5" s="14">
        <v>0.6</v>
      </c>
      <c r="C5" s="15">
        <v>0.2</v>
      </c>
      <c r="D5">
        <v>1</v>
      </c>
    </row>
    <row r="6" spans="1:9" x14ac:dyDescent="0.2">
      <c r="A6" t="s">
        <v>187</v>
      </c>
      <c r="B6" s="14">
        <v>0.66200000000000003</v>
      </c>
      <c r="C6" s="15">
        <f>2075/3697</f>
        <v>0.56126589126318638</v>
      </c>
      <c r="D6" s="15">
        <v>0.79900000000000004</v>
      </c>
      <c r="H6" t="s">
        <v>188</v>
      </c>
      <c r="I6" s="22" t="s">
        <v>191</v>
      </c>
    </row>
    <row r="7" spans="1:9" x14ac:dyDescent="0.2">
      <c r="A7" t="s">
        <v>194</v>
      </c>
      <c r="B7" s="15">
        <v>0.59</v>
      </c>
      <c r="C7">
        <v>0.4</v>
      </c>
      <c r="D7" s="15">
        <v>0.7</v>
      </c>
      <c r="H7" t="s">
        <v>189</v>
      </c>
      <c r="I7" s="22" t="s">
        <v>190</v>
      </c>
    </row>
    <row r="8" spans="1:9" x14ac:dyDescent="0.2">
      <c r="A8" t="s">
        <v>61</v>
      </c>
      <c r="B8" s="14">
        <v>0.9</v>
      </c>
      <c r="C8">
        <v>0.85</v>
      </c>
      <c r="D8">
        <v>0.95</v>
      </c>
    </row>
    <row r="9" spans="1:9" x14ac:dyDescent="0.2">
      <c r="A9" t="s">
        <v>62</v>
      </c>
      <c r="B9" s="14">
        <v>7.5600000000000001E-2</v>
      </c>
      <c r="C9" s="14">
        <v>4.8390339999999997E-2</v>
      </c>
      <c r="D9" s="14">
        <v>0.11579589999999999</v>
      </c>
      <c r="E9" t="s">
        <v>163</v>
      </c>
      <c r="F9">
        <v>19</v>
      </c>
      <c r="G9">
        <f>251-F9</f>
        <v>232</v>
      </c>
      <c r="H9" s="22" t="s">
        <v>166</v>
      </c>
      <c r="I9" s="18" t="s">
        <v>164</v>
      </c>
    </row>
  </sheetData>
  <phoneticPr fontId="5" type="noConversion"/>
  <hyperlinks>
    <hyperlink ref="I9" r:id="rId1" xr:uid="{15D6B813-A970-440E-AF95-498C36C49594}"/>
  </hyperlinks>
  <pageMargins left="0.7" right="0.7" top="0.75" bottom="0.75" header="0.3" footer="0.3"/>
  <pageSetup orientation="portrait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E41" sqref="E41"/>
    </sheetView>
  </sheetViews>
  <sheetFormatPr baseColWidth="10" defaultColWidth="8.6640625" defaultRowHeight="15" x14ac:dyDescent="0.2"/>
  <cols>
    <col min="1" max="1" width="14.6640625" customWidth="1"/>
  </cols>
  <sheetData>
    <row r="1" spans="1:3" x14ac:dyDescent="0.2">
      <c r="A1" t="s">
        <v>132</v>
      </c>
      <c r="B1" t="s">
        <v>130</v>
      </c>
      <c r="C1" t="s">
        <v>131</v>
      </c>
    </row>
    <row r="2" spans="1:3" x14ac:dyDescent="0.2">
      <c r="A2" t="s">
        <v>167</v>
      </c>
      <c r="B2" s="23">
        <f>1-C2</f>
        <v>0.30812608444187395</v>
      </c>
      <c r="C2" s="13">
        <v>0.69187391555812605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K21" sqref="K21"/>
    </sheetView>
  </sheetViews>
  <sheetFormatPr baseColWidth="10" defaultColWidth="8.6640625" defaultRowHeight="15" x14ac:dyDescent="0.2"/>
  <cols>
    <col min="1" max="1" width="14.6640625" customWidth="1"/>
  </cols>
  <sheetData>
    <row r="1" spans="1:3" x14ac:dyDescent="0.2">
      <c r="A1" t="s">
        <v>132</v>
      </c>
      <c r="B1" t="s">
        <v>130</v>
      </c>
      <c r="C1" t="s">
        <v>131</v>
      </c>
    </row>
    <row r="2" spans="1:3" x14ac:dyDescent="0.2">
      <c r="A2" t="s">
        <v>34</v>
      </c>
      <c r="B2" s="13">
        <v>0.3</v>
      </c>
      <c r="C2" s="13">
        <v>0.7</v>
      </c>
    </row>
    <row r="3" spans="1:3" x14ac:dyDescent="0.2">
      <c r="A3" t="s">
        <v>35</v>
      </c>
      <c r="B3" s="13">
        <v>0.30299999999999999</v>
      </c>
      <c r="C3" s="13">
        <v>0.69699999999999995</v>
      </c>
    </row>
    <row r="4" spans="1:3" x14ac:dyDescent="0.2">
      <c r="A4" t="s">
        <v>133</v>
      </c>
      <c r="B4" s="13">
        <v>0.16700000000000001</v>
      </c>
      <c r="C4" s="13">
        <v>0.83299999999999996</v>
      </c>
    </row>
    <row r="5" spans="1:3" x14ac:dyDescent="0.2">
      <c r="A5" t="s">
        <v>134</v>
      </c>
      <c r="B5" s="13">
        <v>0.29899999999999999</v>
      </c>
      <c r="C5" s="13">
        <v>0.70099999999999996</v>
      </c>
    </row>
    <row r="6" spans="1:3" x14ac:dyDescent="0.2">
      <c r="A6" t="s">
        <v>37</v>
      </c>
      <c r="B6" s="13">
        <v>0.10299999999999999</v>
      </c>
      <c r="C6" s="13">
        <v>0.89700000000000002</v>
      </c>
    </row>
    <row r="7" spans="1:3" x14ac:dyDescent="0.2">
      <c r="A7" t="s">
        <v>29</v>
      </c>
      <c r="B7" s="13">
        <v>0.18099999999999999</v>
      </c>
      <c r="C7" s="13">
        <v>0.81899999999999995</v>
      </c>
    </row>
    <row r="8" spans="1:3" x14ac:dyDescent="0.2">
      <c r="A8" t="s">
        <v>9</v>
      </c>
      <c r="B8" s="13">
        <v>0.186</v>
      </c>
      <c r="C8" s="13">
        <v>0.81399999999999995</v>
      </c>
    </row>
    <row r="9" spans="1:3" x14ac:dyDescent="0.2">
      <c r="A9" t="s">
        <v>10</v>
      </c>
      <c r="B9" s="13">
        <v>0.22900000000000001</v>
      </c>
      <c r="C9" s="13">
        <v>0.77100000000000002</v>
      </c>
    </row>
    <row r="10" spans="1:3" x14ac:dyDescent="0.2">
      <c r="A10" t="s">
        <v>30</v>
      </c>
      <c r="B10" s="13">
        <v>0.375</v>
      </c>
      <c r="C10" s="13">
        <v>0.625</v>
      </c>
    </row>
    <row r="11" spans="1:3" x14ac:dyDescent="0.2">
      <c r="A11" t="s">
        <v>11</v>
      </c>
      <c r="B11" s="13">
        <v>0.25700000000000001</v>
      </c>
      <c r="C11" s="13">
        <v>0.74299999999999999</v>
      </c>
    </row>
    <row r="12" spans="1:3" x14ac:dyDescent="0.2">
      <c r="A12" t="s">
        <v>38</v>
      </c>
      <c r="B12" s="13">
        <v>0.44800000000000001</v>
      </c>
      <c r="C12" s="13">
        <v>0.55200000000000005</v>
      </c>
    </row>
    <row r="13" spans="1:3" x14ac:dyDescent="0.2">
      <c r="A13" t="s">
        <v>12</v>
      </c>
      <c r="B13" s="13">
        <v>0.154</v>
      </c>
      <c r="C13" s="13">
        <v>0.84599999999999997</v>
      </c>
    </row>
    <row r="14" spans="1:3" x14ac:dyDescent="0.2">
      <c r="A14" t="s">
        <v>135</v>
      </c>
      <c r="B14" s="13">
        <v>0.32100000000000001</v>
      </c>
      <c r="C14" s="13">
        <v>0.67900000000000005</v>
      </c>
    </row>
    <row r="15" spans="1:3" x14ac:dyDescent="0.2">
      <c r="A15" t="s">
        <v>39</v>
      </c>
      <c r="B15" s="13">
        <v>0.104</v>
      </c>
      <c r="C15" s="13">
        <v>0.89600000000000002</v>
      </c>
    </row>
    <row r="16" spans="1:3" x14ac:dyDescent="0.2">
      <c r="A16" t="s">
        <v>23</v>
      </c>
      <c r="B16" s="13">
        <v>0.14299999999999999</v>
      </c>
      <c r="C16" s="13">
        <v>0.85699999999999998</v>
      </c>
    </row>
    <row r="17" spans="1:3" x14ac:dyDescent="0.2">
      <c r="A17" t="s">
        <v>14</v>
      </c>
      <c r="B17" s="13">
        <v>0.23499999999999999</v>
      </c>
      <c r="C17" s="13">
        <v>0.76500000000000001</v>
      </c>
    </row>
    <row r="18" spans="1:3" x14ac:dyDescent="0.2">
      <c r="A18" t="s">
        <v>136</v>
      </c>
      <c r="B18" s="13">
        <v>0.51100000000000001</v>
      </c>
      <c r="C18" s="13">
        <v>0.48899999999999999</v>
      </c>
    </row>
    <row r="19" spans="1:3" x14ac:dyDescent="0.2">
      <c r="A19" t="s">
        <v>24</v>
      </c>
      <c r="B19" s="13">
        <v>0.25</v>
      </c>
      <c r="C19" s="13">
        <v>0.75</v>
      </c>
    </row>
    <row r="20" spans="1:3" x14ac:dyDescent="0.2">
      <c r="A20" t="s">
        <v>25</v>
      </c>
      <c r="B20" s="13">
        <v>0.22700000000000001</v>
      </c>
      <c r="C20" s="13">
        <v>0.77300000000000002</v>
      </c>
    </row>
    <row r="21" spans="1:3" x14ac:dyDescent="0.2">
      <c r="A21" t="s">
        <v>40</v>
      </c>
      <c r="B21" s="13">
        <v>0.23899999999999999</v>
      </c>
      <c r="C21" s="13">
        <v>0.76100000000000001</v>
      </c>
    </row>
    <row r="22" spans="1:3" x14ac:dyDescent="0.2">
      <c r="A22" t="s">
        <v>41</v>
      </c>
      <c r="B22" s="13">
        <v>0.24894736842105261</v>
      </c>
      <c r="C22" s="13">
        <v>0.75105263157894742</v>
      </c>
    </row>
    <row r="23" spans="1:3" x14ac:dyDescent="0.2">
      <c r="A23" t="s">
        <v>26</v>
      </c>
      <c r="B23" s="13">
        <v>0.23300000000000001</v>
      </c>
      <c r="C23" s="13">
        <v>0.76700000000000002</v>
      </c>
    </row>
    <row r="24" spans="1:3" x14ac:dyDescent="0.2">
      <c r="A24" t="s">
        <v>42</v>
      </c>
      <c r="B24" s="13">
        <v>0.27200000000000002</v>
      </c>
      <c r="C24" s="13">
        <v>0.72799999999999998</v>
      </c>
    </row>
    <row r="25" spans="1:3" x14ac:dyDescent="0.2">
      <c r="A25" t="s">
        <v>16</v>
      </c>
      <c r="B25" s="13">
        <v>0.25600000000000001</v>
      </c>
      <c r="C25" s="13">
        <v>0.74399999999999999</v>
      </c>
    </row>
    <row r="26" spans="1:3" x14ac:dyDescent="0.2">
      <c r="A26" t="s">
        <v>17</v>
      </c>
      <c r="B26" s="13">
        <v>0.30199999999999999</v>
      </c>
      <c r="C26" s="13">
        <v>0.69799999999999995</v>
      </c>
    </row>
    <row r="27" spans="1:3" x14ac:dyDescent="0.2">
      <c r="A27" t="s">
        <v>18</v>
      </c>
      <c r="B27" s="13">
        <v>0.3</v>
      </c>
      <c r="C27" s="13">
        <v>0.7</v>
      </c>
    </row>
    <row r="28" spans="1:3" x14ac:dyDescent="0.2">
      <c r="A28" t="s">
        <v>27</v>
      </c>
      <c r="B28" s="13">
        <v>0.18</v>
      </c>
      <c r="C28" s="13">
        <v>0.82</v>
      </c>
    </row>
    <row r="29" spans="1:3" x14ac:dyDescent="0.2">
      <c r="A29" t="s">
        <v>19</v>
      </c>
      <c r="B29" s="13">
        <v>0.439</v>
      </c>
      <c r="C29" s="13">
        <v>0.56100000000000005</v>
      </c>
    </row>
    <row r="30" spans="1:3" x14ac:dyDescent="0.2">
      <c r="A30" t="s">
        <v>43</v>
      </c>
      <c r="B30" s="13">
        <v>0.25800000000000001</v>
      </c>
      <c r="C30" s="13">
        <v>0.74199999999999999</v>
      </c>
    </row>
    <row r="31" spans="1:3" x14ac:dyDescent="0.2">
      <c r="A31" t="s">
        <v>20</v>
      </c>
      <c r="B31" s="13">
        <v>0.16700000000000001</v>
      </c>
      <c r="C31" s="13">
        <v>0.83299999999999996</v>
      </c>
    </row>
    <row r="32" spans="1:3" x14ac:dyDescent="0.2">
      <c r="A32" t="s">
        <v>137</v>
      </c>
      <c r="B32" s="13">
        <v>0.22600000000000001</v>
      </c>
      <c r="C32" s="13">
        <v>0.77300000000000002</v>
      </c>
    </row>
    <row r="33" spans="1:3" x14ac:dyDescent="0.2">
      <c r="A33" t="s">
        <v>44</v>
      </c>
      <c r="B33" s="13">
        <v>0.25</v>
      </c>
      <c r="C33" s="13">
        <v>0.75</v>
      </c>
    </row>
    <row r="34" spans="1:3" x14ac:dyDescent="0.2">
      <c r="A34" t="s">
        <v>28</v>
      </c>
      <c r="B34" s="13">
        <v>0.16700000000000001</v>
      </c>
      <c r="C34" s="13">
        <v>0.83299999999999996</v>
      </c>
    </row>
    <row r="35" spans="1:3" x14ac:dyDescent="0.2">
      <c r="A35" t="s">
        <v>36</v>
      </c>
      <c r="B35" s="13">
        <v>0.14299999999999999</v>
      </c>
      <c r="C35" s="13">
        <v>0.85699999999999998</v>
      </c>
    </row>
    <row r="36" spans="1:3" x14ac:dyDescent="0.2">
      <c r="A36" t="s">
        <v>31</v>
      </c>
      <c r="B36" s="13">
        <v>0.34</v>
      </c>
      <c r="C36" s="13">
        <v>0.66</v>
      </c>
    </row>
    <row r="37" spans="1:3" x14ac:dyDescent="0.2">
      <c r="A37" t="s">
        <v>138</v>
      </c>
      <c r="B37" s="13">
        <v>0.33300000000000002</v>
      </c>
      <c r="C37" s="13">
        <v>0.66700000000000004</v>
      </c>
    </row>
    <row r="38" spans="1:3" x14ac:dyDescent="0.2">
      <c r="A38" t="s">
        <v>139</v>
      </c>
      <c r="B38" s="13">
        <v>0.13900000000000001</v>
      </c>
      <c r="C38" s="13">
        <v>0.86099999999999999</v>
      </c>
    </row>
    <row r="39" spans="1:3" x14ac:dyDescent="0.2">
      <c r="A39" t="s">
        <v>140</v>
      </c>
      <c r="B39" s="13">
        <v>0.19800000000000001</v>
      </c>
      <c r="C39" s="13">
        <v>0.80200000000000005</v>
      </c>
    </row>
    <row r="40" spans="1:3" x14ac:dyDescent="0.2">
      <c r="A40" t="s">
        <v>22</v>
      </c>
      <c r="B40" s="13">
        <v>0.22500000000000001</v>
      </c>
      <c r="C40" s="13">
        <v>0.77500000000000002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J6" sqref="J6"/>
    </sheetView>
  </sheetViews>
  <sheetFormatPr baseColWidth="10" defaultColWidth="8.6640625" defaultRowHeight="15" x14ac:dyDescent="0.2"/>
  <cols>
    <col min="1" max="1" width="11.6640625" customWidth="1"/>
  </cols>
  <sheetData>
    <row r="1" spans="1:21" x14ac:dyDescent="0.2">
      <c r="A1" s="8" t="s">
        <v>63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">
      <c r="A2" t="s">
        <v>171</v>
      </c>
      <c r="B2" s="14">
        <f>9/153</f>
        <v>5.8823529411764705E-2</v>
      </c>
      <c r="C2">
        <v>0.03</v>
      </c>
      <c r="D2">
        <v>0.11</v>
      </c>
      <c r="H2" t="s">
        <v>185</v>
      </c>
    </row>
    <row r="3" spans="1:21" x14ac:dyDescent="0.2">
      <c r="A3" t="s">
        <v>186</v>
      </c>
      <c r="B3">
        <v>8.9897260273972598E-3</v>
      </c>
      <c r="C3">
        <v>7.2609325605900938E-3</v>
      </c>
      <c r="D3">
        <v>1.1130136986301369E-2</v>
      </c>
      <c r="G3" s="14"/>
      <c r="H3" s="14"/>
      <c r="I3" s="14"/>
    </row>
    <row r="4" spans="1:21" x14ac:dyDescent="0.2">
      <c r="A4" t="s">
        <v>172</v>
      </c>
      <c r="B4">
        <v>0.58799999999999997</v>
      </c>
      <c r="C4">
        <v>0.41899999999999998</v>
      </c>
      <c r="D4">
        <v>0.75800000000000001</v>
      </c>
    </row>
    <row r="12" spans="1:21" x14ac:dyDescent="0.2">
      <c r="L12" s="13"/>
      <c r="M12" s="13"/>
      <c r="N12" s="13"/>
      <c r="S12" s="13"/>
      <c r="T12" s="13"/>
      <c r="U12" s="13"/>
    </row>
    <row r="13" spans="1:21" x14ac:dyDescent="0.2">
      <c r="L13" s="13"/>
      <c r="M13" s="13"/>
      <c r="N13" s="13"/>
      <c r="S13" s="13"/>
      <c r="T13" s="13"/>
      <c r="U13" s="13"/>
    </row>
    <row r="14" spans="1:21" x14ac:dyDescent="0.2">
      <c r="L14" s="13"/>
      <c r="M14" s="13"/>
      <c r="N14" s="13"/>
      <c r="S14" s="13"/>
      <c r="T14" s="13"/>
      <c r="U14" s="13"/>
    </row>
    <row r="15" spans="1:21" x14ac:dyDescent="0.2">
      <c r="L15" s="13"/>
      <c r="M15" s="13"/>
      <c r="N15" s="13"/>
      <c r="S15" s="13"/>
      <c r="T15" s="13"/>
      <c r="U15" s="13"/>
    </row>
    <row r="16" spans="1:21" x14ac:dyDescent="0.2">
      <c r="L16" s="13"/>
      <c r="M16" s="13"/>
      <c r="N16" s="13"/>
      <c r="S16" s="13"/>
      <c r="T16" s="13"/>
      <c r="U16" s="13"/>
    </row>
    <row r="17" spans="12:22" x14ac:dyDescent="0.2">
      <c r="L17" s="13"/>
      <c r="M17" s="13"/>
      <c r="N17" s="13"/>
      <c r="S17" s="13"/>
      <c r="T17" s="13"/>
      <c r="U17" s="13"/>
    </row>
    <row r="18" spans="12:22" x14ac:dyDescent="0.2">
      <c r="L18" s="13"/>
      <c r="M18" s="13"/>
      <c r="N18" s="13"/>
      <c r="S18" s="13"/>
      <c r="T18" s="13"/>
      <c r="U18" s="13"/>
    </row>
    <row r="19" spans="12:22" x14ac:dyDescent="0.2">
      <c r="L19" s="13"/>
      <c r="M19" s="13"/>
      <c r="N19" s="13"/>
      <c r="S19" s="13"/>
      <c r="T19" s="13"/>
      <c r="U19" s="13"/>
    </row>
    <row r="21" spans="12:22" x14ac:dyDescent="0.2">
      <c r="L21" s="17"/>
      <c r="M21" s="17"/>
      <c r="N21" s="17"/>
      <c r="S21" s="17"/>
      <c r="T21" s="17"/>
      <c r="U21" s="17"/>
    </row>
    <row r="22" spans="12:22" x14ac:dyDescent="0.2">
      <c r="L22" s="17"/>
      <c r="M22" s="17"/>
      <c r="N22" s="17"/>
      <c r="S22" s="17"/>
      <c r="T22" s="17"/>
      <c r="U22" s="17"/>
    </row>
    <row r="23" spans="12:22" x14ac:dyDescent="0.2">
      <c r="L23" s="17"/>
      <c r="M23" s="17"/>
      <c r="N23" s="17"/>
      <c r="S23" s="17"/>
      <c r="T23" s="17"/>
      <c r="U23" s="17"/>
    </row>
    <row r="24" spans="12:22" x14ac:dyDescent="0.2">
      <c r="L24" s="17"/>
      <c r="M24" s="17"/>
      <c r="N24" s="17"/>
      <c r="S24" s="17"/>
      <c r="T24" s="17"/>
      <c r="U24" s="17"/>
    </row>
    <row r="29" spans="12:22" x14ac:dyDescent="0.2">
      <c r="L29" s="17"/>
      <c r="M29" s="17"/>
      <c r="S29" s="17"/>
      <c r="T29" s="17"/>
    </row>
    <row r="30" spans="12:22" x14ac:dyDescent="0.2">
      <c r="L30" s="17"/>
      <c r="M30" s="17"/>
      <c r="S30" s="17"/>
      <c r="T30" s="17"/>
    </row>
    <row r="32" spans="12:22" x14ac:dyDescent="0.2">
      <c r="O32" s="15"/>
      <c r="V32" s="15"/>
    </row>
    <row r="33" spans="15:22" x14ac:dyDescent="0.2">
      <c r="O33" s="15"/>
      <c r="V33" s="15"/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6"/>
  <sheetViews>
    <sheetView workbookViewId="0">
      <selection activeCell="E11" sqref="E11"/>
    </sheetView>
  </sheetViews>
  <sheetFormatPr baseColWidth="10" defaultColWidth="8.6640625" defaultRowHeight="15" x14ac:dyDescent="0.2"/>
  <sheetData>
    <row r="1" spans="1:8" x14ac:dyDescent="0.2">
      <c r="A1" s="8" t="s">
        <v>63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58</v>
      </c>
      <c r="B2">
        <v>15.5</v>
      </c>
      <c r="H2" t="s">
        <v>59</v>
      </c>
    </row>
    <row r="3" spans="1:8" x14ac:dyDescent="0.2">
      <c r="A3" t="s">
        <v>162</v>
      </c>
      <c r="B3" s="5">
        <v>0.3</v>
      </c>
      <c r="C3" s="5">
        <v>0.1</v>
      </c>
      <c r="D3" s="5">
        <v>0.5</v>
      </c>
    </row>
    <row r="4" spans="1:8" x14ac:dyDescent="0.2">
      <c r="A4" t="s">
        <v>196</v>
      </c>
      <c r="B4" s="5">
        <v>0.1</v>
      </c>
      <c r="C4" s="5">
        <v>0</v>
      </c>
      <c r="D4" s="5">
        <v>0.2</v>
      </c>
    </row>
    <row r="5" spans="1:8" x14ac:dyDescent="0.2">
      <c r="A5" t="s">
        <v>165</v>
      </c>
      <c r="B5" s="5">
        <v>1</v>
      </c>
      <c r="C5" s="5">
        <v>0.5</v>
      </c>
      <c r="D5" s="5">
        <v>1.5</v>
      </c>
    </row>
    <row r="6" spans="1:8" x14ac:dyDescent="0.2">
      <c r="A6" t="s">
        <v>174</v>
      </c>
      <c r="B6">
        <v>0.9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G11"/>
  <sheetViews>
    <sheetView workbookViewId="0">
      <selection activeCell="V16" sqref="V16"/>
    </sheetView>
  </sheetViews>
  <sheetFormatPr baseColWidth="10" defaultColWidth="8.6640625" defaultRowHeight="15" x14ac:dyDescent="0.2"/>
  <sheetData>
    <row r="1" spans="1:7" x14ac:dyDescent="0.2">
      <c r="A1" t="s">
        <v>102</v>
      </c>
      <c r="B1" t="s">
        <v>103</v>
      </c>
      <c r="C1" t="s">
        <v>34</v>
      </c>
      <c r="D1" t="s">
        <v>35</v>
      </c>
      <c r="E1" t="s">
        <v>7</v>
      </c>
      <c r="F1" t="s">
        <v>8</v>
      </c>
      <c r="G1" t="s">
        <v>37</v>
      </c>
    </row>
    <row r="2" spans="1:7" x14ac:dyDescent="0.2">
      <c r="A2">
        <v>2015</v>
      </c>
      <c r="B2" t="s">
        <v>104</v>
      </c>
      <c r="C2">
        <f>ROUND(C4/3090*932,0)</f>
        <v>4</v>
      </c>
      <c r="D2">
        <f t="shared" ref="D2:AO2" si="0">ROUND(D4/3090*932,0)</f>
        <v>10</v>
      </c>
      <c r="E2">
        <f t="shared" si="0"/>
        <v>36</v>
      </c>
      <c r="F2">
        <f t="shared" si="0"/>
        <v>5</v>
      </c>
      <c r="G2">
        <f t="shared" si="0"/>
        <v>5</v>
      </c>
    </row>
    <row r="3" spans="1:7" x14ac:dyDescent="0.2">
      <c r="A3">
        <v>2015</v>
      </c>
      <c r="B3" t="s">
        <v>105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2016</v>
      </c>
      <c r="B4" t="s">
        <v>104</v>
      </c>
      <c r="C4">
        <v>12</v>
      </c>
      <c r="D4">
        <v>32</v>
      </c>
      <c r="E4">
        <v>121</v>
      </c>
      <c r="F4">
        <v>16</v>
      </c>
      <c r="G4">
        <v>16</v>
      </c>
    </row>
    <row r="5" spans="1:7" x14ac:dyDescent="0.2">
      <c r="A5">
        <v>2016</v>
      </c>
      <c r="B5" t="s">
        <v>105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2017</v>
      </c>
      <c r="B6" t="s">
        <v>104</v>
      </c>
      <c r="C6">
        <v>7</v>
      </c>
      <c r="D6">
        <v>35</v>
      </c>
      <c r="E6">
        <v>28</v>
      </c>
      <c r="F6">
        <v>53</v>
      </c>
      <c r="G6">
        <v>27</v>
      </c>
    </row>
    <row r="7" spans="1:7" x14ac:dyDescent="0.2">
      <c r="A7">
        <v>2017</v>
      </c>
      <c r="B7" t="s">
        <v>105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2018</v>
      </c>
      <c r="B8" t="s">
        <v>104</v>
      </c>
      <c r="C8">
        <v>44</v>
      </c>
      <c r="D8">
        <v>103</v>
      </c>
      <c r="E8">
        <v>57</v>
      </c>
      <c r="F8">
        <v>85</v>
      </c>
      <c r="G8">
        <v>32</v>
      </c>
    </row>
    <row r="9" spans="1:7" x14ac:dyDescent="0.2">
      <c r="A9">
        <v>2018</v>
      </c>
      <c r="B9" t="s">
        <v>105</v>
      </c>
      <c r="C9">
        <v>3</v>
      </c>
      <c r="D9">
        <v>2</v>
      </c>
      <c r="E9">
        <v>4</v>
      </c>
      <c r="F9">
        <v>6</v>
      </c>
      <c r="G9">
        <v>0</v>
      </c>
    </row>
    <row r="10" spans="1:7" x14ac:dyDescent="0.2">
      <c r="A10">
        <v>2019</v>
      </c>
      <c r="B10" t="s">
        <v>104</v>
      </c>
      <c r="C10">
        <v>55</v>
      </c>
      <c r="D10">
        <v>209</v>
      </c>
      <c r="E10">
        <v>92</v>
      </c>
      <c r="F10">
        <v>91</v>
      </c>
      <c r="G10">
        <v>13</v>
      </c>
    </row>
    <row r="11" spans="1:7" x14ac:dyDescent="0.2">
      <c r="A11">
        <v>2019</v>
      </c>
      <c r="B11" t="s">
        <v>105</v>
      </c>
      <c r="C11">
        <v>60</v>
      </c>
      <c r="D11">
        <v>68</v>
      </c>
      <c r="E11">
        <v>1</v>
      </c>
      <c r="F11">
        <v>10</v>
      </c>
      <c r="G11">
        <v>3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workbookViewId="0">
      <selection activeCell="M36" sqref="M36"/>
    </sheetView>
  </sheetViews>
  <sheetFormatPr baseColWidth="10" defaultColWidth="8.6640625" defaultRowHeight="15" x14ac:dyDescent="0.2"/>
  <sheetData>
    <row r="1" spans="1:2" x14ac:dyDescent="0.2">
      <c r="A1" t="s">
        <v>102</v>
      </c>
      <c r="B1" t="s">
        <v>0</v>
      </c>
    </row>
    <row r="2" spans="1:2" x14ac:dyDescent="0.2">
      <c r="A2">
        <v>2015</v>
      </c>
      <c r="B2">
        <v>979</v>
      </c>
    </row>
    <row r="3" spans="1:2" x14ac:dyDescent="0.2">
      <c r="A3">
        <v>2016</v>
      </c>
      <c r="B3">
        <v>2564</v>
      </c>
    </row>
    <row r="4" spans="1:2" x14ac:dyDescent="0.2">
      <c r="A4">
        <v>2017</v>
      </c>
      <c r="B4">
        <v>2893</v>
      </c>
    </row>
    <row r="5" spans="1:2" x14ac:dyDescent="0.2">
      <c r="A5">
        <v>2018</v>
      </c>
      <c r="B5">
        <v>8007</v>
      </c>
    </row>
    <row r="6" spans="1:2" x14ac:dyDescent="0.2">
      <c r="A6">
        <v>2019</v>
      </c>
      <c r="B6">
        <v>11098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I9" sqref="I9"/>
    </sheetView>
  </sheetViews>
  <sheetFormatPr baseColWidth="10" defaultColWidth="9.1640625" defaultRowHeight="15" x14ac:dyDescent="0.2"/>
  <cols>
    <col min="1" max="1" width="16.6640625" style="19" customWidth="1"/>
    <col min="2" max="16384" width="9.1640625" style="19"/>
  </cols>
  <sheetData>
    <row r="1" spans="1:40" x14ac:dyDescent="0.2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">
      <c r="A5" s="19" t="s">
        <v>134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/>
  </sheetViews>
  <sheetFormatPr baseColWidth="10" defaultColWidth="8.6640625" defaultRowHeight="15" x14ac:dyDescent="0.2"/>
  <sheetData>
    <row r="1" spans="1:8" x14ac:dyDescent="0.2">
      <c r="A1" s="8" t="s">
        <v>63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121</v>
      </c>
      <c r="B2">
        <v>1019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</row>
    <row r="3" spans="1:8" x14ac:dyDescent="0.2">
      <c r="A3" t="s">
        <v>122</v>
      </c>
      <c r="B3">
        <v>1511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</row>
    <row r="4" spans="1:8" x14ac:dyDescent="0.2">
      <c r="A4" t="s">
        <v>123</v>
      </c>
      <c r="B4">
        <v>1511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</row>
    <row r="5" spans="1:8" x14ac:dyDescent="0.2">
      <c r="A5" t="s">
        <v>124</v>
      </c>
      <c r="B5">
        <v>631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</row>
    <row r="6" spans="1:8" x14ac:dyDescent="0.2">
      <c r="A6" t="s">
        <v>125</v>
      </c>
      <c r="B6" s="5">
        <v>2000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</row>
    <row r="7" spans="1:8" x14ac:dyDescent="0.2">
      <c r="A7" t="s">
        <v>126</v>
      </c>
      <c r="B7">
        <v>61.5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</row>
    <row r="8" spans="1:8" x14ac:dyDescent="0.2">
      <c r="A8" t="s">
        <v>127</v>
      </c>
      <c r="B8">
        <v>10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</row>
    <row r="9" spans="1:8" x14ac:dyDescent="0.2">
      <c r="A9" t="s">
        <v>128</v>
      </c>
      <c r="B9">
        <v>500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</row>
    <row r="10" spans="1:8" x14ac:dyDescent="0.2">
      <c r="A10" t="s">
        <v>129</v>
      </c>
      <c r="B10" s="5">
        <v>1034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Q46" sqref="Q46"/>
    </sheetView>
  </sheetViews>
  <sheetFormatPr baseColWidth="10" defaultColWidth="8.6640625" defaultRowHeight="15" x14ac:dyDescent="0.2"/>
  <sheetData>
    <row r="1" spans="1:3" x14ac:dyDescent="0.2">
      <c r="A1" s="8" t="s">
        <v>63</v>
      </c>
      <c r="B1" s="8" t="s">
        <v>102</v>
      </c>
      <c r="C1" s="8" t="s">
        <v>0</v>
      </c>
    </row>
    <row r="2" spans="1:3" x14ac:dyDescent="0.2">
      <c r="A2" s="24" t="s">
        <v>173</v>
      </c>
      <c r="B2" s="24">
        <v>2016</v>
      </c>
      <c r="C2" s="24">
        <v>290</v>
      </c>
    </row>
    <row r="3" spans="1:3" x14ac:dyDescent="0.2">
      <c r="A3" s="24" t="s">
        <v>173</v>
      </c>
      <c r="B3" s="24">
        <v>2017</v>
      </c>
      <c r="C3" s="24">
        <v>286</v>
      </c>
    </row>
    <row r="4" spans="1:3" x14ac:dyDescent="0.2">
      <c r="A4" s="24" t="s">
        <v>173</v>
      </c>
      <c r="B4" s="24">
        <v>2018</v>
      </c>
      <c r="C4" s="24">
        <v>272</v>
      </c>
    </row>
    <row r="5" spans="1:3" x14ac:dyDescent="0.2">
      <c r="A5" s="24" t="s">
        <v>173</v>
      </c>
      <c r="B5" s="24">
        <v>2019</v>
      </c>
      <c r="C5" s="24">
        <v>256</v>
      </c>
    </row>
    <row r="6" spans="1:3" x14ac:dyDescent="0.2">
      <c r="A6" s="24" t="s">
        <v>169</v>
      </c>
      <c r="B6">
        <v>2016</v>
      </c>
      <c r="C6" s="2">
        <f>197/290</f>
        <v>0.67931034482758623</v>
      </c>
    </row>
    <row r="7" spans="1:3" x14ac:dyDescent="0.2">
      <c r="A7" s="24" t="s">
        <v>169</v>
      </c>
      <c r="B7">
        <v>2017</v>
      </c>
      <c r="C7" s="2">
        <f>207/286</f>
        <v>0.72377622377622375</v>
      </c>
    </row>
    <row r="8" spans="1:3" x14ac:dyDescent="0.2">
      <c r="A8" s="24" t="s">
        <v>169</v>
      </c>
      <c r="B8">
        <v>2018</v>
      </c>
      <c r="C8" s="2">
        <f>226/272</f>
        <v>0.83088235294117652</v>
      </c>
    </row>
    <row r="9" spans="1:3" x14ac:dyDescent="0.2">
      <c r="A9" s="24" t="s">
        <v>169</v>
      </c>
      <c r="B9">
        <v>2019</v>
      </c>
      <c r="C9" s="2">
        <f>214/256</f>
        <v>0.8359375</v>
      </c>
    </row>
    <row r="10" spans="1:3" x14ac:dyDescent="0.2">
      <c r="A10" t="s">
        <v>168</v>
      </c>
      <c r="B10">
        <v>2016</v>
      </c>
      <c r="C10">
        <f>110+108+107+149+147+169+151+167+134+132+107+127</f>
        <v>1608</v>
      </c>
    </row>
    <row r="11" spans="1:3" x14ac:dyDescent="0.2">
      <c r="A11" t="s">
        <v>168</v>
      </c>
      <c r="B11">
        <v>2017</v>
      </c>
      <c r="C11">
        <f>124+109+106+150+121+153+141+165+156+171+139+144</f>
        <v>1679</v>
      </c>
    </row>
    <row r="12" spans="1:3" x14ac:dyDescent="0.2">
      <c r="A12" t="s">
        <v>168</v>
      </c>
      <c r="B12">
        <v>2018</v>
      </c>
      <c r="C12">
        <f>114+102+119+134+163+142+120+149+112+139+148+119</f>
        <v>1561</v>
      </c>
    </row>
    <row r="13" spans="1:3" x14ac:dyDescent="0.2">
      <c r="A13" t="s">
        <v>168</v>
      </c>
      <c r="B13">
        <v>2019</v>
      </c>
      <c r="C13">
        <f>141+93+115+160+177+123+120+162+154+150+124+133</f>
        <v>1652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2"/>
  <sheetViews>
    <sheetView tabSelected="1" workbookViewId="0">
      <selection activeCell="D16" sqref="D16"/>
    </sheetView>
  </sheetViews>
  <sheetFormatPr baseColWidth="10" defaultColWidth="8.6640625" defaultRowHeight="15" x14ac:dyDescent="0.2"/>
  <cols>
    <col min="9" max="9" width="10.33203125" customWidth="1"/>
    <col min="10" max="10" width="10.5" customWidth="1"/>
    <col min="11" max="11" width="11.5" customWidth="1"/>
  </cols>
  <sheetData>
    <row r="1" spans="1:81" x14ac:dyDescent="0.2">
      <c r="A1" s="8" t="s">
        <v>46</v>
      </c>
      <c r="B1" s="8" t="s">
        <v>78</v>
      </c>
      <c r="C1" s="8" t="s">
        <v>79</v>
      </c>
      <c r="D1" s="8" t="s">
        <v>34</v>
      </c>
      <c r="E1" s="8" t="s">
        <v>35</v>
      </c>
      <c r="F1" s="8" t="s">
        <v>7</v>
      </c>
      <c r="G1" s="8" t="s">
        <v>134</v>
      </c>
      <c r="H1" s="8" t="s">
        <v>37</v>
      </c>
      <c r="I1" s="8"/>
      <c r="J1" s="8"/>
      <c r="K1" s="8"/>
      <c r="L1" s="8"/>
      <c r="M1" s="8"/>
      <c r="N1" s="8"/>
      <c r="O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spans="1:81" x14ac:dyDescent="0.2">
      <c r="A2" t="s">
        <v>51</v>
      </c>
      <c r="B2" t="s">
        <v>80</v>
      </c>
      <c r="C2" t="s">
        <v>71</v>
      </c>
      <c r="D2" s="11">
        <v>13</v>
      </c>
      <c r="E2" s="11">
        <v>9</v>
      </c>
      <c r="F2" s="11">
        <v>10</v>
      </c>
      <c r="G2" s="11">
        <v>2</v>
      </c>
      <c r="H2" s="11">
        <v>4</v>
      </c>
      <c r="I2" s="11"/>
      <c r="J2" s="11"/>
      <c r="K2" s="11"/>
      <c r="L2" s="11"/>
      <c r="M2" s="11"/>
      <c r="N2" s="11"/>
      <c r="O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">
      <c r="A3" t="s">
        <v>51</v>
      </c>
      <c r="B3" t="s">
        <v>80</v>
      </c>
      <c r="C3" t="s">
        <v>72</v>
      </c>
      <c r="D3" s="11">
        <v>7</v>
      </c>
      <c r="E3" s="11">
        <v>31</v>
      </c>
      <c r="F3" s="11">
        <v>9</v>
      </c>
      <c r="G3" s="11">
        <v>4</v>
      </c>
      <c r="H3" s="11">
        <v>4</v>
      </c>
      <c r="I3" s="11"/>
      <c r="J3" s="11"/>
      <c r="K3" s="11"/>
      <c r="L3" s="11"/>
      <c r="M3" s="11"/>
      <c r="N3" s="11"/>
      <c r="O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">
      <c r="A4" t="s">
        <v>51</v>
      </c>
      <c r="B4" t="s">
        <v>80</v>
      </c>
      <c r="C4" t="s">
        <v>73</v>
      </c>
      <c r="D4" s="11">
        <v>4</v>
      </c>
      <c r="E4" s="11">
        <v>14</v>
      </c>
      <c r="F4" s="11">
        <v>10</v>
      </c>
      <c r="G4" s="11">
        <v>5</v>
      </c>
      <c r="H4" s="11">
        <v>4</v>
      </c>
      <c r="I4" s="11"/>
      <c r="J4" s="11"/>
      <c r="K4" s="11"/>
      <c r="L4" s="11"/>
      <c r="M4" s="11"/>
      <c r="N4" s="11"/>
      <c r="O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">
      <c r="A5" t="s">
        <v>51</v>
      </c>
      <c r="B5" t="s">
        <v>80</v>
      </c>
      <c r="C5" t="s">
        <v>74</v>
      </c>
      <c r="D5" s="11">
        <v>23</v>
      </c>
      <c r="E5" s="11">
        <v>27</v>
      </c>
      <c r="F5" s="11">
        <v>26</v>
      </c>
      <c r="G5" s="11">
        <v>7</v>
      </c>
      <c r="H5" s="11">
        <v>11</v>
      </c>
      <c r="I5" s="11"/>
      <c r="J5" s="11"/>
      <c r="K5" s="11"/>
      <c r="L5" s="11"/>
      <c r="M5" s="11"/>
      <c r="N5" s="11"/>
      <c r="O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">
      <c r="A6" t="s">
        <v>51</v>
      </c>
      <c r="B6" t="s">
        <v>80</v>
      </c>
      <c r="C6" t="s">
        <v>75</v>
      </c>
      <c r="D6" s="11">
        <v>26</v>
      </c>
      <c r="E6" s="11">
        <v>30</v>
      </c>
      <c r="F6" s="11">
        <v>27</v>
      </c>
      <c r="G6" s="11">
        <v>8</v>
      </c>
      <c r="H6" s="11">
        <v>14</v>
      </c>
      <c r="I6" s="11"/>
      <c r="J6" s="11"/>
      <c r="K6" s="11"/>
      <c r="L6" s="11"/>
      <c r="M6" s="11"/>
      <c r="N6" s="11"/>
      <c r="O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">
      <c r="A7" t="s">
        <v>51</v>
      </c>
      <c r="B7" t="s">
        <v>80</v>
      </c>
      <c r="C7" t="s">
        <v>76</v>
      </c>
      <c r="D7" s="11">
        <v>14</v>
      </c>
      <c r="E7" s="11">
        <v>25</v>
      </c>
      <c r="F7" s="11">
        <v>12</v>
      </c>
      <c r="G7" s="11">
        <v>6</v>
      </c>
      <c r="H7" s="11">
        <v>9</v>
      </c>
      <c r="I7" s="11"/>
      <c r="J7" s="11"/>
      <c r="K7" s="11"/>
      <c r="L7" s="11"/>
      <c r="M7" s="11"/>
      <c r="N7" s="11"/>
      <c r="O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">
      <c r="A8" t="s">
        <v>51</v>
      </c>
      <c r="B8" t="s">
        <v>81</v>
      </c>
      <c r="C8" t="s">
        <v>71</v>
      </c>
      <c r="D8" s="11">
        <v>0</v>
      </c>
      <c r="E8" s="11">
        <v>0</v>
      </c>
      <c r="F8" s="11">
        <v>0</v>
      </c>
      <c r="G8" s="11">
        <v>2</v>
      </c>
      <c r="H8" s="11">
        <v>0</v>
      </c>
      <c r="I8" s="11"/>
      <c r="J8" s="11"/>
      <c r="K8" s="11"/>
      <c r="L8" s="11"/>
      <c r="M8" s="11"/>
      <c r="N8" s="11"/>
      <c r="O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81" x14ac:dyDescent="0.2">
      <c r="A9" t="s">
        <v>51</v>
      </c>
      <c r="B9" t="s">
        <v>81</v>
      </c>
      <c r="C9" t="s">
        <v>72</v>
      </c>
      <c r="D9" s="11">
        <v>0</v>
      </c>
      <c r="E9" s="11">
        <v>0</v>
      </c>
      <c r="F9" s="11">
        <v>0</v>
      </c>
      <c r="G9" s="11">
        <v>2</v>
      </c>
      <c r="H9" s="11">
        <v>0</v>
      </c>
      <c r="I9" s="11"/>
      <c r="J9" s="11"/>
      <c r="K9" s="11"/>
      <c r="L9" s="11"/>
      <c r="M9" s="11"/>
      <c r="N9" s="11"/>
      <c r="O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81" x14ac:dyDescent="0.2">
      <c r="A10" t="s">
        <v>51</v>
      </c>
      <c r="B10" t="s">
        <v>81</v>
      </c>
      <c r="C10" t="s">
        <v>73</v>
      </c>
      <c r="D10" s="11">
        <v>0</v>
      </c>
      <c r="E10" s="11">
        <v>0</v>
      </c>
      <c r="F10" s="11">
        <v>0</v>
      </c>
      <c r="G10" s="11">
        <v>2</v>
      </c>
      <c r="H10" s="11">
        <v>0</v>
      </c>
      <c r="I10" s="11"/>
      <c r="J10" s="11"/>
      <c r="K10" s="11"/>
      <c r="L10" s="11"/>
      <c r="M10" s="11"/>
      <c r="N10" s="11"/>
      <c r="O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81" x14ac:dyDescent="0.2">
      <c r="A11" t="s">
        <v>51</v>
      </c>
      <c r="B11" t="s">
        <v>81</v>
      </c>
      <c r="C11" t="s">
        <v>74</v>
      </c>
      <c r="D11" s="11">
        <v>0</v>
      </c>
      <c r="E11" s="11">
        <v>0</v>
      </c>
      <c r="F11" s="11">
        <v>0</v>
      </c>
      <c r="G11" s="11">
        <v>3</v>
      </c>
      <c r="H11" s="11">
        <v>0</v>
      </c>
      <c r="I11" s="11"/>
      <c r="J11" s="11"/>
      <c r="K11" s="11"/>
      <c r="L11" s="11"/>
      <c r="M11" s="11"/>
      <c r="N11" s="11"/>
      <c r="O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81" x14ac:dyDescent="0.2">
      <c r="A12" t="s">
        <v>51</v>
      </c>
      <c r="B12" t="s">
        <v>81</v>
      </c>
      <c r="C12" t="s">
        <v>75</v>
      </c>
      <c r="D12" s="11">
        <v>0</v>
      </c>
      <c r="E12" s="11">
        <v>0</v>
      </c>
      <c r="F12" s="11">
        <v>0</v>
      </c>
      <c r="G12" s="11">
        <v>1</v>
      </c>
      <c r="H12" s="11">
        <v>0</v>
      </c>
      <c r="I12" s="11"/>
      <c r="J12" s="11"/>
      <c r="K12" s="11"/>
      <c r="L12" s="11"/>
      <c r="M12" s="11"/>
      <c r="N12" s="11"/>
      <c r="O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81" x14ac:dyDescent="0.2">
      <c r="A13" t="s">
        <v>51</v>
      </c>
      <c r="B13" t="s">
        <v>81</v>
      </c>
      <c r="C13" t="s">
        <v>76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/>
      <c r="J13" s="11"/>
      <c r="K13" s="11"/>
      <c r="L13" s="11"/>
      <c r="M13" s="11"/>
      <c r="N13" s="11"/>
      <c r="O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81" x14ac:dyDescent="0.2">
      <c r="A14" t="s">
        <v>51</v>
      </c>
      <c r="B14" t="s">
        <v>83</v>
      </c>
      <c r="C14" t="s">
        <v>71</v>
      </c>
      <c r="D14" s="11">
        <v>0</v>
      </c>
      <c r="E14" s="11">
        <v>0</v>
      </c>
      <c r="F14" s="11">
        <v>0</v>
      </c>
      <c r="G14" s="11">
        <v>10</v>
      </c>
      <c r="H14" s="11">
        <v>0</v>
      </c>
      <c r="I14" s="11"/>
      <c r="J14" s="11"/>
      <c r="K14" s="11"/>
      <c r="L14" s="11"/>
      <c r="M14" s="11"/>
      <c r="N14" s="11"/>
      <c r="O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81" x14ac:dyDescent="0.2">
      <c r="A15" t="s">
        <v>51</v>
      </c>
      <c r="B15" t="s">
        <v>83</v>
      </c>
      <c r="C15" t="s">
        <v>72</v>
      </c>
      <c r="D15" s="11">
        <v>0</v>
      </c>
      <c r="E15" s="11">
        <v>1</v>
      </c>
      <c r="F15" s="11">
        <v>0</v>
      </c>
      <c r="G15" s="11">
        <v>14</v>
      </c>
      <c r="H15" s="11">
        <v>0</v>
      </c>
      <c r="I15" s="11"/>
      <c r="J15" s="11"/>
      <c r="K15" s="11"/>
      <c r="L15" s="11"/>
      <c r="M15" s="11"/>
      <c r="N15" s="11"/>
      <c r="O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81" x14ac:dyDescent="0.2">
      <c r="A16" t="s">
        <v>51</v>
      </c>
      <c r="B16" t="s">
        <v>83</v>
      </c>
      <c r="C16" t="s">
        <v>73</v>
      </c>
      <c r="D16" s="11">
        <v>0</v>
      </c>
      <c r="E16" s="11">
        <v>1</v>
      </c>
      <c r="F16" s="11">
        <v>0</v>
      </c>
      <c r="G16" s="11">
        <v>15</v>
      </c>
      <c r="H16" s="11">
        <v>0</v>
      </c>
      <c r="I16" s="11"/>
      <c r="J16" s="11"/>
      <c r="K16" s="11"/>
      <c r="L16" s="11"/>
      <c r="M16" s="11"/>
      <c r="N16" s="11"/>
      <c r="O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x14ac:dyDescent="0.2">
      <c r="A17" t="s">
        <v>51</v>
      </c>
      <c r="B17" t="s">
        <v>83</v>
      </c>
      <c r="C17" t="s">
        <v>74</v>
      </c>
      <c r="D17" s="11">
        <v>0</v>
      </c>
      <c r="E17" s="11">
        <v>0</v>
      </c>
      <c r="F17" s="11">
        <v>0</v>
      </c>
      <c r="G17" s="11">
        <v>17</v>
      </c>
      <c r="H17" s="11">
        <v>0</v>
      </c>
      <c r="I17" s="11"/>
      <c r="J17" s="11"/>
      <c r="K17" s="11"/>
      <c r="L17" s="11"/>
      <c r="M17" s="11"/>
      <c r="N17" s="11"/>
      <c r="O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x14ac:dyDescent="0.2">
      <c r="A18" t="s">
        <v>51</v>
      </c>
      <c r="B18" t="s">
        <v>83</v>
      </c>
      <c r="C18" t="s">
        <v>75</v>
      </c>
      <c r="D18" s="11">
        <v>10</v>
      </c>
      <c r="E18" s="11">
        <v>0</v>
      </c>
      <c r="F18" s="11">
        <v>0</v>
      </c>
      <c r="G18" s="11">
        <v>8</v>
      </c>
      <c r="H18" s="11">
        <v>0</v>
      </c>
      <c r="I18" s="11"/>
      <c r="J18" s="11"/>
      <c r="K18" s="11"/>
      <c r="L18" s="11"/>
      <c r="M18" s="11"/>
      <c r="N18" s="11"/>
      <c r="O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x14ac:dyDescent="0.2">
      <c r="A19" t="s">
        <v>51</v>
      </c>
      <c r="B19" t="s">
        <v>83</v>
      </c>
      <c r="C19" t="s">
        <v>76</v>
      </c>
      <c r="D19" s="11">
        <v>0</v>
      </c>
      <c r="E19" s="11">
        <v>0</v>
      </c>
      <c r="F19" s="11">
        <v>0</v>
      </c>
      <c r="G19" s="11">
        <v>3</v>
      </c>
      <c r="H19" s="11">
        <v>0</v>
      </c>
      <c r="I19" s="11"/>
      <c r="J19" s="11"/>
      <c r="K19" s="11"/>
      <c r="L19" s="11"/>
      <c r="M19" s="11"/>
      <c r="N19" s="11"/>
      <c r="O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x14ac:dyDescent="0.2">
      <c r="A20" t="s">
        <v>51</v>
      </c>
      <c r="B20" t="s">
        <v>82</v>
      </c>
      <c r="C20" t="s">
        <v>71</v>
      </c>
      <c r="D20" s="11">
        <v>1</v>
      </c>
      <c r="E20" s="11">
        <v>0</v>
      </c>
      <c r="F20" s="11">
        <v>0</v>
      </c>
      <c r="G20" s="11">
        <v>1</v>
      </c>
      <c r="H20" s="11">
        <v>0</v>
      </c>
      <c r="I20" s="11"/>
      <c r="J20" s="11"/>
      <c r="K20" s="11"/>
      <c r="L20" s="11"/>
      <c r="M20" s="11"/>
      <c r="N20" s="11"/>
      <c r="O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x14ac:dyDescent="0.2">
      <c r="A21" t="s">
        <v>51</v>
      </c>
      <c r="B21" t="s">
        <v>82</v>
      </c>
      <c r="C21" t="s">
        <v>72</v>
      </c>
      <c r="D21" s="11">
        <v>0</v>
      </c>
      <c r="E21" s="11">
        <v>1</v>
      </c>
      <c r="F21" s="11">
        <v>0</v>
      </c>
      <c r="G21" s="11">
        <v>1</v>
      </c>
      <c r="H21" s="11">
        <v>0</v>
      </c>
      <c r="I21" s="11"/>
      <c r="J21" s="11"/>
      <c r="K21" s="11"/>
      <c r="L21" s="11"/>
      <c r="M21" s="11"/>
      <c r="N21" s="11"/>
      <c r="O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1:42" x14ac:dyDescent="0.2">
      <c r="A22" t="s">
        <v>51</v>
      </c>
      <c r="B22" t="s">
        <v>82</v>
      </c>
      <c r="C22" t="s">
        <v>73</v>
      </c>
      <c r="D22" s="11">
        <v>0</v>
      </c>
      <c r="E22" s="11">
        <v>0</v>
      </c>
      <c r="F22" s="11">
        <v>0</v>
      </c>
      <c r="G22" s="11">
        <v>1</v>
      </c>
      <c r="H22" s="11">
        <v>0</v>
      </c>
      <c r="I22" s="11"/>
      <c r="J22" s="11"/>
      <c r="K22" s="11"/>
      <c r="L22" s="11"/>
      <c r="M22" s="11"/>
      <c r="N22" s="11"/>
      <c r="O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x14ac:dyDescent="0.2">
      <c r="A23" t="s">
        <v>51</v>
      </c>
      <c r="B23" t="s">
        <v>82</v>
      </c>
      <c r="C23" t="s">
        <v>74</v>
      </c>
      <c r="D23" s="11">
        <v>1</v>
      </c>
      <c r="E23" s="11">
        <v>0</v>
      </c>
      <c r="F23" s="11">
        <v>0</v>
      </c>
      <c r="G23" s="11">
        <v>1</v>
      </c>
      <c r="H23" s="11">
        <v>1</v>
      </c>
      <c r="I23" s="11"/>
      <c r="J23" s="11"/>
      <c r="K23" s="11"/>
      <c r="L23" s="11"/>
      <c r="M23" s="11"/>
      <c r="N23" s="11"/>
      <c r="O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x14ac:dyDescent="0.2">
      <c r="A24" t="s">
        <v>51</v>
      </c>
      <c r="B24" t="s">
        <v>82</v>
      </c>
      <c r="C24" t="s">
        <v>75</v>
      </c>
      <c r="D24" s="11">
        <v>1</v>
      </c>
      <c r="E24" s="11">
        <v>0</v>
      </c>
      <c r="F24" s="11">
        <v>0</v>
      </c>
      <c r="G24" s="11">
        <v>1</v>
      </c>
      <c r="H24" s="11">
        <v>0</v>
      </c>
      <c r="I24" s="11"/>
      <c r="J24" s="11"/>
      <c r="K24" s="11"/>
      <c r="L24" s="11"/>
      <c r="M24" s="11"/>
      <c r="N24" s="11"/>
      <c r="O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x14ac:dyDescent="0.2">
      <c r="A25" t="s">
        <v>51</v>
      </c>
      <c r="B25" t="s">
        <v>82</v>
      </c>
      <c r="C25" t="s">
        <v>76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/>
      <c r="J25" s="11"/>
      <c r="K25" s="11"/>
      <c r="L25" s="11"/>
      <c r="M25" s="11"/>
      <c r="N25" s="11"/>
      <c r="O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x14ac:dyDescent="0.2">
      <c r="A26" t="s">
        <v>52</v>
      </c>
      <c r="B26" t="s">
        <v>80</v>
      </c>
      <c r="C26" t="s">
        <v>71</v>
      </c>
      <c r="D26" s="11">
        <v>11</v>
      </c>
      <c r="E26" s="11">
        <v>8</v>
      </c>
      <c r="F26" s="11">
        <v>8</v>
      </c>
      <c r="G26" s="11">
        <v>2</v>
      </c>
      <c r="H26" s="11">
        <v>4</v>
      </c>
      <c r="I26" s="11"/>
      <c r="J26" s="11"/>
      <c r="K26" s="11"/>
      <c r="L26" s="11"/>
      <c r="M26" s="11"/>
      <c r="N26" s="11"/>
      <c r="O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x14ac:dyDescent="0.2">
      <c r="A27" t="s">
        <v>52</v>
      </c>
      <c r="B27" t="s">
        <v>80</v>
      </c>
      <c r="C27" t="s">
        <v>72</v>
      </c>
      <c r="D27" s="11">
        <v>5</v>
      </c>
      <c r="E27" s="11">
        <v>30</v>
      </c>
      <c r="F27" s="11">
        <v>9</v>
      </c>
      <c r="G27" s="11">
        <v>3</v>
      </c>
      <c r="H27" s="11">
        <v>3</v>
      </c>
      <c r="I27" s="11"/>
      <c r="J27" s="11"/>
      <c r="K27" s="11"/>
      <c r="L27" s="11"/>
      <c r="M27" s="11"/>
      <c r="N27" s="11"/>
      <c r="O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x14ac:dyDescent="0.2">
      <c r="A28" t="s">
        <v>52</v>
      </c>
      <c r="B28" t="s">
        <v>80</v>
      </c>
      <c r="C28" t="s">
        <v>73</v>
      </c>
      <c r="D28" s="11">
        <v>6</v>
      </c>
      <c r="E28" s="11">
        <v>13</v>
      </c>
      <c r="F28" s="11">
        <v>10</v>
      </c>
      <c r="G28" s="11">
        <v>4</v>
      </c>
      <c r="H28" s="11">
        <v>4</v>
      </c>
      <c r="I28" s="11"/>
      <c r="J28" s="11"/>
      <c r="K28" s="11"/>
      <c r="L28" s="11"/>
      <c r="M28" s="11"/>
      <c r="N28" s="11"/>
      <c r="O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x14ac:dyDescent="0.2">
      <c r="A29" t="s">
        <v>52</v>
      </c>
      <c r="B29" t="s">
        <v>80</v>
      </c>
      <c r="C29" t="s">
        <v>74</v>
      </c>
      <c r="D29" s="11">
        <v>27</v>
      </c>
      <c r="E29" s="11">
        <v>29</v>
      </c>
      <c r="F29" s="11">
        <v>27</v>
      </c>
      <c r="G29" s="11">
        <v>7</v>
      </c>
      <c r="H29" s="11">
        <v>12</v>
      </c>
      <c r="I29" s="11"/>
      <c r="J29" s="11"/>
      <c r="K29" s="11"/>
      <c r="L29" s="11"/>
      <c r="M29" s="11"/>
      <c r="N29" s="11"/>
      <c r="O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x14ac:dyDescent="0.2">
      <c r="A30" t="s">
        <v>52</v>
      </c>
      <c r="B30" t="s">
        <v>80</v>
      </c>
      <c r="C30" t="s">
        <v>75</v>
      </c>
      <c r="D30" s="11">
        <v>28</v>
      </c>
      <c r="E30" s="11">
        <v>33</v>
      </c>
      <c r="F30" s="11">
        <v>26</v>
      </c>
      <c r="G30" s="11">
        <v>8</v>
      </c>
      <c r="H30" s="11">
        <v>14</v>
      </c>
      <c r="I30" s="11"/>
      <c r="J30" s="11"/>
      <c r="K30" s="11"/>
      <c r="L30" s="11"/>
      <c r="M30" s="11"/>
      <c r="N30" s="11"/>
      <c r="O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x14ac:dyDescent="0.2">
      <c r="A31" t="s">
        <v>52</v>
      </c>
      <c r="B31" t="s">
        <v>80</v>
      </c>
      <c r="C31" t="s">
        <v>76</v>
      </c>
      <c r="D31" s="11">
        <v>19</v>
      </c>
      <c r="E31" s="11">
        <v>32</v>
      </c>
      <c r="F31" s="11">
        <v>16</v>
      </c>
      <c r="G31" s="11">
        <v>10</v>
      </c>
      <c r="H31" s="11">
        <v>10</v>
      </c>
      <c r="I31" s="11"/>
      <c r="J31" s="11"/>
      <c r="K31" s="11"/>
      <c r="L31" s="11"/>
      <c r="M31" s="11"/>
      <c r="N31" s="11"/>
      <c r="O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x14ac:dyDescent="0.2">
      <c r="A32" t="s">
        <v>52</v>
      </c>
      <c r="B32" t="s">
        <v>81</v>
      </c>
      <c r="C32" t="s">
        <v>71</v>
      </c>
      <c r="D32" s="11">
        <v>0</v>
      </c>
      <c r="E32" s="11">
        <v>0</v>
      </c>
      <c r="F32" s="11">
        <v>0</v>
      </c>
      <c r="G32" s="11">
        <v>1</v>
      </c>
      <c r="H32" s="11">
        <v>0</v>
      </c>
      <c r="I32" s="11"/>
      <c r="J32" s="11"/>
      <c r="K32" s="11"/>
      <c r="L32" s="11"/>
      <c r="M32" s="11"/>
      <c r="N32" s="11"/>
      <c r="O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x14ac:dyDescent="0.2">
      <c r="A33" t="s">
        <v>52</v>
      </c>
      <c r="B33" t="s">
        <v>81</v>
      </c>
      <c r="C33" t="s">
        <v>72</v>
      </c>
      <c r="D33" s="11">
        <v>0</v>
      </c>
      <c r="E33" s="11">
        <v>0</v>
      </c>
      <c r="F33" s="11">
        <v>0</v>
      </c>
      <c r="G33" s="11">
        <v>2</v>
      </c>
      <c r="H33" s="11">
        <v>0</v>
      </c>
      <c r="I33" s="11"/>
      <c r="J33" s="11"/>
      <c r="K33" s="11"/>
      <c r="L33" s="11"/>
      <c r="M33" s="11"/>
      <c r="N33" s="11"/>
      <c r="O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x14ac:dyDescent="0.2">
      <c r="A34" t="s">
        <v>52</v>
      </c>
      <c r="B34" t="s">
        <v>81</v>
      </c>
      <c r="C34" t="s">
        <v>73</v>
      </c>
      <c r="D34" s="11">
        <v>0</v>
      </c>
      <c r="E34" s="11">
        <v>0</v>
      </c>
      <c r="F34" s="11">
        <v>0</v>
      </c>
      <c r="G34" s="11">
        <v>2</v>
      </c>
      <c r="H34" s="11">
        <v>0</v>
      </c>
      <c r="I34" s="11"/>
      <c r="J34" s="11"/>
      <c r="K34" s="11"/>
      <c r="L34" s="11"/>
      <c r="M34" s="11"/>
      <c r="N34" s="11"/>
      <c r="O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x14ac:dyDescent="0.2">
      <c r="A35" t="s">
        <v>52</v>
      </c>
      <c r="B35" t="s">
        <v>81</v>
      </c>
      <c r="C35" t="s">
        <v>74</v>
      </c>
      <c r="D35" s="11">
        <v>0</v>
      </c>
      <c r="E35" s="11">
        <v>0</v>
      </c>
      <c r="F35" s="11">
        <v>0</v>
      </c>
      <c r="G35" s="11">
        <v>3</v>
      </c>
      <c r="H35" s="11">
        <v>0</v>
      </c>
      <c r="I35" s="11"/>
      <c r="J35" s="11"/>
      <c r="K35" s="11"/>
      <c r="L35" s="11"/>
      <c r="M35" s="11"/>
      <c r="N35" s="11"/>
      <c r="O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x14ac:dyDescent="0.2">
      <c r="A36" t="s">
        <v>52</v>
      </c>
      <c r="B36" t="s">
        <v>81</v>
      </c>
      <c r="C36" t="s">
        <v>75</v>
      </c>
      <c r="D36" s="11">
        <v>0</v>
      </c>
      <c r="E36" s="11">
        <v>0</v>
      </c>
      <c r="F36" s="11">
        <v>0</v>
      </c>
      <c r="G36" s="11">
        <v>2</v>
      </c>
      <c r="H36" s="11">
        <v>0</v>
      </c>
      <c r="I36" s="11"/>
      <c r="J36" s="11"/>
      <c r="K36" s="11"/>
      <c r="L36" s="11"/>
      <c r="M36" s="11"/>
      <c r="N36" s="11"/>
      <c r="O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x14ac:dyDescent="0.2">
      <c r="A37" t="s">
        <v>52</v>
      </c>
      <c r="B37" t="s">
        <v>81</v>
      </c>
      <c r="C37" t="s">
        <v>76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/>
      <c r="J37" s="11"/>
      <c r="K37" s="11"/>
      <c r="L37" s="11"/>
      <c r="M37" s="11"/>
      <c r="N37" s="11"/>
      <c r="O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x14ac:dyDescent="0.2">
      <c r="A38" t="s">
        <v>52</v>
      </c>
      <c r="B38" t="s">
        <v>83</v>
      </c>
      <c r="C38" t="s">
        <v>71</v>
      </c>
      <c r="D38" s="11">
        <v>0</v>
      </c>
      <c r="E38" s="11">
        <v>0</v>
      </c>
      <c r="F38" s="11">
        <v>0</v>
      </c>
      <c r="G38" s="11">
        <v>9</v>
      </c>
      <c r="H38" s="11">
        <v>0</v>
      </c>
      <c r="I38" s="11"/>
      <c r="J38" s="11"/>
      <c r="K38" s="11"/>
      <c r="L38" s="11"/>
      <c r="M38" s="11"/>
      <c r="N38" s="11"/>
      <c r="O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x14ac:dyDescent="0.2">
      <c r="A39" t="s">
        <v>52</v>
      </c>
      <c r="B39" t="s">
        <v>83</v>
      </c>
      <c r="C39" t="s">
        <v>72</v>
      </c>
      <c r="D39" s="11">
        <v>0</v>
      </c>
      <c r="E39" s="11">
        <v>1</v>
      </c>
      <c r="F39" s="11">
        <v>0</v>
      </c>
      <c r="G39" s="11">
        <v>12</v>
      </c>
      <c r="H39" s="11">
        <v>0</v>
      </c>
      <c r="I39" s="11"/>
      <c r="J39" s="11"/>
      <c r="K39" s="11"/>
      <c r="L39" s="11"/>
      <c r="M39" s="11"/>
      <c r="N39" s="11"/>
      <c r="O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x14ac:dyDescent="0.2">
      <c r="A40" t="s">
        <v>52</v>
      </c>
      <c r="B40" t="s">
        <v>83</v>
      </c>
      <c r="C40" t="s">
        <v>73</v>
      </c>
      <c r="D40" s="11">
        <v>0</v>
      </c>
      <c r="E40" s="11">
        <v>0</v>
      </c>
      <c r="F40" s="11">
        <v>0</v>
      </c>
      <c r="G40" s="11">
        <v>13</v>
      </c>
      <c r="H40" s="11">
        <v>0</v>
      </c>
      <c r="I40" s="11"/>
      <c r="J40" s="11"/>
      <c r="K40" s="11"/>
      <c r="L40" s="11"/>
      <c r="M40" s="11"/>
      <c r="N40" s="11"/>
      <c r="O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x14ac:dyDescent="0.2">
      <c r="A41" t="s">
        <v>52</v>
      </c>
      <c r="B41" t="s">
        <v>83</v>
      </c>
      <c r="C41" t="s">
        <v>74</v>
      </c>
      <c r="D41" s="11">
        <v>1</v>
      </c>
      <c r="E41" s="11">
        <v>0</v>
      </c>
      <c r="F41" s="11">
        <v>0</v>
      </c>
      <c r="G41" s="11">
        <v>17</v>
      </c>
      <c r="H41" s="11">
        <v>0</v>
      </c>
      <c r="I41" s="11"/>
      <c r="J41" s="11"/>
      <c r="K41" s="11"/>
      <c r="L41" s="11"/>
      <c r="M41" s="11"/>
      <c r="N41" s="11"/>
      <c r="O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x14ac:dyDescent="0.2">
      <c r="A42" t="s">
        <v>52</v>
      </c>
      <c r="B42" t="s">
        <v>83</v>
      </c>
      <c r="C42" t="s">
        <v>75</v>
      </c>
      <c r="D42" s="11">
        <v>0</v>
      </c>
      <c r="E42" s="11">
        <v>0</v>
      </c>
      <c r="F42" s="11">
        <v>0</v>
      </c>
      <c r="G42" s="11">
        <v>9</v>
      </c>
      <c r="H42" s="11">
        <v>0</v>
      </c>
      <c r="I42" s="11"/>
      <c r="J42" s="11"/>
      <c r="K42" s="11"/>
      <c r="L42" s="11"/>
      <c r="M42" s="11"/>
      <c r="N42" s="11"/>
      <c r="O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x14ac:dyDescent="0.2">
      <c r="A43" t="s">
        <v>52</v>
      </c>
      <c r="B43" t="s">
        <v>83</v>
      </c>
      <c r="C43" t="s">
        <v>76</v>
      </c>
      <c r="D43" s="11">
        <v>0</v>
      </c>
      <c r="E43" s="11">
        <v>0</v>
      </c>
      <c r="F43" s="11">
        <v>0</v>
      </c>
      <c r="G43" s="11">
        <v>4</v>
      </c>
      <c r="H43" s="11">
        <v>0</v>
      </c>
      <c r="I43" s="11"/>
      <c r="J43" s="11"/>
      <c r="K43" s="11"/>
      <c r="L43" s="11"/>
      <c r="M43" s="11"/>
      <c r="N43" s="11"/>
      <c r="O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x14ac:dyDescent="0.2">
      <c r="A44" t="s">
        <v>52</v>
      </c>
      <c r="B44" t="s">
        <v>82</v>
      </c>
      <c r="C44" t="s">
        <v>71</v>
      </c>
      <c r="D44" s="11">
        <v>1</v>
      </c>
      <c r="E44" s="11">
        <v>0</v>
      </c>
      <c r="F44" s="11">
        <v>0</v>
      </c>
      <c r="G44" s="11">
        <v>1</v>
      </c>
      <c r="H44" s="11">
        <v>0</v>
      </c>
      <c r="I44" s="11"/>
      <c r="J44" s="11"/>
      <c r="K44" s="11"/>
      <c r="L44" s="11"/>
      <c r="M44" s="11"/>
      <c r="N44" s="11"/>
      <c r="O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x14ac:dyDescent="0.2">
      <c r="A45" t="s">
        <v>52</v>
      </c>
      <c r="B45" t="s">
        <v>82</v>
      </c>
      <c r="C45" t="s">
        <v>72</v>
      </c>
      <c r="D45" s="11">
        <v>0</v>
      </c>
      <c r="E45" s="11">
        <v>1</v>
      </c>
      <c r="F45" s="11">
        <v>0</v>
      </c>
      <c r="G45" s="11">
        <v>1</v>
      </c>
      <c r="H45" s="11">
        <v>0</v>
      </c>
      <c r="I45" s="11"/>
      <c r="J45" s="11"/>
      <c r="K45" s="11"/>
      <c r="L45" s="11"/>
      <c r="M45" s="11"/>
      <c r="N45" s="11"/>
      <c r="O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x14ac:dyDescent="0.2">
      <c r="A46" t="s">
        <v>52</v>
      </c>
      <c r="B46" t="s">
        <v>82</v>
      </c>
      <c r="C46" t="s">
        <v>73</v>
      </c>
      <c r="D46" s="11">
        <v>0</v>
      </c>
      <c r="E46" s="11">
        <v>0</v>
      </c>
      <c r="F46" s="11">
        <v>0</v>
      </c>
      <c r="G46" s="11">
        <v>1</v>
      </c>
      <c r="H46" s="11">
        <v>0</v>
      </c>
      <c r="I46" s="11"/>
      <c r="J46" s="11"/>
      <c r="K46" s="11"/>
      <c r="L46" s="11"/>
      <c r="M46" s="11"/>
      <c r="N46" s="11"/>
      <c r="O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x14ac:dyDescent="0.2">
      <c r="A47" t="s">
        <v>52</v>
      </c>
      <c r="B47" t="s">
        <v>82</v>
      </c>
      <c r="C47" t="s">
        <v>74</v>
      </c>
      <c r="D47" s="11">
        <v>1</v>
      </c>
      <c r="E47" s="11">
        <v>1</v>
      </c>
      <c r="F47" s="11">
        <v>0</v>
      </c>
      <c r="G47" s="11">
        <v>1</v>
      </c>
      <c r="H47" s="11">
        <v>1</v>
      </c>
      <c r="I47" s="11"/>
      <c r="J47" s="11"/>
      <c r="K47" s="11"/>
      <c r="L47" s="11"/>
      <c r="M47" s="11"/>
      <c r="N47" s="11"/>
      <c r="O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x14ac:dyDescent="0.2">
      <c r="A48" t="s">
        <v>52</v>
      </c>
      <c r="B48" t="s">
        <v>82</v>
      </c>
      <c r="C48" t="s">
        <v>75</v>
      </c>
      <c r="D48" s="11">
        <v>1</v>
      </c>
      <c r="E48" s="11">
        <v>0</v>
      </c>
      <c r="F48" s="11">
        <v>0</v>
      </c>
      <c r="G48" s="11">
        <v>1</v>
      </c>
      <c r="H48" s="11">
        <v>0</v>
      </c>
      <c r="I48" s="11"/>
      <c r="J48" s="11"/>
      <c r="K48" s="11"/>
      <c r="L48" s="11"/>
      <c r="M48" s="11"/>
      <c r="N48" s="11"/>
      <c r="O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x14ac:dyDescent="0.2">
      <c r="A49" t="s">
        <v>52</v>
      </c>
      <c r="B49" t="s">
        <v>82</v>
      </c>
      <c r="C49" t="s">
        <v>76</v>
      </c>
      <c r="D49" s="11">
        <v>0</v>
      </c>
      <c r="E49" s="11">
        <v>0</v>
      </c>
      <c r="F49" s="11">
        <v>0</v>
      </c>
      <c r="G49" s="11">
        <v>1</v>
      </c>
      <c r="H49" s="11">
        <v>0</v>
      </c>
      <c r="I49" s="11"/>
      <c r="J49" s="11"/>
      <c r="K49" s="11"/>
      <c r="L49" s="11"/>
      <c r="M49" s="11"/>
      <c r="N49" s="11"/>
      <c r="O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2" spans="1:42" x14ac:dyDescent="0.2"/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H27"/>
  <sheetViews>
    <sheetView workbookViewId="0">
      <selection activeCell="H28" sqref="H28"/>
    </sheetView>
  </sheetViews>
  <sheetFormatPr baseColWidth="10" defaultColWidth="8.6640625" defaultRowHeight="15" x14ac:dyDescent="0.2"/>
  <cols>
    <col min="1" max="1" width="12.33203125" customWidth="1"/>
  </cols>
  <sheetData>
    <row r="1" spans="1:8" x14ac:dyDescent="0.2">
      <c r="A1" s="8" t="s">
        <v>63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114</v>
      </c>
      <c r="B2" s="4">
        <f>OpioidPattern!D7</f>
        <v>0.5641025641025641</v>
      </c>
      <c r="C2" s="4">
        <f>OpioidPattern!E7</f>
        <v>0.41550429999999999</v>
      </c>
      <c r="D2" s="4">
        <f>207/286</f>
        <v>0.72377622377622375</v>
      </c>
      <c r="H2" s="18"/>
    </row>
    <row r="3" spans="1:8" x14ac:dyDescent="0.2">
      <c r="A3" t="s">
        <v>178</v>
      </c>
      <c r="B3" s="23">
        <f>OpioidPattern!D8</f>
        <v>0.05</v>
      </c>
      <c r="C3" s="23">
        <f>OpioidPattern!E8</f>
        <v>0</v>
      </c>
      <c r="D3" s="23">
        <f>OpioidPattern!F8</f>
        <v>0.1</v>
      </c>
      <c r="H3" s="18"/>
    </row>
    <row r="4" spans="1:8" x14ac:dyDescent="0.2">
      <c r="A4" t="s">
        <v>146</v>
      </c>
      <c r="B4" s="21">
        <f>OverdoseRisk!C2</f>
        <v>7.5438493580000003E-3</v>
      </c>
      <c r="C4" s="21">
        <f>OverdoseRisk!D2</f>
        <v>6.5657605787018403E-3</v>
      </c>
      <c r="D4" s="21">
        <f>OverdoseRisk!E2</f>
        <v>8.6259541200034429E-3</v>
      </c>
    </row>
    <row r="5" spans="1:8" x14ac:dyDescent="0.2">
      <c r="A5" t="s">
        <v>147</v>
      </c>
      <c r="B5">
        <f>OverdoseRisk!C3</f>
        <v>1.538E-2</v>
      </c>
      <c r="C5" s="25">
        <f>OverdoseRisk!D3</f>
        <v>1.2175274191616903E-2</v>
      </c>
      <c r="D5" s="25">
        <f>OverdoseRisk!E3</f>
        <v>1.8575312252222864E-2</v>
      </c>
    </row>
    <row r="6" spans="1:8" x14ac:dyDescent="0.2">
      <c r="A6" t="s">
        <v>117</v>
      </c>
      <c r="B6">
        <f>OverdoseRisk!C5</f>
        <v>2.9</v>
      </c>
      <c r="C6">
        <f>OverdoseRisk!D5</f>
        <v>1.7</v>
      </c>
      <c r="D6">
        <f>OverdoseRisk!E5</f>
        <v>5</v>
      </c>
    </row>
    <row r="7" spans="1:8" x14ac:dyDescent="0.2">
      <c r="A7" t="s">
        <v>118</v>
      </c>
      <c r="B7" s="15">
        <f>OverdoseRisk!C6</f>
        <v>2.9950980392156863</v>
      </c>
      <c r="C7" s="15">
        <f>OverdoseRisk!D6</f>
        <v>1.5079650915246505</v>
      </c>
      <c r="D7" s="15">
        <f>OverdoseRisk!E6</f>
        <v>5.9488195813894986</v>
      </c>
    </row>
    <row r="8" spans="1:8" x14ac:dyDescent="0.2">
      <c r="A8" t="s">
        <v>119</v>
      </c>
      <c r="B8" s="15">
        <f>OverdoseRisk!C7</f>
        <v>5.9153225806451619</v>
      </c>
      <c r="C8" s="15">
        <f>OverdoseRisk!D7</f>
        <v>3.6078748383811243</v>
      </c>
      <c r="D8" s="15">
        <f>OverdoseRisk!E7</f>
        <v>9.6985186018235687</v>
      </c>
    </row>
    <row r="9" spans="1:8" x14ac:dyDescent="0.2">
      <c r="A9" t="s">
        <v>149</v>
      </c>
      <c r="B9">
        <f>OverdoseRisk!C8</f>
        <v>3.5</v>
      </c>
      <c r="C9">
        <f>OverdoseRisk!D8</f>
        <v>1.9</v>
      </c>
      <c r="D9">
        <f>OverdoseRisk!E8</f>
        <v>6.4</v>
      </c>
    </row>
    <row r="10" spans="1:8" x14ac:dyDescent="0.2">
      <c r="A10" t="s">
        <v>171</v>
      </c>
      <c r="B10" s="14">
        <f>Mortality!B2</f>
        <v>5.8823529411764705E-2</v>
      </c>
      <c r="C10" s="14">
        <f>Mortality!C2</f>
        <v>0.03</v>
      </c>
      <c r="D10" s="14">
        <f>Mortality!D2</f>
        <v>0.11</v>
      </c>
    </row>
    <row r="11" spans="1:8" x14ac:dyDescent="0.2">
      <c r="A11" t="s">
        <v>186</v>
      </c>
      <c r="B11" s="14">
        <f>Mortality!B3</f>
        <v>8.9897260273972598E-3</v>
      </c>
      <c r="C11" s="14">
        <f>Mortality!C3</f>
        <v>7.2609325605900938E-3</v>
      </c>
      <c r="D11" s="14">
        <f>Mortality!D3</f>
        <v>1.1130136986301369E-2</v>
      </c>
    </row>
    <row r="12" spans="1:8" x14ac:dyDescent="0.2">
      <c r="A12" t="s">
        <v>172</v>
      </c>
      <c r="B12">
        <f>Mortality!B4</f>
        <v>0.58799999999999997</v>
      </c>
      <c r="C12">
        <f>Mortality!C4</f>
        <v>0.41899999999999998</v>
      </c>
      <c r="D12">
        <f>Mortality!D4</f>
        <v>0.75800000000000001</v>
      </c>
    </row>
    <row r="13" spans="1:8" x14ac:dyDescent="0.2">
      <c r="A13" t="s">
        <v>176</v>
      </c>
      <c r="B13" s="15">
        <f>DecisionTree!B4</f>
        <v>0.82</v>
      </c>
      <c r="C13" s="15">
        <f>DecisionTree!C4</f>
        <v>0.75</v>
      </c>
      <c r="D13" s="15">
        <f>DecisionTree!D4</f>
        <v>0.88</v>
      </c>
    </row>
    <row r="14" spans="1:8" x14ac:dyDescent="0.2">
      <c r="A14" t="str">
        <f>DecisionTree!A6</f>
        <v>OD_911_pub</v>
      </c>
      <c r="B14" s="15">
        <f>DecisionTree!B6</f>
        <v>0.66200000000000003</v>
      </c>
      <c r="C14" s="15">
        <f>DecisionTree!C6</f>
        <v>0.56126589126318638</v>
      </c>
      <c r="D14" s="15">
        <f>DecisionTree!D6</f>
        <v>0.79900000000000004</v>
      </c>
    </row>
    <row r="15" spans="1:8" x14ac:dyDescent="0.2">
      <c r="A15" t="s">
        <v>61</v>
      </c>
      <c r="B15">
        <f>DecisionTree!B8</f>
        <v>0.9</v>
      </c>
      <c r="C15">
        <f>DecisionTree!C8</f>
        <v>0.85</v>
      </c>
      <c r="D15">
        <f>DecisionTree!D8</f>
        <v>0.95</v>
      </c>
    </row>
    <row r="16" spans="1:8" x14ac:dyDescent="0.2">
      <c r="A16" t="s">
        <v>62</v>
      </c>
      <c r="B16" s="14">
        <f>DecisionTree!B9</f>
        <v>7.5600000000000001E-2</v>
      </c>
      <c r="C16" s="14">
        <f>DecisionTree!C9</f>
        <v>4.8390339999999997E-2</v>
      </c>
      <c r="D16" s="14">
        <f>DecisionTree!D9</f>
        <v>0.11579589999999999</v>
      </c>
    </row>
    <row r="17" spans="1:4" x14ac:dyDescent="0.2">
      <c r="A17" t="str">
        <f>NxKit!A3</f>
        <v>Low2Priv</v>
      </c>
      <c r="B17">
        <f>NxKit!B3</f>
        <v>0.3</v>
      </c>
      <c r="C17">
        <f>NxKit!C3</f>
        <v>0.1</v>
      </c>
      <c r="D17">
        <f>NxKit!D3</f>
        <v>0.5</v>
      </c>
    </row>
    <row r="18" spans="1:4" x14ac:dyDescent="0.2">
      <c r="A18" t="str">
        <f>NxKit!A4</f>
        <v>High2Pub</v>
      </c>
      <c r="B18">
        <f>NxKit!B4</f>
        <v>0.1</v>
      </c>
      <c r="C18">
        <f>NxKit!C4</f>
        <v>0</v>
      </c>
      <c r="D18">
        <f>NxKit!D4</f>
        <v>0.2</v>
      </c>
    </row>
    <row r="19" spans="1:4" x14ac:dyDescent="0.2">
      <c r="A19" t="s">
        <v>165</v>
      </c>
      <c r="B19">
        <f>NxKit!B5</f>
        <v>1</v>
      </c>
      <c r="C19">
        <f>NxKit!C5</f>
        <v>0.5</v>
      </c>
      <c r="D19">
        <f>NxKit!D5</f>
        <v>1.5</v>
      </c>
    </row>
    <row r="27" spans="1:4" ht="13.5" customHeight="1" x14ac:dyDescent="0.2"/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A51-D5C0-4CC2-9F82-0D2250CCEDDE}">
  <dimension ref="A1:N25"/>
  <sheetViews>
    <sheetView workbookViewId="0">
      <selection activeCell="M32" sqref="M32"/>
    </sheetView>
  </sheetViews>
  <sheetFormatPr baseColWidth="10" defaultColWidth="8.6640625" defaultRowHeight="15" x14ac:dyDescent="0.2"/>
  <cols>
    <col min="6" max="6" width="15" customWidth="1"/>
  </cols>
  <sheetData>
    <row r="1" spans="1:11" x14ac:dyDescent="0.2">
      <c r="A1" s="18" t="s">
        <v>99</v>
      </c>
      <c r="F1" t="s">
        <v>100</v>
      </c>
      <c r="H1" t="s">
        <v>101</v>
      </c>
    </row>
    <row r="2" spans="1:11" x14ac:dyDescent="0.2">
      <c r="B2" t="s">
        <v>77</v>
      </c>
      <c r="C2" t="s">
        <v>70</v>
      </c>
      <c r="D2" t="s">
        <v>86</v>
      </c>
      <c r="F2">
        <v>5.7</v>
      </c>
      <c r="I2" t="s">
        <v>77</v>
      </c>
      <c r="J2" t="s">
        <v>70</v>
      </c>
      <c r="K2" t="s">
        <v>86</v>
      </c>
    </row>
    <row r="3" spans="1:11" x14ac:dyDescent="0.2">
      <c r="B3">
        <v>519</v>
      </c>
      <c r="C3">
        <v>7474</v>
      </c>
      <c r="D3">
        <v>593</v>
      </c>
      <c r="I3">
        <v>600</v>
      </c>
      <c r="J3">
        <v>100</v>
      </c>
      <c r="K3">
        <v>900</v>
      </c>
    </row>
    <row r="4" spans="1:11" x14ac:dyDescent="0.2">
      <c r="A4" t="s">
        <v>87</v>
      </c>
      <c r="B4" s="13">
        <v>0.69750000000000001</v>
      </c>
      <c r="C4" s="13">
        <f>0.6549</f>
        <v>0.65490000000000004</v>
      </c>
      <c r="D4" s="13">
        <v>0.66779999999999995</v>
      </c>
      <c r="H4" t="s">
        <v>87</v>
      </c>
      <c r="I4" s="13">
        <v>0.69750000000000001</v>
      </c>
      <c r="J4" s="13">
        <f>0.6549</f>
        <v>0.65490000000000004</v>
      </c>
      <c r="K4" s="13">
        <v>0.66779999999999995</v>
      </c>
    </row>
    <row r="5" spans="1:11" x14ac:dyDescent="0.2">
      <c r="A5" t="s">
        <v>93</v>
      </c>
      <c r="B5" s="13">
        <f>1-B4</f>
        <v>0.30249999999999999</v>
      </c>
      <c r="C5" s="13">
        <f t="shared" ref="C5:D5" si="0">1-C4</f>
        <v>0.34509999999999996</v>
      </c>
      <c r="D5" s="13">
        <f t="shared" si="0"/>
        <v>0.33220000000000005</v>
      </c>
      <c r="H5" t="s">
        <v>93</v>
      </c>
      <c r="I5" s="13">
        <f>1-I4</f>
        <v>0.30249999999999999</v>
      </c>
      <c r="J5" s="13">
        <f t="shared" ref="J5:K5" si="1">1-J4</f>
        <v>0.34509999999999996</v>
      </c>
      <c r="K5" s="13">
        <f t="shared" si="1"/>
        <v>0.33220000000000005</v>
      </c>
    </row>
    <row r="6" spans="1:11" x14ac:dyDescent="0.2">
      <c r="A6" t="s">
        <v>90</v>
      </c>
      <c r="B6" s="13">
        <v>0.879</v>
      </c>
      <c r="C6" s="13">
        <v>0.80940000000000001</v>
      </c>
      <c r="D6" s="13">
        <v>0.87019999999999997</v>
      </c>
      <c r="H6" t="s">
        <v>90</v>
      </c>
      <c r="I6" s="13">
        <v>0.879</v>
      </c>
      <c r="J6" s="13">
        <v>0.80940000000000001</v>
      </c>
      <c r="K6" s="13">
        <v>0.87019999999999997</v>
      </c>
    </row>
    <row r="7" spans="1:11" x14ac:dyDescent="0.2">
      <c r="A7" t="s">
        <v>89</v>
      </c>
      <c r="B7" s="13">
        <f>1-B6</f>
        <v>0.121</v>
      </c>
      <c r="C7" s="13">
        <f t="shared" ref="C7:D7" si="2">1-C6</f>
        <v>0.19059999999999999</v>
      </c>
      <c r="D7" s="13">
        <f t="shared" si="2"/>
        <v>0.12980000000000003</v>
      </c>
      <c r="H7" t="s">
        <v>89</v>
      </c>
      <c r="I7" s="13">
        <f>1-I6</f>
        <v>0.121</v>
      </c>
      <c r="J7" s="13">
        <f t="shared" ref="J7:K7" si="3">1-J6</f>
        <v>0.19059999999999999</v>
      </c>
      <c r="K7" s="13">
        <f t="shared" si="3"/>
        <v>0.12980000000000003</v>
      </c>
    </row>
    <row r="8" spans="1:11" x14ac:dyDescent="0.2">
      <c r="A8" t="s">
        <v>91</v>
      </c>
      <c r="B8" s="13">
        <v>0.94099999999999995</v>
      </c>
      <c r="C8" s="13">
        <v>0.92600000000000005</v>
      </c>
      <c r="D8" s="13">
        <v>0.93600000000000005</v>
      </c>
      <c r="H8" t="s">
        <v>91</v>
      </c>
      <c r="I8" s="13">
        <v>0.94099999999999995</v>
      </c>
      <c r="J8" s="13">
        <v>0.92600000000000005</v>
      </c>
      <c r="K8" s="13">
        <v>0.93600000000000005</v>
      </c>
    </row>
    <row r="9" spans="1:11" x14ac:dyDescent="0.2">
      <c r="A9" t="s">
        <v>94</v>
      </c>
      <c r="B9" s="13">
        <f>1-B8</f>
        <v>5.9000000000000052E-2</v>
      </c>
      <c r="C9" s="13">
        <f t="shared" ref="C9:D9" si="4">1-C8</f>
        <v>7.3999999999999955E-2</v>
      </c>
      <c r="D9" s="13">
        <f t="shared" si="4"/>
        <v>6.3999999999999946E-2</v>
      </c>
      <c r="H9" t="s">
        <v>94</v>
      </c>
      <c r="I9" s="13">
        <f>1-I8</f>
        <v>5.9000000000000052E-2</v>
      </c>
      <c r="J9" s="13">
        <f t="shared" ref="J9:K9" si="5">1-J8</f>
        <v>7.3999999999999955E-2</v>
      </c>
      <c r="K9" s="13">
        <f t="shared" si="5"/>
        <v>6.3999999999999946E-2</v>
      </c>
    </row>
    <row r="10" spans="1:11" x14ac:dyDescent="0.2">
      <c r="A10" t="s">
        <v>92</v>
      </c>
      <c r="B10" s="13">
        <v>0.72699999999999998</v>
      </c>
      <c r="C10" s="13">
        <v>0.58399999999999996</v>
      </c>
      <c r="D10" s="13">
        <v>0.73799999999999999</v>
      </c>
      <c r="H10" t="s">
        <v>92</v>
      </c>
      <c r="I10" s="13">
        <v>0.72699999999999998</v>
      </c>
      <c r="J10" s="13">
        <v>0.58399999999999996</v>
      </c>
      <c r="K10" s="13">
        <v>0.73799999999999999</v>
      </c>
    </row>
    <row r="11" spans="1:11" x14ac:dyDescent="0.2">
      <c r="A11" t="s">
        <v>95</v>
      </c>
      <c r="B11" s="13">
        <f>1-B10</f>
        <v>0.27300000000000002</v>
      </c>
      <c r="C11" s="13">
        <f t="shared" ref="C11:D11" si="6">1-C10</f>
        <v>0.41600000000000004</v>
      </c>
      <c r="D11" s="13">
        <f t="shared" si="6"/>
        <v>0.26200000000000001</v>
      </c>
      <c r="H11" t="s">
        <v>95</v>
      </c>
      <c r="I11" s="13">
        <f>1-I10</f>
        <v>0.27300000000000002</v>
      </c>
      <c r="J11" s="13">
        <f t="shared" ref="J11:K11" si="7">1-J10</f>
        <v>0.41600000000000004</v>
      </c>
      <c r="K11" s="13">
        <f t="shared" si="7"/>
        <v>0.26200000000000001</v>
      </c>
    </row>
    <row r="13" spans="1:11" x14ac:dyDescent="0.2">
      <c r="A13" t="s">
        <v>91</v>
      </c>
      <c r="B13" s="17">
        <f>B3*B4*B8</f>
        <v>340.64435249999997</v>
      </c>
      <c r="C13" s="17">
        <f t="shared" ref="C13:D13" si="8">C3*C4*C8</f>
        <v>4532.5131276000002</v>
      </c>
      <c r="D13" s="17">
        <f t="shared" si="8"/>
        <v>370.66105439999995</v>
      </c>
      <c r="H13" t="s">
        <v>91</v>
      </c>
      <c r="I13" s="17">
        <f>I3*I4*I8</f>
        <v>393.80849999999998</v>
      </c>
      <c r="J13" s="17">
        <f t="shared" ref="J13:K13" si="9">J3*J4*J8</f>
        <v>60.643740000000008</v>
      </c>
      <c r="K13" s="17">
        <f t="shared" si="9"/>
        <v>562.55471999999997</v>
      </c>
    </row>
    <row r="14" spans="1:11" x14ac:dyDescent="0.2">
      <c r="A14" t="s">
        <v>94</v>
      </c>
      <c r="B14" s="17">
        <f>B3*B4*B9</f>
        <v>21.358147500000019</v>
      </c>
      <c r="C14" s="17">
        <f t="shared" ref="C14:D14" si="10">C3*C4*C9</f>
        <v>362.20947239999975</v>
      </c>
      <c r="D14" s="17">
        <f t="shared" si="10"/>
        <v>25.344345599999976</v>
      </c>
      <c r="H14" t="s">
        <v>94</v>
      </c>
      <c r="I14" s="17">
        <f>I3*I4*I9</f>
        <v>24.691500000000023</v>
      </c>
      <c r="J14" s="17">
        <f t="shared" ref="J14:K14" si="11">J3*J4*J9</f>
        <v>4.8462599999999973</v>
      </c>
      <c r="K14" s="17">
        <f t="shared" si="11"/>
        <v>38.465279999999964</v>
      </c>
    </row>
    <row r="15" spans="1:11" x14ac:dyDescent="0.2">
      <c r="A15" t="s">
        <v>92</v>
      </c>
      <c r="B15" s="17">
        <f>B3*B5*B10</f>
        <v>114.13718249999999</v>
      </c>
      <c r="C15" s="17">
        <f t="shared" ref="C15:D15" si="12">C3*C5*C10</f>
        <v>1506.2980015999999</v>
      </c>
      <c r="D15" s="17">
        <f t="shared" si="12"/>
        <v>145.38201480000001</v>
      </c>
      <c r="H15" t="s">
        <v>92</v>
      </c>
      <c r="I15" s="17">
        <f>I3*I5*I10</f>
        <v>131.95050000000001</v>
      </c>
      <c r="J15" s="17">
        <f t="shared" ref="J15:K15" si="13">J3*J5*J10</f>
        <v>20.153839999999999</v>
      </c>
      <c r="K15" s="17">
        <f t="shared" si="13"/>
        <v>220.64724000000001</v>
      </c>
    </row>
    <row r="16" spans="1:11" x14ac:dyDescent="0.2">
      <c r="A16" t="s">
        <v>95</v>
      </c>
      <c r="B16" s="17">
        <f>B3*B5*B11</f>
        <v>42.860317500000001</v>
      </c>
      <c r="C16" s="17">
        <f t="shared" ref="C16:D16" si="14">C3*C5*C11</f>
        <v>1072.9793984</v>
      </c>
      <c r="D16" s="17">
        <f t="shared" si="14"/>
        <v>51.612585200000005</v>
      </c>
      <c r="H16" t="s">
        <v>95</v>
      </c>
      <c r="I16" s="17">
        <f>I3*I5*I11</f>
        <v>49.549500000000002</v>
      </c>
      <c r="J16" s="17">
        <f t="shared" ref="J16:K16" si="15">J3*J5*J11</f>
        <v>14.356160000000001</v>
      </c>
      <c r="K16" s="17">
        <f t="shared" si="15"/>
        <v>78.332760000000007</v>
      </c>
    </row>
    <row r="17" spans="1:14" x14ac:dyDescent="0.2">
      <c r="B17">
        <f>B13/(B13+B14)</f>
        <v>0.94099999999999995</v>
      </c>
      <c r="C17">
        <f t="shared" ref="C17:D17" si="16">C13/(C13+C14)</f>
        <v>0.92600000000000005</v>
      </c>
      <c r="D17">
        <f t="shared" si="16"/>
        <v>0.93600000000000005</v>
      </c>
      <c r="I17">
        <f>I13/(I13+I14)</f>
        <v>0.94099999999999995</v>
      </c>
      <c r="J17">
        <f t="shared" ref="J17:K17" si="17">J13/(J13+J14)</f>
        <v>0.92600000000000005</v>
      </c>
      <c r="K17">
        <f t="shared" si="17"/>
        <v>0.93599999999999994</v>
      </c>
    </row>
    <row r="18" spans="1:14" x14ac:dyDescent="0.2">
      <c r="B18">
        <f>B15/(B15+B16)</f>
        <v>0.72699999999999998</v>
      </c>
      <c r="C18">
        <f t="shared" ref="C18" si="18">C15/(C15+C16)</f>
        <v>0.58399999999999996</v>
      </c>
      <c r="D18">
        <f>D15/(D15+D16)</f>
        <v>0.73799999999999999</v>
      </c>
      <c r="I18">
        <f>I15/(I15+I16)</f>
        <v>0.72699999999999998</v>
      </c>
      <c r="J18">
        <f t="shared" ref="J18" si="19">J15/(J15+J16)</f>
        <v>0.58399999999999996</v>
      </c>
      <c r="K18">
        <f>K15/(K15+K16)</f>
        <v>0.73799999999999999</v>
      </c>
    </row>
    <row r="20" spans="1:14" x14ac:dyDescent="0.2">
      <c r="B20" t="s">
        <v>88</v>
      </c>
      <c r="C20" t="s">
        <v>96</v>
      </c>
      <c r="I20" t="s">
        <v>88</v>
      </c>
      <c r="J20" t="s">
        <v>96</v>
      </c>
    </row>
    <row r="21" spans="1:14" x14ac:dyDescent="0.2">
      <c r="A21" t="s">
        <v>87</v>
      </c>
      <c r="B21" s="17">
        <f>B13+C13+D13</f>
        <v>5243.8185345000002</v>
      </c>
      <c r="C21" s="17">
        <f>B14+C14+D14</f>
        <v>408.91196549999978</v>
      </c>
      <c r="H21" t="s">
        <v>87</v>
      </c>
      <c r="I21" s="17">
        <f>I13+J13+K13</f>
        <v>1017.0069599999999</v>
      </c>
      <c r="J21" s="17">
        <f>I14+J14+K14</f>
        <v>68.003039999999984</v>
      </c>
    </row>
    <row r="22" spans="1:14" x14ac:dyDescent="0.2">
      <c r="A22" t="s">
        <v>93</v>
      </c>
      <c r="B22" s="17">
        <f>B15+C15+D15</f>
        <v>1765.8171988999998</v>
      </c>
      <c r="C22" s="17">
        <f>B16+C16+D16</f>
        <v>1167.4523011000001</v>
      </c>
      <c r="E22">
        <f>B22/(B22+C22)</f>
        <v>0.60199623624764098</v>
      </c>
      <c r="H22" t="s">
        <v>93</v>
      </c>
      <c r="I22" s="17">
        <f>I15+J15+K15</f>
        <v>372.75157999999999</v>
      </c>
      <c r="J22" s="17">
        <f>I16+J16+K16</f>
        <v>142.23842000000002</v>
      </c>
      <c r="M22">
        <f>I22/(I22+J22)</f>
        <v>0.72380353016563426</v>
      </c>
    </row>
    <row r="24" spans="1:14" x14ac:dyDescent="0.2">
      <c r="D24" t="s">
        <v>97</v>
      </c>
      <c r="E24" s="15">
        <f>B21*C22/C21/B22</f>
        <v>8.4783479955198739</v>
      </c>
      <c r="K24" t="s">
        <v>97</v>
      </c>
      <c r="L24" s="15">
        <f>I21*J22/J21/I22</f>
        <v>5.7068048774948226</v>
      </c>
    </row>
    <row r="25" spans="1:14" x14ac:dyDescent="0.2">
      <c r="D25" t="s">
        <v>98</v>
      </c>
      <c r="E25" s="15">
        <f>(B21/(B21+C21))/(B22/(B22+C22))</f>
        <v>1.5409750168597309</v>
      </c>
      <c r="K25" t="s">
        <v>98</v>
      </c>
      <c r="L25" s="15">
        <f>(I21/(I21+J21))/(I22/(I22+J22))</f>
        <v>1.2949991616265983</v>
      </c>
      <c r="N25">
        <f>M22*L25</f>
        <v>0.93732496474686866</v>
      </c>
    </row>
  </sheetData>
  <phoneticPr fontId="5" type="noConversion"/>
  <hyperlinks>
    <hyperlink ref="A1" r:id="rId1" tooltip="Persistent link using digital object identifier" xr:uid="{4D626F25-AE3D-43BD-BCDE-4A5EC98FAE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D2" sqref="D2"/>
    </sheetView>
  </sheetViews>
  <sheetFormatPr baseColWidth="10" defaultColWidth="8.6640625" defaultRowHeight="15" x14ac:dyDescent="0.2"/>
  <sheetData>
    <row r="1" spans="1:10" x14ac:dyDescent="0.2">
      <c r="A1" s="8" t="s">
        <v>46</v>
      </c>
      <c r="B1" s="8" t="s">
        <v>78</v>
      </c>
      <c r="C1" s="8" t="s">
        <v>79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80</v>
      </c>
      <c r="C2" t="s">
        <v>71</v>
      </c>
      <c r="D2" s="9">
        <v>1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85</v>
      </c>
    </row>
    <row r="3" spans="1:10" x14ac:dyDescent="0.2">
      <c r="A3" t="s">
        <v>51</v>
      </c>
      <c r="B3" t="s">
        <v>80</v>
      </c>
      <c r="C3" t="s">
        <v>72</v>
      </c>
      <c r="D3" s="9">
        <v>1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80</v>
      </c>
      <c r="C4" t="s">
        <v>73</v>
      </c>
      <c r="D4" s="9">
        <v>1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80</v>
      </c>
      <c r="C5" t="s">
        <v>74</v>
      </c>
      <c r="D5" s="9">
        <v>1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80</v>
      </c>
      <c r="C6" t="s">
        <v>75</v>
      </c>
      <c r="D6" s="9">
        <v>1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80</v>
      </c>
      <c r="C7" t="s">
        <v>76</v>
      </c>
      <c r="D7" s="9">
        <v>1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81</v>
      </c>
      <c r="C8" t="s">
        <v>71</v>
      </c>
      <c r="D8" s="9">
        <v>1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81</v>
      </c>
      <c r="C9" t="s">
        <v>72</v>
      </c>
      <c r="D9" s="9">
        <v>1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81</v>
      </c>
      <c r="C10" t="s">
        <v>73</v>
      </c>
      <c r="D10" s="9">
        <v>1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81</v>
      </c>
      <c r="C11" t="s">
        <v>74</v>
      </c>
      <c r="D11" s="9">
        <v>1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81</v>
      </c>
      <c r="C12" t="s">
        <v>75</v>
      </c>
      <c r="D12" s="9">
        <v>1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81</v>
      </c>
      <c r="C13" t="s">
        <v>76</v>
      </c>
      <c r="D13" s="9">
        <v>1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83</v>
      </c>
      <c r="C14" t="s">
        <v>71</v>
      </c>
      <c r="D14" s="9">
        <v>1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83</v>
      </c>
      <c r="C15" t="s">
        <v>72</v>
      </c>
      <c r="D15" s="9">
        <v>1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83</v>
      </c>
      <c r="C16" t="s">
        <v>73</v>
      </c>
      <c r="D16" s="9">
        <v>1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83</v>
      </c>
      <c r="C17" t="s">
        <v>74</v>
      </c>
      <c r="D17" s="9">
        <v>1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83</v>
      </c>
      <c r="C18" t="s">
        <v>75</v>
      </c>
      <c r="D18" s="9">
        <v>1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83</v>
      </c>
      <c r="C19" t="s">
        <v>76</v>
      </c>
      <c r="D19" s="9">
        <v>1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82</v>
      </c>
      <c r="C20" t="s">
        <v>71</v>
      </c>
      <c r="D20" s="9">
        <v>1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82</v>
      </c>
      <c r="C21" t="s">
        <v>72</v>
      </c>
      <c r="D21" s="9">
        <v>1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82</v>
      </c>
      <c r="C22" t="s">
        <v>73</v>
      </c>
      <c r="D22" s="9">
        <v>1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82</v>
      </c>
      <c r="C23" t="s">
        <v>74</v>
      </c>
      <c r="D23" s="9">
        <v>1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82</v>
      </c>
      <c r="C24" t="s">
        <v>75</v>
      </c>
      <c r="D24" s="9">
        <v>1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82</v>
      </c>
      <c r="C25" t="s">
        <v>76</v>
      </c>
      <c r="D25" s="9">
        <v>1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80</v>
      </c>
      <c r="C26" t="s">
        <v>71</v>
      </c>
      <c r="D26" s="9">
        <v>1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80</v>
      </c>
      <c r="C27" t="s">
        <v>72</v>
      </c>
      <c r="D27" s="9">
        <v>1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80</v>
      </c>
      <c r="C28" t="s">
        <v>73</v>
      </c>
      <c r="D28" s="9">
        <v>1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80</v>
      </c>
      <c r="C29" t="s">
        <v>74</v>
      </c>
      <c r="D29" s="9">
        <v>1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80</v>
      </c>
      <c r="C30" t="s">
        <v>75</v>
      </c>
      <c r="D30" s="9">
        <v>1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80</v>
      </c>
      <c r="C31" t="s">
        <v>76</v>
      </c>
      <c r="D31" s="9">
        <v>1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81</v>
      </c>
      <c r="C32" t="s">
        <v>71</v>
      </c>
      <c r="D32" s="9">
        <v>1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81</v>
      </c>
      <c r="C33" t="s">
        <v>72</v>
      </c>
      <c r="D33" s="9">
        <v>1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81</v>
      </c>
      <c r="C34" t="s">
        <v>73</v>
      </c>
      <c r="D34" s="9">
        <v>1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81</v>
      </c>
      <c r="C35" t="s">
        <v>74</v>
      </c>
      <c r="D35" s="9">
        <v>1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81</v>
      </c>
      <c r="C36" t="s">
        <v>75</v>
      </c>
      <c r="D36" s="9">
        <v>1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81</v>
      </c>
      <c r="C37" t="s">
        <v>76</v>
      </c>
      <c r="D37" s="9">
        <v>1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83</v>
      </c>
      <c r="C38" t="s">
        <v>71</v>
      </c>
      <c r="D38" s="9">
        <v>1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83</v>
      </c>
      <c r="C39" t="s">
        <v>72</v>
      </c>
      <c r="D39" s="9">
        <v>1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83</v>
      </c>
      <c r="C40" t="s">
        <v>73</v>
      </c>
      <c r="D40" s="9">
        <v>1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83</v>
      </c>
      <c r="C41" t="s">
        <v>74</v>
      </c>
      <c r="D41" s="9">
        <v>1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83</v>
      </c>
      <c r="C42" t="s">
        <v>75</v>
      </c>
      <c r="D42" s="9">
        <v>1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83</v>
      </c>
      <c r="C43" t="s">
        <v>76</v>
      </c>
      <c r="D43" s="9">
        <v>1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82</v>
      </c>
      <c r="C44" t="s">
        <v>71</v>
      </c>
      <c r="D44" s="9">
        <v>1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82</v>
      </c>
      <c r="C45" t="s">
        <v>72</v>
      </c>
      <c r="D45" s="9">
        <v>1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82</v>
      </c>
      <c r="C46" t="s">
        <v>73</v>
      </c>
      <c r="D46" s="9">
        <v>1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82</v>
      </c>
      <c r="C47" t="s">
        <v>74</v>
      </c>
      <c r="D47" s="9">
        <v>1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82</v>
      </c>
      <c r="C48" t="s">
        <v>75</v>
      </c>
      <c r="D48" s="9">
        <v>1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82</v>
      </c>
      <c r="C49" t="s">
        <v>76</v>
      </c>
      <c r="D49" s="9">
        <v>1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D2" sqref="D2:D49"/>
    </sheetView>
  </sheetViews>
  <sheetFormatPr baseColWidth="10" defaultColWidth="8.6640625" defaultRowHeight="15" x14ac:dyDescent="0.2"/>
  <sheetData>
    <row r="1" spans="1:10" x14ac:dyDescent="0.2">
      <c r="A1" s="8" t="s">
        <v>46</v>
      </c>
      <c r="B1" s="8" t="s">
        <v>78</v>
      </c>
      <c r="C1" s="8" t="s">
        <v>79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80</v>
      </c>
      <c r="C2" t="s">
        <v>71</v>
      </c>
      <c r="D2" s="9">
        <v>0.2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145</v>
      </c>
    </row>
    <row r="3" spans="1:10" x14ac:dyDescent="0.2">
      <c r="A3" t="s">
        <v>51</v>
      </c>
      <c r="B3" t="s">
        <v>80</v>
      </c>
      <c r="C3" t="s">
        <v>72</v>
      </c>
      <c r="D3" s="9">
        <v>0.2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80</v>
      </c>
      <c r="C4" t="s">
        <v>73</v>
      </c>
      <c r="D4" s="9">
        <v>0.2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80</v>
      </c>
      <c r="C5" t="s">
        <v>74</v>
      </c>
      <c r="D5" s="9">
        <v>0.2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80</v>
      </c>
      <c r="C6" t="s">
        <v>75</v>
      </c>
      <c r="D6" s="9">
        <v>0.2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80</v>
      </c>
      <c r="C7" t="s">
        <v>76</v>
      </c>
      <c r="D7" s="9">
        <v>0.2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81</v>
      </c>
      <c r="C8" t="s">
        <v>71</v>
      </c>
      <c r="D8" s="9">
        <v>0.2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81</v>
      </c>
      <c r="C9" t="s">
        <v>72</v>
      </c>
      <c r="D9" s="9">
        <v>0.2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81</v>
      </c>
      <c r="C10" t="s">
        <v>73</v>
      </c>
      <c r="D10" s="9">
        <v>0.2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81</v>
      </c>
      <c r="C11" t="s">
        <v>74</v>
      </c>
      <c r="D11" s="9">
        <v>0.2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81</v>
      </c>
      <c r="C12" t="s">
        <v>75</v>
      </c>
      <c r="D12" s="9">
        <v>0.2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81</v>
      </c>
      <c r="C13" t="s">
        <v>76</v>
      </c>
      <c r="D13" s="9">
        <v>0.2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83</v>
      </c>
      <c r="C14" t="s">
        <v>71</v>
      </c>
      <c r="D14" s="9">
        <v>0.2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83</v>
      </c>
      <c r="C15" t="s">
        <v>72</v>
      </c>
      <c r="D15" s="9">
        <v>0.2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83</v>
      </c>
      <c r="C16" t="s">
        <v>73</v>
      </c>
      <c r="D16" s="9">
        <v>0.2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83</v>
      </c>
      <c r="C17" t="s">
        <v>74</v>
      </c>
      <c r="D17" s="9">
        <v>0.2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83</v>
      </c>
      <c r="C18" t="s">
        <v>75</v>
      </c>
      <c r="D18" s="9">
        <v>0.2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83</v>
      </c>
      <c r="C19" t="s">
        <v>76</v>
      </c>
      <c r="D19" s="9">
        <v>0.2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82</v>
      </c>
      <c r="C20" t="s">
        <v>71</v>
      </c>
      <c r="D20" s="9">
        <v>0.2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82</v>
      </c>
      <c r="C21" t="s">
        <v>72</v>
      </c>
      <c r="D21" s="9">
        <v>0.2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82</v>
      </c>
      <c r="C22" t="s">
        <v>73</v>
      </c>
      <c r="D22" s="9">
        <v>0.2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82</v>
      </c>
      <c r="C23" t="s">
        <v>74</v>
      </c>
      <c r="D23" s="9">
        <v>0.2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82</v>
      </c>
      <c r="C24" t="s">
        <v>75</v>
      </c>
      <c r="D24" s="9">
        <v>0.2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82</v>
      </c>
      <c r="C25" t="s">
        <v>76</v>
      </c>
      <c r="D25" s="9">
        <v>0.2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80</v>
      </c>
      <c r="C26" t="s">
        <v>71</v>
      </c>
      <c r="D26" s="9">
        <v>0.2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80</v>
      </c>
      <c r="C27" t="s">
        <v>72</v>
      </c>
      <c r="D27" s="9">
        <v>0.2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80</v>
      </c>
      <c r="C28" t="s">
        <v>73</v>
      </c>
      <c r="D28" s="9">
        <v>0.2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80</v>
      </c>
      <c r="C29" t="s">
        <v>74</v>
      </c>
      <c r="D29" s="9">
        <v>0.2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80</v>
      </c>
      <c r="C30" t="s">
        <v>75</v>
      </c>
      <c r="D30" s="9">
        <v>0.2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80</v>
      </c>
      <c r="C31" t="s">
        <v>76</v>
      </c>
      <c r="D31" s="9">
        <v>0.2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81</v>
      </c>
      <c r="C32" t="s">
        <v>71</v>
      </c>
      <c r="D32" s="9">
        <v>0.2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81</v>
      </c>
      <c r="C33" t="s">
        <v>72</v>
      </c>
      <c r="D33" s="9">
        <v>0.2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81</v>
      </c>
      <c r="C34" t="s">
        <v>73</v>
      </c>
      <c r="D34" s="9">
        <v>0.2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81</v>
      </c>
      <c r="C35" t="s">
        <v>74</v>
      </c>
      <c r="D35" s="9">
        <v>0.2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81</v>
      </c>
      <c r="C36" t="s">
        <v>75</v>
      </c>
      <c r="D36" s="9">
        <v>0.2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81</v>
      </c>
      <c r="C37" t="s">
        <v>76</v>
      </c>
      <c r="D37" s="9">
        <v>0.2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83</v>
      </c>
      <c r="C38" t="s">
        <v>71</v>
      </c>
      <c r="D38" s="9">
        <v>0.2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83</v>
      </c>
      <c r="C39" t="s">
        <v>72</v>
      </c>
      <c r="D39" s="9">
        <v>0.2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83</v>
      </c>
      <c r="C40" t="s">
        <v>73</v>
      </c>
      <c r="D40" s="9">
        <v>0.2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83</v>
      </c>
      <c r="C41" t="s">
        <v>74</v>
      </c>
      <c r="D41" s="9">
        <v>0.2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83</v>
      </c>
      <c r="C42" t="s">
        <v>75</v>
      </c>
      <c r="D42" s="9">
        <v>0.2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83</v>
      </c>
      <c r="C43" t="s">
        <v>76</v>
      </c>
      <c r="D43" s="9">
        <v>0.2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82</v>
      </c>
      <c r="C44" t="s">
        <v>71</v>
      </c>
      <c r="D44" s="9">
        <v>0.2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82</v>
      </c>
      <c r="C45" t="s">
        <v>72</v>
      </c>
      <c r="D45" s="9">
        <v>0.2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82</v>
      </c>
      <c r="C46" t="s">
        <v>73</v>
      </c>
      <c r="D46" s="9">
        <v>0.2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82</v>
      </c>
      <c r="C47" t="s">
        <v>74</v>
      </c>
      <c r="D47" s="9">
        <v>0.2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82</v>
      </c>
      <c r="C48" t="s">
        <v>75</v>
      </c>
      <c r="D48" s="9">
        <v>0.2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82</v>
      </c>
      <c r="C49" t="s">
        <v>76</v>
      </c>
      <c r="D49" s="9">
        <v>0.2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workbookViewId="0">
      <selection activeCell="C9" sqref="C9"/>
    </sheetView>
  </sheetViews>
  <sheetFormatPr baseColWidth="10" defaultColWidth="8.6640625" defaultRowHeight="15" x14ac:dyDescent="0.2"/>
  <cols>
    <col min="1" max="1" width="13.5" customWidth="1"/>
    <col min="5" max="5" width="8.6640625" customWidth="1"/>
    <col min="6" max="6" width="8.33203125" customWidth="1"/>
    <col min="8" max="8" width="9.33203125" customWidth="1"/>
  </cols>
  <sheetData>
    <row r="1" spans="1:11" x14ac:dyDescent="0.2">
      <c r="A1" s="8" t="s">
        <v>63</v>
      </c>
      <c r="B1" s="8" t="s">
        <v>46</v>
      </c>
      <c r="C1" s="8" t="s">
        <v>106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84</v>
      </c>
    </row>
    <row r="2" spans="1:11" x14ac:dyDescent="0.2">
      <c r="A2" t="s">
        <v>112</v>
      </c>
      <c r="B2" t="s">
        <v>51</v>
      </c>
      <c r="C2" t="s">
        <v>50</v>
      </c>
      <c r="D2" s="4">
        <f>(93000+62000)/(93000+62000+781000)</f>
        <v>0.16559829059829059</v>
      </c>
      <c r="J2" t="s">
        <v>56</v>
      </c>
    </row>
    <row r="3" spans="1:11" x14ac:dyDescent="0.2">
      <c r="A3" t="s">
        <v>112</v>
      </c>
      <c r="B3" t="s">
        <v>52</v>
      </c>
      <c r="C3" t="s">
        <v>50</v>
      </c>
      <c r="D3" s="4">
        <f>(30000+55000)/(30000+55000+616000)</f>
        <v>0.12125534950071326</v>
      </c>
      <c r="J3" t="s">
        <v>56</v>
      </c>
    </row>
    <row r="4" spans="1:11" x14ac:dyDescent="0.2">
      <c r="A4" t="s">
        <v>113</v>
      </c>
      <c r="B4" t="s">
        <v>51</v>
      </c>
      <c r="C4" t="s">
        <v>50</v>
      </c>
      <c r="D4" s="2">
        <v>0.48599999999999999</v>
      </c>
      <c r="J4" t="s">
        <v>55</v>
      </c>
    </row>
    <row r="5" spans="1:11" x14ac:dyDescent="0.2">
      <c r="A5" t="s">
        <v>113</v>
      </c>
      <c r="B5" t="s">
        <v>52</v>
      </c>
      <c r="C5" t="s">
        <v>50</v>
      </c>
      <c r="D5" s="4">
        <v>0.41049999999999998</v>
      </c>
      <c r="J5" t="s">
        <v>55</v>
      </c>
    </row>
    <row r="6" spans="1:11" x14ac:dyDescent="0.2">
      <c r="A6" t="s">
        <v>207</v>
      </c>
      <c r="B6" t="s">
        <v>50</v>
      </c>
      <c r="C6" t="s">
        <v>50</v>
      </c>
      <c r="D6" s="3">
        <v>9.0999999999999998E-2</v>
      </c>
      <c r="E6" s="3">
        <v>8.5999999999999993E-2</v>
      </c>
      <c r="F6" s="3">
        <v>9.6000000000000002E-2</v>
      </c>
      <c r="J6" t="s">
        <v>53</v>
      </c>
    </row>
    <row r="7" spans="1:11" x14ac:dyDescent="0.2">
      <c r="A7" t="s">
        <v>206</v>
      </c>
      <c r="B7" t="s">
        <v>50</v>
      </c>
      <c r="C7" t="s">
        <v>50</v>
      </c>
      <c r="D7" s="4">
        <f>22/39</f>
        <v>0.5641025641025641</v>
      </c>
      <c r="E7" s="4">
        <v>0.41550429999999999</v>
      </c>
      <c r="F7" s="4">
        <v>0.86599999999999999</v>
      </c>
      <c r="J7" t="s">
        <v>175</v>
      </c>
      <c r="K7" t="s">
        <v>177</v>
      </c>
    </row>
    <row r="8" spans="1:11" x14ac:dyDescent="0.2">
      <c r="A8" t="s">
        <v>178</v>
      </c>
      <c r="B8" t="s">
        <v>50</v>
      </c>
      <c r="C8" t="s">
        <v>50</v>
      </c>
      <c r="D8" s="23">
        <v>0.05</v>
      </c>
      <c r="E8" s="23">
        <v>0</v>
      </c>
      <c r="F8" s="23">
        <v>0.1</v>
      </c>
      <c r="J8" t="s">
        <v>179</v>
      </c>
      <c r="K8" s="3"/>
    </row>
    <row r="9" spans="1:11" x14ac:dyDescent="0.2">
      <c r="A9" s="6" t="s">
        <v>115</v>
      </c>
      <c r="B9" s="6" t="s">
        <v>50</v>
      </c>
      <c r="C9" s="6" t="s">
        <v>47</v>
      </c>
      <c r="D9" s="10">
        <v>0.191</v>
      </c>
      <c r="J9" t="s">
        <v>54</v>
      </c>
    </row>
    <row r="10" spans="1:11" x14ac:dyDescent="0.2">
      <c r="A10" s="6" t="s">
        <v>115</v>
      </c>
      <c r="B10" s="6" t="s">
        <v>50</v>
      </c>
      <c r="C10" s="6" t="s">
        <v>48</v>
      </c>
      <c r="D10" s="10">
        <v>0.25244517036746611</v>
      </c>
      <c r="J10" t="s">
        <v>54</v>
      </c>
    </row>
    <row r="11" spans="1:11" x14ac:dyDescent="0.2">
      <c r="A11" s="6" t="s">
        <v>115</v>
      </c>
      <c r="B11" t="s">
        <v>50</v>
      </c>
      <c r="C11" t="s">
        <v>49</v>
      </c>
      <c r="D11" s="4">
        <f>684/1427</f>
        <v>0.47932725998598458</v>
      </c>
      <c r="J11" t="s">
        <v>54</v>
      </c>
    </row>
    <row r="12" spans="1:11" x14ac:dyDescent="0.2">
      <c r="A12" s="6" t="s">
        <v>198</v>
      </c>
      <c r="B12" t="s">
        <v>183</v>
      </c>
      <c r="C12" s="6" t="s">
        <v>183</v>
      </c>
      <c r="D12" s="3">
        <v>0.19234100000000001</v>
      </c>
      <c r="J12" t="s">
        <v>182</v>
      </c>
      <c r="K12" t="s">
        <v>184</v>
      </c>
    </row>
    <row r="13" spans="1:11" x14ac:dyDescent="0.2">
      <c r="E13" s="3"/>
    </row>
    <row r="18" spans="6:8" x14ac:dyDescent="0.2">
      <c r="F18" s="3"/>
      <c r="H18" s="4"/>
    </row>
    <row r="19" spans="6:8" x14ac:dyDescent="0.2">
      <c r="F19" s="3"/>
      <c r="H19" s="4"/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E35" sqref="E35"/>
    </sheetView>
  </sheetViews>
  <sheetFormatPr baseColWidth="10" defaultColWidth="8.6640625" defaultRowHeight="15" x14ac:dyDescent="0.2"/>
  <cols>
    <col min="1" max="1" width="11" customWidth="1"/>
  </cols>
  <sheetData>
    <row r="1" spans="1:8" x14ac:dyDescent="0.2">
      <c r="A1" s="8" t="s">
        <v>63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116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180</v>
      </c>
    </row>
    <row r="3" spans="1:8" x14ac:dyDescent="0.2">
      <c r="A3" t="s">
        <v>115</v>
      </c>
      <c r="B3" s="10">
        <v>0.25244517036746611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L46" sqref="L46"/>
    </sheetView>
  </sheetViews>
  <sheetFormatPr baseColWidth="10" defaultColWidth="8.6640625" defaultRowHeight="15" x14ac:dyDescent="0.2"/>
  <cols>
    <col min="1" max="1" width="11.5" customWidth="1"/>
    <col min="11" max="11" width="12" bestFit="1" customWidth="1"/>
  </cols>
  <sheetData>
    <row r="1" spans="1:11" x14ac:dyDescent="0.2">
      <c r="A1" s="8" t="s">
        <v>79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160</v>
      </c>
      <c r="I1" s="8" t="s">
        <v>6</v>
      </c>
      <c r="J1" s="8" t="s">
        <v>84</v>
      </c>
    </row>
    <row r="2" spans="1:11" x14ac:dyDescent="0.2">
      <c r="A2" t="s">
        <v>152</v>
      </c>
      <c r="B2">
        <v>13.3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s="16">
        <f>B2*2.59</f>
        <v>34.447000000000003</v>
      </c>
      <c r="I2" s="1" t="s">
        <v>151</v>
      </c>
      <c r="J2" s="18" t="s">
        <v>158</v>
      </c>
      <c r="K2" s="12"/>
    </row>
    <row r="3" spans="1:11" x14ac:dyDescent="0.2">
      <c r="A3" t="s">
        <v>153</v>
      </c>
      <c r="B3">
        <v>70.2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16">
        <f>B3*2.59</f>
        <v>181.81799999999998</v>
      </c>
      <c r="I3" s="1" t="s">
        <v>151</v>
      </c>
      <c r="J3" s="18" t="s">
        <v>161</v>
      </c>
      <c r="K3" s="12"/>
    </row>
    <row r="4" spans="1:11" x14ac:dyDescent="0.2">
      <c r="A4" t="s">
        <v>154</v>
      </c>
      <c r="B4">
        <v>128.80000000000001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s="16">
        <f t="shared" ref="H4:H8" si="0">B4*2.59</f>
        <v>333.59199999999998</v>
      </c>
      <c r="I4" s="1" t="s">
        <v>151</v>
      </c>
      <c r="K4" s="12"/>
    </row>
    <row r="5" spans="1:11" x14ac:dyDescent="0.2">
      <c r="A5" t="s">
        <v>155</v>
      </c>
      <c r="B5">
        <v>194.7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s="16">
        <f t="shared" si="0"/>
        <v>504.27299999999997</v>
      </c>
      <c r="I5" s="1" t="s">
        <v>151</v>
      </c>
      <c r="K5" s="12"/>
    </row>
    <row r="6" spans="1:11" x14ac:dyDescent="0.2">
      <c r="A6" t="s">
        <v>156</v>
      </c>
      <c r="B6">
        <v>359.9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s="16">
        <f t="shared" si="0"/>
        <v>932.14099999999985</v>
      </c>
      <c r="I6" s="1" t="s">
        <v>151</v>
      </c>
      <c r="K6" s="12"/>
    </row>
    <row r="7" spans="1:11" x14ac:dyDescent="0.2">
      <c r="A7" t="s">
        <v>157</v>
      </c>
      <c r="B7">
        <v>886.7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s="16">
        <f t="shared" si="0"/>
        <v>2296.5529999999999</v>
      </c>
      <c r="I7" s="1" t="s">
        <v>151</v>
      </c>
      <c r="K7" s="12"/>
    </row>
    <row r="8" spans="1:11" x14ac:dyDescent="0.2">
      <c r="A8" t="s">
        <v>159</v>
      </c>
      <c r="B8">
        <v>4386.1000000000004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s="16">
        <f t="shared" si="0"/>
        <v>11359.999</v>
      </c>
      <c r="I8" s="1" t="s">
        <v>151</v>
      </c>
      <c r="K8" s="12"/>
    </row>
  </sheetData>
  <phoneticPr fontId="5" type="noConversion"/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H15" sqref="H15"/>
    </sheetView>
  </sheetViews>
  <sheetFormatPr baseColWidth="10" defaultColWidth="8.6640625" defaultRowHeight="15" x14ac:dyDescent="0.2"/>
  <cols>
    <col min="1" max="1" width="9.6640625" customWidth="1"/>
    <col min="2" max="2" width="12.1640625" customWidth="1"/>
  </cols>
  <sheetData>
    <row r="1" spans="1:9" x14ac:dyDescent="0.2">
      <c r="A1" s="8" t="s">
        <v>63</v>
      </c>
      <c r="B1" s="8" t="s">
        <v>57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146</v>
      </c>
      <c r="B2" t="s">
        <v>107</v>
      </c>
      <c r="C2" s="21">
        <v>7.5438493580000003E-3</v>
      </c>
      <c r="D2" s="25">
        <v>6.5657605787018403E-3</v>
      </c>
      <c r="E2" s="25">
        <v>8.6259541200034429E-3</v>
      </c>
    </row>
    <row r="3" spans="1:9" x14ac:dyDescent="0.2">
      <c r="A3" t="s">
        <v>147</v>
      </c>
      <c r="B3" t="s">
        <v>107</v>
      </c>
      <c r="C3">
        <v>1.538E-2</v>
      </c>
      <c r="D3" s="25">
        <v>1.2175274191616903E-2</v>
      </c>
      <c r="E3" s="25">
        <v>1.8575312252222864E-2</v>
      </c>
    </row>
    <row r="4" spans="1:9" x14ac:dyDescent="0.2">
      <c r="A4" t="s">
        <v>148</v>
      </c>
      <c r="B4" t="s">
        <v>107</v>
      </c>
      <c r="C4">
        <v>0</v>
      </c>
      <c r="D4">
        <v>0</v>
      </c>
      <c r="E4">
        <v>0</v>
      </c>
    </row>
    <row r="5" spans="1:9" x14ac:dyDescent="0.2">
      <c r="A5" t="s">
        <v>117</v>
      </c>
      <c r="B5" t="s">
        <v>150</v>
      </c>
      <c r="C5">
        <v>2.9</v>
      </c>
      <c r="D5">
        <v>1.7</v>
      </c>
      <c r="E5">
        <v>5</v>
      </c>
      <c r="F5" t="s">
        <v>170</v>
      </c>
    </row>
    <row r="6" spans="1:9" x14ac:dyDescent="0.2">
      <c r="A6" t="s">
        <v>118</v>
      </c>
      <c r="B6" t="s">
        <v>150</v>
      </c>
      <c r="C6" s="15">
        <v>2.9950980392156863</v>
      </c>
      <c r="D6" s="15">
        <v>1.5079650915246505</v>
      </c>
      <c r="E6" s="15">
        <v>5.9488195813894986</v>
      </c>
      <c r="F6" t="s">
        <v>170</v>
      </c>
    </row>
    <row r="7" spans="1:9" x14ac:dyDescent="0.2">
      <c r="A7" t="s">
        <v>119</v>
      </c>
      <c r="B7" t="s">
        <v>150</v>
      </c>
      <c r="C7" s="15">
        <v>5.9153225806451619</v>
      </c>
      <c r="D7" s="15">
        <v>3.6078748383811243</v>
      </c>
      <c r="E7" s="15">
        <v>9.6985186018235687</v>
      </c>
    </row>
    <row r="8" spans="1:9" x14ac:dyDescent="0.2">
      <c r="A8" t="s">
        <v>149</v>
      </c>
      <c r="B8" t="s">
        <v>150</v>
      </c>
      <c r="C8">
        <v>3.5</v>
      </c>
      <c r="D8">
        <v>1.9</v>
      </c>
      <c r="E8">
        <v>6.4</v>
      </c>
    </row>
    <row r="9" spans="1:9" x14ac:dyDescent="0.2">
      <c r="A9" t="s">
        <v>120</v>
      </c>
      <c r="B9" t="s">
        <v>150</v>
      </c>
      <c r="C9" s="6">
        <v>1</v>
      </c>
      <c r="D9">
        <v>0.8</v>
      </c>
      <c r="E9">
        <v>1.2</v>
      </c>
      <c r="I9" t="s">
        <v>181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9"/>
  <sheetViews>
    <sheetView workbookViewId="0">
      <selection activeCell="F18" sqref="F18"/>
    </sheetView>
  </sheetViews>
  <sheetFormatPr baseColWidth="10" defaultColWidth="8.6640625" defaultRowHeight="15" x14ac:dyDescent="0.2"/>
  <cols>
    <col min="1" max="1" width="12.6640625" customWidth="1"/>
  </cols>
  <sheetData>
    <row r="1" spans="1:8" x14ac:dyDescent="0.2">
      <c r="A1" s="8" t="s">
        <v>63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108</v>
      </c>
      <c r="B2">
        <v>4.1800000000000002E-4</v>
      </c>
    </row>
    <row r="3" spans="1:8" x14ac:dyDescent="0.2">
      <c r="A3" t="s">
        <v>200</v>
      </c>
      <c r="B3">
        <v>2.0199999999999999E-2</v>
      </c>
      <c r="H3" t="s">
        <v>203</v>
      </c>
    </row>
    <row r="4" spans="1:8" x14ac:dyDescent="0.2">
      <c r="A4" t="s">
        <v>109</v>
      </c>
      <c r="B4">
        <v>8.2400000000000008E-3</v>
      </c>
    </row>
    <row r="5" spans="1:8" x14ac:dyDescent="0.2">
      <c r="A5" t="s">
        <v>201</v>
      </c>
      <c r="B5">
        <v>5.9500000000000004E-3</v>
      </c>
      <c r="H5" t="s">
        <v>205</v>
      </c>
    </row>
    <row r="6" spans="1:8" x14ac:dyDescent="0.2">
      <c r="A6" t="s">
        <v>110</v>
      </c>
      <c r="B6">
        <v>1.4800000000000001E-2</v>
      </c>
    </row>
    <row r="7" spans="1:8" x14ac:dyDescent="0.2">
      <c r="A7" t="s">
        <v>202</v>
      </c>
      <c r="B7">
        <v>2.5400000000000002E-3</v>
      </c>
      <c r="H7" t="s">
        <v>204</v>
      </c>
    </row>
    <row r="8" spans="1:8" x14ac:dyDescent="0.2">
      <c r="A8" t="s">
        <v>111</v>
      </c>
      <c r="B8">
        <v>4.5199999999999997E-2</v>
      </c>
    </row>
    <row r="9" spans="1:8" x14ac:dyDescent="0.2">
      <c r="A9" t="s">
        <v>197</v>
      </c>
      <c r="B9" s="3">
        <v>5.8999999999999999E-3</v>
      </c>
      <c r="H9" t="s">
        <v>199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InitialPop</vt:lpstr>
      <vt:lpstr>Demographic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Target</vt:lpstr>
      <vt:lpstr>CalibPar</vt:lpstr>
      <vt:lpstr>NxOnSurv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Microsoft Office User</cp:lastModifiedBy>
  <dcterms:created xsi:type="dcterms:W3CDTF">2015-06-05T18:17:20Z</dcterms:created>
  <dcterms:modified xsi:type="dcterms:W3CDTF">2021-11-17T21:31:40Z</dcterms:modified>
</cp:coreProperties>
</file>