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ason\Desktop\profound-model_0113\Inputs\"/>
    </mc:Choice>
  </mc:AlternateContent>
  <xr:revisionPtr revIDLastSave="0" documentId="13_ncr:1_{ED939F9B-9152-47E1-A3C7-75652CA5E23D}" xr6:coauthVersionLast="47" xr6:coauthVersionMax="47" xr10:uidLastSave="{00000000-0000-0000-0000-000000000000}"/>
  <bookViews>
    <workbookView xWindow="3585" yWindow="420" windowWidth="22200" windowHeight="7680" firstSheet="12" activeTab="17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Target" sheetId="23" r:id="rId19"/>
    <sheet name="CalibPar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C6" i="9"/>
  <c r="B2" i="10"/>
  <c r="C3" i="9"/>
  <c r="D2" i="24" l="1"/>
  <c r="C2" i="6"/>
  <c r="D2" i="6"/>
  <c r="B2" i="6"/>
  <c r="B14" i="24"/>
  <c r="C14" i="24"/>
  <c r="D14" i="24"/>
  <c r="A14" i="24"/>
  <c r="C3" i="24" l="1"/>
  <c r="D3" i="24"/>
  <c r="B3" i="24"/>
  <c r="C17" i="24"/>
  <c r="D17" i="24"/>
  <c r="B17" i="24"/>
  <c r="C16" i="24"/>
  <c r="D16" i="24"/>
  <c r="B16" i="24"/>
  <c r="C15" i="24"/>
  <c r="D15" i="24"/>
  <c r="B15" i="24"/>
  <c r="C13" i="24"/>
  <c r="D13" i="24"/>
  <c r="B13" i="24"/>
  <c r="C12" i="24"/>
  <c r="D12" i="24"/>
  <c r="B12" i="24"/>
  <c r="C11" i="24"/>
  <c r="D11" i="24"/>
  <c r="B11" i="24"/>
  <c r="C10" i="24"/>
  <c r="D10" i="24"/>
  <c r="B10" i="24"/>
  <c r="C9" i="24"/>
  <c r="D9" i="24"/>
  <c r="B9" i="24"/>
  <c r="C8" i="24"/>
  <c r="D8" i="24"/>
  <c r="B8" i="24"/>
  <c r="C7" i="24"/>
  <c r="D7" i="24"/>
  <c r="B7" i="24"/>
  <c r="C6" i="24"/>
  <c r="D6" i="24"/>
  <c r="B6" i="24"/>
  <c r="D5" i="24"/>
  <c r="C5" i="24"/>
  <c r="B5" i="24"/>
  <c r="C4" i="24"/>
  <c r="D4" i="24"/>
  <c r="B4" i="24"/>
  <c r="C2" i="24"/>
  <c r="D7" i="5"/>
  <c r="B2" i="24" s="1"/>
  <c r="C6" i="23"/>
  <c r="C7" i="23"/>
  <c r="C8" i="23"/>
  <c r="C9" i="23"/>
  <c r="C13" i="23"/>
  <c r="C12" i="23"/>
  <c r="C11" i="23"/>
  <c r="C10" i="23"/>
  <c r="B2" i="20" l="1"/>
  <c r="H3" i="1"/>
  <c r="G9" i="9" l="1"/>
  <c r="H4" i="1"/>
  <c r="H5" i="1"/>
  <c r="H6" i="1"/>
  <c r="H7" i="1"/>
  <c r="H8" i="1"/>
  <c r="D3" i="5" l="1"/>
  <c r="D2" i="5"/>
  <c r="C3" i="12" l="1"/>
  <c r="G5" i="12" l="1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<sst xmlns="http://schemas.openxmlformats.org/spreadsheetml/2006/main" count="1534" uniqueCount="193">
  <si>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</si>
  <si>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</si>
  <si>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</si>
  <si>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</si>
  <si>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</si>
  <si>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</si>
  <si>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</si>
  <si>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</si>
  <si>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</si>
  <si>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</si>
  <si>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</si>
  <si>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</si>
  <si>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</si>
  <si>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</si>
  <si>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</si>
  <si>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</si>
  <si>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</si>
  <si>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</si>
  <si>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</si>
  <si>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</si>
  <si>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</si>
  <si>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</si>
  <si>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</si>
  <si>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</si>
  <si>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</si>
  <si>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</si>
  <si>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</si>
  <si>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</si>
  <si>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</si>
  <si>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</si>
  <si>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</si>
  <si>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</si>
  <si>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</si>
  <si>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</si>
  <si>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</si>
  <si>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</si>
  <si>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</si>
  <si>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</si>
  <si>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</si>
  <si>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</si>
  <si>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</si>
  <si>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</si>
  <si>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</si>
  <si>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</si>
  <si>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</si>
  <si>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</si>
  <si>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</si>
  <si>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</si>
  <si>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</si>
  <si>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</si>
  <si>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</si>
  <si>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</si>
  <si>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</si>
  <si>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</si>
  <si>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</si>
  <si>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</si>
  <si>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</si>
  <si>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</si>
  <si>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</si>
  <si>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OD_wit</t>
  </si>
  <si>
    <t>OD_hosp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</si>
  <si>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</si>
  <si>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</si>
  <si>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</si>
  <si>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</si>
  <si>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</si>
  <si>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</si>
  <si>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</si>
  <si>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12to17</t>
  </si>
  <si>
    <t>18to25</t>
  </si>
  <si>
    <t>26to34</t>
  </si>
  <si>
    <t>35to49</t>
  </si>
  <si>
    <t>50to64</t>
  </si>
  <si>
    <t>65older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</si>
  <si>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</si>
  <si>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</si>
  <si>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</si>
  <si>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</si>
  <si>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</si>
  <si>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</si>
  <si>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</si>
  <si>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</si>
  <si>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year</t>
  </si>
  <si>
    <t>group</t>
  </si>
  <si>
    <t>monthly prob</t>
  </si>
  <si>
    <t>p.preb2il.lr</t>
  </si>
  <si>
    <t>p.il.lr2il.hr</t>
  </si>
  <si>
    <t>p.il.hr2il.lr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</si>
  <si>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</si>
  <si>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</si>
  <si>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</si>
  <si>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</si>
  <si>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</si>
  <si>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</si>
  <si>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</si>
  <si>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</si>
  <si>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</si>
  <si>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</si>
  <si>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</si>
  <si>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</si>
  <si>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</si>
  <si>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</si>
  <si>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</si>
  <si>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</si>
  <si>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</si>
  <si>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</si>
  <si>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</si>
  <si>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</si>
  <si>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</si>
  <si>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</si>
  <si>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</si>
  <si>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</si>
  <si>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</si>
  <si>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</si>
  <si>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</si>
  <si>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</si>
  <si>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</si>
  <si>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</si>
  <si>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</si>
  <si>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</si>
  <si>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</si>
  <si>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</si>
  <si>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</si>
  <si>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</si>
  <si>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</si>
  <si>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</si>
  <si>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</si>
  <si>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</si>
  <si>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</si>
  <si>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</si>
  <si>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</si>
  <si>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</si>
  <si>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</si>
  <si>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</si>
  <si>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</si>
  <si>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</si>
  <si>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</si>
  <si>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</si>
  <si>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</si>
  <si>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</si>
  <si>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</si>
  <si>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</si>
  <si>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</si>
  <si>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</si>
  <si>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</si>
  <si>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</si>
  <si>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</si>
  <si>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</si>
  <si>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</si>
  <si>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</si>
  <si>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OD_wit_pub</t>
  </si>
  <si>
    <t>pe: Dezman, lo: Carroll (beta). up: Kenney</t>
  </si>
  <si>
    <t>gw.fx</t>
  </si>
  <si>
    <t>fentanyl proportion (10.1001/jamanetworkopen.2019.2851), sti population (NSDUH)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</si>
  <si>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</si>
  <si>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</si>
  <si>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</si>
  <si>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</si>
  <si>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</si>
  <si>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</si>
  <si>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</si>
  <si>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</si>
  <si>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</si>
  <si>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</si>
  <si>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</si>
  <si>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</si>
  <si>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</si>
  <si>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</si>
  <si>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gw.m.2inact</t>
    <phoneticPr fontId="5" type="noConversion"/>
  </si>
  <si>
    <t>ini.inactive</t>
    <phoneticPr fontId="5" type="noConversion"/>
  </si>
  <si>
    <t>ini.oud.fx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</si>
  <si>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</si>
  <si>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</si>
  <si>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</si>
  <si>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</si>
  <si>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</si>
  <si>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</si>
  <si>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initial transition probability from illegal high risk opioid use to inactive state</t>
    <phoneticPr fontId="5" type="noConversion"/>
  </si>
  <si>
    <t>initial transition probability from illegal low risk opioid use to inactive state</t>
    <phoneticPr fontId="5" type="noConversion"/>
  </si>
  <si>
    <t>https://pubmed.ncbi.nlm.nih.gov/17265131/</t>
  </si>
  <si>
    <t>OD_cess</t>
    <phoneticPr fontId="5" type="noConversion"/>
  </si>
  <si>
    <t>p.inact2relap</t>
    <phoneticPr fontId="5" type="noConversion"/>
  </si>
  <si>
    <t>eff.pharNlx</t>
    <phoneticPr fontId="5" type="noConversion"/>
  </si>
  <si>
    <t>https://pubmed.ncbi.nlm.nih.gov/20579009/</t>
    <phoneticPr fontId="5" type="noConversion"/>
  </si>
  <si>
    <t>https://doi.org/10.1016/j.drugpo.2016.08.004</t>
    <phoneticPr fontId="5" type="noConversion"/>
  </si>
  <si>
    <t>beta</t>
    <phoneticPr fontId="5" type="noConversion"/>
  </si>
  <si>
    <t>monthly growth rate in fentanyl exposure</t>
    <phoneticPr fontId="5" type="noConversion"/>
  </si>
  <si>
    <t>Avergae number of months a kit is expired/lost and out of circulation</t>
    <phoneticPr fontId="5" type="noConversion"/>
  </si>
  <si>
    <t>Bird et al.2015</t>
    <phoneticPr fontId="5" type="noConversion"/>
  </si>
  <si>
    <t xml:space="preserve"> et al, 2016</t>
    <phoneticPr fontId="5" type="noConversion"/>
  </si>
  <si>
    <t>c.nlx.dtb.ssp</t>
    <phoneticPr fontId="5" type="noConversion"/>
  </si>
  <si>
    <t>c.nlx.dtb.mailevent</t>
    <phoneticPr fontId="5" type="noConversion"/>
  </si>
  <si>
    <t>c.nlx.dtb.healthcare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</si>
</sst>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0"/>
    <numFmt numFmtId="178" formatCode="0.0000"/>
    <numFmt numFmtId="179" formatCode="0.000"/>
    <numFmt numFmtId="180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176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6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79" fontId="0" fillId="0" borderId="0" xfId="0" applyNumberFormat="1"/>
    <xf numFmtId="2" fontId="0" fillId="0" borderId="0" xfId="0" applyNumberFormat="1"/>
    <xf numFmtId="180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77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77" fontId="0" fillId="0" borderId="0" xfId="0" applyNumberFormat="1"/>
    <xf numFmtId="2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jsat.2019.12.00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i.org/10.1016/j.drugpo.2016.08.004" TargetMode="External"/><Relationship Id="rId1" Type="http://schemas.openxmlformats.org/officeDocument/2006/relationships/hyperlink" Target="https://pubmed.ncbi.nlm.nih.gov/20579009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F25" sqref="F25"/>
    </sheetView>
  </sheetViews>
  <sheetFormatPr defaultColWidth="8.75" defaultRowHeight="14.25" x14ac:dyDescent="0.2"/>
  <cols>
    <col min="1" max="1" width="12.75" customWidth="1"/>
    <col min="2" max="2" width="10.375" customWidth="1"/>
  </cols>
  <sheetData>
    <row r="1" spans="1:11" x14ac:dyDescent="0.2">
      <c r="A1" s="8" t="s">
        <v>61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116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64</v>
      </c>
    </row>
    <row r="3" spans="1:11" x14ac:dyDescent="0.2">
      <c r="A3" t="s">
        <v>117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67</v>
      </c>
    </row>
    <row r="4" spans="1:11" x14ac:dyDescent="0.2">
      <c r="A4" t="s">
        <v>118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62</v>
      </c>
      <c r="G4" s="7">
        <f>C4</f>
        <v>5.1999999999999998E-2</v>
      </c>
      <c r="H4">
        <f>(E4-D4)/2/1.96</f>
        <v>7.7551020408163258E-3</v>
      </c>
      <c r="I4" t="s">
        <v>63</v>
      </c>
      <c r="J4" s="3"/>
      <c r="K4" s="3"/>
    </row>
    <row r="5" spans="1:11" x14ac:dyDescent="0.2">
      <c r="A5" t="s">
        <v>119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62</v>
      </c>
      <c r="G5" s="7">
        <f>C5</f>
        <v>3.2000000000000001E-2</v>
      </c>
      <c r="H5">
        <f>(E5-D5)/2/1.96</f>
        <v>2.5510204081632651E-3</v>
      </c>
      <c r="I5" t="s">
        <v>65</v>
      </c>
    </row>
    <row r="6" spans="1:11" x14ac:dyDescent="0.2">
      <c r="A6" t="s">
        <v>119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62</v>
      </c>
      <c r="G6" s="7">
        <f>C6</f>
        <v>1.6E-2</v>
      </c>
      <c r="H6">
        <f>(E6-D6)/2/1.96</f>
        <v>1.5306122448979593E-3</v>
      </c>
      <c r="I6" t="s">
        <v>66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9"/>
  <sheetViews>
    <sheetView workbookViewId="0">
      <selection activeCell="B32" sqref="B32"/>
    </sheetView>
  </sheetViews>
  <sheetFormatPr defaultColWidth="8.75" defaultRowHeight="14.25" x14ac:dyDescent="0.2"/>
  <cols>
    <col min="1" max="1" width="15.5" customWidth="1"/>
  </cols>
  <sheetData>
    <row r="1" spans="1:9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80</v>
      </c>
    </row>
    <row r="2" spans="1:9" x14ac:dyDescent="0.2">
      <c r="A2" t="s">
        <v>167</v>
      </c>
      <c r="B2">
        <v>0.12</v>
      </c>
      <c r="C2">
        <v>0.05</v>
      </c>
      <c r="D2">
        <v>0.31</v>
      </c>
    </row>
    <row r="3" spans="1:9" x14ac:dyDescent="0.2">
      <c r="A3" t="s">
        <v>59</v>
      </c>
      <c r="B3" s="14">
        <v>0.64500000000000002</v>
      </c>
      <c r="C3" s="15">
        <f>1-39/91</f>
        <v>0.5714285714285714</v>
      </c>
      <c r="D3">
        <v>0.85</v>
      </c>
    </row>
    <row r="4" spans="1:9" x14ac:dyDescent="0.2">
      <c r="A4" t="s">
        <v>164</v>
      </c>
      <c r="B4" s="14">
        <v>0.82</v>
      </c>
      <c r="C4" s="15">
        <v>0.75</v>
      </c>
      <c r="D4">
        <v>0.88</v>
      </c>
    </row>
    <row r="5" spans="1:9" x14ac:dyDescent="0.2">
      <c r="A5" t="s">
        <v>165</v>
      </c>
      <c r="B5" s="14">
        <v>0.6</v>
      </c>
      <c r="C5" s="15">
        <v>0.2</v>
      </c>
      <c r="D5">
        <v>1</v>
      </c>
    </row>
    <row r="6" spans="1:9" x14ac:dyDescent="0.2">
      <c r="A6" t="s">
        <v>159</v>
      </c>
      <c r="B6" s="14">
        <v>0.66200000000000003</v>
      </c>
      <c r="C6" s="15">
        <f>2075/3697</f>
        <v>0.56126589126318638</v>
      </c>
      <c r="D6" s="15">
        <v>0.79900000000000004</v>
      </c>
      <c r="H6" t="s">
        <v>160</v>
      </c>
      <c r="I6" s="22" t="s">
        <v>163</v>
      </c>
    </row>
    <row r="7" spans="1:9" x14ac:dyDescent="0.2">
      <c r="A7" t="s">
        <v>166</v>
      </c>
      <c r="B7" s="15">
        <v>0.59</v>
      </c>
      <c r="C7">
        <v>0.4</v>
      </c>
      <c r="D7" s="15">
        <v>0.7</v>
      </c>
      <c r="H7" t="s">
        <v>161</v>
      </c>
      <c r="I7" s="22" t="s">
        <v>162</v>
      </c>
    </row>
    <row r="8" spans="1:9" x14ac:dyDescent="0.2">
      <c r="A8" t="s">
        <v>60</v>
      </c>
      <c r="B8" s="14">
        <v>0.9</v>
      </c>
      <c r="C8">
        <v>0.85</v>
      </c>
      <c r="D8">
        <v>0.95</v>
      </c>
    </row>
    <row r="9" spans="1:9" x14ac:dyDescent="0.2">
      <c r="A9" t="s">
        <v>180</v>
      </c>
      <c r="B9" s="14">
        <v>7.5600000000000001E-2</v>
      </c>
      <c r="C9" s="14">
        <v>4.8390339999999997E-2</v>
      </c>
      <c r="D9" s="14">
        <v>0.11579589999999999</v>
      </c>
      <c r="E9" t="s">
        <v>137</v>
      </c>
      <c r="F9">
        <v>19</v>
      </c>
      <c r="G9">
        <f>251-F9</f>
        <v>232</v>
      </c>
      <c r="H9" s="22" t="s">
        <v>140</v>
      </c>
      <c r="I9" s="18" t="s">
        <v>138</v>
      </c>
    </row>
  </sheetData>
  <phoneticPr fontId="5" type="noConversion"/>
  <hyperlinks>
    <hyperlink ref="I9" r:id="rId1" xr:uid="{15D6B813-A970-440E-AF95-498C36C49594}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D32" sqref="D32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107</v>
      </c>
      <c r="B1" t="s">
        <v>105</v>
      </c>
      <c r="C1" t="s">
        <v>106</v>
      </c>
    </row>
    <row r="2" spans="1:3" x14ac:dyDescent="0.2">
      <c r="A2" t="s">
        <v>141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I34" sqref="I34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107</v>
      </c>
      <c r="B1" t="s">
        <v>105</v>
      </c>
      <c r="C1" t="s">
        <v>106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108</v>
      </c>
      <c r="B4" s="13">
        <v>0.16700000000000001</v>
      </c>
      <c r="C4" s="13">
        <v>0.83299999999999996</v>
      </c>
    </row>
    <row r="5" spans="1:3" x14ac:dyDescent="0.2">
      <c r="A5" t="s">
        <v>109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110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111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112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113</v>
      </c>
      <c r="B37" s="13">
        <v>0.33300000000000002</v>
      </c>
      <c r="C37" s="13">
        <v>0.66700000000000004</v>
      </c>
    </row>
    <row r="38" spans="1:3" x14ac:dyDescent="0.2">
      <c r="A38" t="s">
        <v>114</v>
      </c>
      <c r="B38" s="13">
        <v>0.13900000000000001</v>
      </c>
      <c r="C38" s="13">
        <v>0.86099999999999999</v>
      </c>
    </row>
    <row r="39" spans="1:3" x14ac:dyDescent="0.2">
      <c r="A39" t="s">
        <v>115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D5" sqref="D5"/>
    </sheetView>
  </sheetViews>
  <sheetFormatPr defaultColWidth="8.75" defaultRowHeight="14.25" x14ac:dyDescent="0.2"/>
  <cols>
    <col min="1" max="1" width="11.625" customWidth="1"/>
  </cols>
  <sheetData>
    <row r="1" spans="1:21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145</v>
      </c>
      <c r="B2" s="9">
        <f>9/153</f>
        <v>5.8823529411764705E-2</v>
      </c>
      <c r="C2">
        <v>3.1E-2</v>
      </c>
      <c r="D2">
        <v>0.108</v>
      </c>
      <c r="E2" t="s">
        <v>185</v>
      </c>
      <c r="F2">
        <v>9</v>
      </c>
      <c r="G2">
        <v>153</v>
      </c>
      <c r="H2" t="s">
        <v>188</v>
      </c>
    </row>
    <row r="3" spans="1:21" x14ac:dyDescent="0.2">
      <c r="A3" t="s">
        <v>158</v>
      </c>
      <c r="B3" s="9">
        <v>8.5599999999999999E-3</v>
      </c>
      <c r="C3" s="9">
        <v>5.5500000000000002E-3</v>
      </c>
      <c r="D3" s="14">
        <v>1.32E-2</v>
      </c>
      <c r="E3" t="s">
        <v>185</v>
      </c>
      <c r="F3">
        <v>20</v>
      </c>
      <c r="G3" s="17">
        <v>2336</v>
      </c>
      <c r="H3" s="14" t="s">
        <v>189</v>
      </c>
      <c r="I3" s="14"/>
    </row>
    <row r="4" spans="1:21" x14ac:dyDescent="0.2">
      <c r="A4" t="s">
        <v>146</v>
      </c>
      <c r="B4">
        <v>0.58799999999999997</v>
      </c>
      <c r="C4">
        <v>0.41899999999999998</v>
      </c>
      <c r="D4">
        <v>0.75800000000000001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35" sqref="J35"/>
    </sheetView>
  </sheetViews>
  <sheetFormatPr defaultColWidth="8.75" defaultRowHeight="14.25" x14ac:dyDescent="0.2"/>
  <sheetData>
    <row r="1" spans="1:8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187</v>
      </c>
    </row>
    <row r="3" spans="1:8" x14ac:dyDescent="0.2">
      <c r="A3" t="s">
        <v>139</v>
      </c>
      <c r="B3" s="5">
        <v>1</v>
      </c>
      <c r="C3" s="5">
        <v>0.75</v>
      </c>
      <c r="D3" s="5">
        <v>1.25</v>
      </c>
    </row>
    <row r="4" spans="1:8" x14ac:dyDescent="0.2">
      <c r="A4" t="s">
        <v>148</v>
      </c>
      <c r="B4">
        <v>1</v>
      </c>
    </row>
    <row r="5" spans="1:8" x14ac:dyDescent="0.2">
      <c r="A5" t="s">
        <v>182</v>
      </c>
      <c r="B5">
        <v>2.69</v>
      </c>
      <c r="C5">
        <v>2.5</v>
      </c>
      <c r="D5">
        <v>2.9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N6"/>
  <sheetViews>
    <sheetView workbookViewId="0">
      <selection activeCell="J41" sqref="J41"/>
    </sheetView>
  </sheetViews>
  <sheetFormatPr defaultColWidth="8.75" defaultRowHeight="14.25" x14ac:dyDescent="0.2"/>
  <sheetData>
    <row r="1" spans="1:40" x14ac:dyDescent="0.2">
      <c r="A1" t="s">
        <v>82</v>
      </c>
      <c r="B1" t="s">
        <v>34</v>
      </c>
      <c r="C1" t="s">
        <v>35</v>
      </c>
      <c r="D1" t="s">
        <v>7</v>
      </c>
      <c r="E1" t="s">
        <v>8</v>
      </c>
      <c r="F1" t="s">
        <v>37</v>
      </c>
      <c r="G1" t="s">
        <v>29</v>
      </c>
      <c r="H1" t="s">
        <v>9</v>
      </c>
      <c r="I1" t="s">
        <v>10</v>
      </c>
      <c r="J1" t="s">
        <v>30</v>
      </c>
      <c r="K1" t="s">
        <v>11</v>
      </c>
      <c r="L1" t="s">
        <v>38</v>
      </c>
      <c r="M1" t="s">
        <v>12</v>
      </c>
      <c r="N1" t="s">
        <v>13</v>
      </c>
      <c r="O1" t="s">
        <v>39</v>
      </c>
      <c r="P1" t="s">
        <v>23</v>
      </c>
      <c r="Q1" t="s">
        <v>14</v>
      </c>
      <c r="R1" t="s">
        <v>15</v>
      </c>
      <c r="S1" t="s">
        <v>24</v>
      </c>
      <c r="T1" t="s">
        <v>25</v>
      </c>
      <c r="U1" t="s">
        <v>40</v>
      </c>
      <c r="V1" t="s">
        <v>41</v>
      </c>
      <c r="W1" t="s">
        <v>26</v>
      </c>
      <c r="X1" t="s">
        <v>42</v>
      </c>
      <c r="Y1" t="s">
        <v>16</v>
      </c>
      <c r="Z1" t="s">
        <v>17</v>
      </c>
      <c r="AA1" t="s">
        <v>18</v>
      </c>
      <c r="AB1" t="s">
        <v>27</v>
      </c>
      <c r="AC1" t="s">
        <v>19</v>
      </c>
      <c r="AD1" t="s">
        <v>43</v>
      </c>
      <c r="AE1" t="s">
        <v>20</v>
      </c>
      <c r="AF1" t="s">
        <v>21</v>
      </c>
      <c r="AG1" t="s">
        <v>44</v>
      </c>
      <c r="AH1" t="s">
        <v>28</v>
      </c>
      <c r="AI1" t="s">
        <v>36</v>
      </c>
      <c r="AJ1" t="s">
        <v>31</v>
      </c>
      <c r="AK1" t="s">
        <v>32</v>
      </c>
      <c r="AL1" t="s">
        <v>33</v>
      </c>
      <c r="AM1" t="s">
        <v>45</v>
      </c>
      <c r="AN1" t="s">
        <v>22</v>
      </c>
    </row>
    <row r="2" spans="1:40" x14ac:dyDescent="0.2">
      <c r="A2">
        <v>2015</v>
      </c>
      <c r="B2">
        <v>4</v>
      </c>
      <c r="C2">
        <v>10</v>
      </c>
      <c r="D2">
        <v>36</v>
      </c>
      <c r="E2">
        <v>5</v>
      </c>
      <c r="F2">
        <v>5</v>
      </c>
      <c r="G2">
        <v>19</v>
      </c>
      <c r="H2">
        <v>144</v>
      </c>
      <c r="I2">
        <v>6</v>
      </c>
      <c r="J2">
        <v>7</v>
      </c>
      <c r="K2">
        <v>41</v>
      </c>
      <c r="L2">
        <v>36</v>
      </c>
      <c r="M2">
        <v>0</v>
      </c>
      <c r="N2">
        <v>0</v>
      </c>
      <c r="O2">
        <v>2</v>
      </c>
      <c r="P2">
        <v>4</v>
      </c>
      <c r="Q2">
        <v>12</v>
      </c>
      <c r="R2">
        <v>8</v>
      </c>
      <c r="S2">
        <v>0</v>
      </c>
      <c r="T2">
        <v>1</v>
      </c>
      <c r="U2">
        <v>28</v>
      </c>
      <c r="V2">
        <v>0</v>
      </c>
      <c r="W2">
        <v>17</v>
      </c>
      <c r="X2">
        <v>23</v>
      </c>
      <c r="Y2">
        <v>14</v>
      </c>
      <c r="Z2">
        <v>2</v>
      </c>
      <c r="AA2">
        <v>80</v>
      </c>
      <c r="AB2">
        <v>4</v>
      </c>
      <c r="AC2">
        <v>207</v>
      </c>
      <c r="AD2">
        <v>25</v>
      </c>
      <c r="AE2">
        <v>3</v>
      </c>
      <c r="AF2">
        <v>8</v>
      </c>
      <c r="AG2">
        <v>33</v>
      </c>
      <c r="AH2">
        <v>6</v>
      </c>
      <c r="AI2">
        <v>13</v>
      </c>
      <c r="AJ2">
        <v>53</v>
      </c>
      <c r="AK2">
        <v>2</v>
      </c>
      <c r="AL2">
        <v>29</v>
      </c>
      <c r="AM2">
        <v>11</v>
      </c>
      <c r="AN2">
        <v>34</v>
      </c>
    </row>
    <row r="3" spans="1:40" x14ac:dyDescent="0.2">
      <c r="A3">
        <v>2016</v>
      </c>
      <c r="B3">
        <v>12</v>
      </c>
      <c r="C3">
        <v>32</v>
      </c>
      <c r="D3">
        <v>121</v>
      </c>
      <c r="E3">
        <v>16</v>
      </c>
      <c r="F3">
        <v>16</v>
      </c>
      <c r="G3">
        <v>63</v>
      </c>
      <c r="H3">
        <v>477</v>
      </c>
      <c r="I3">
        <v>19</v>
      </c>
      <c r="J3">
        <v>22</v>
      </c>
      <c r="K3">
        <v>137</v>
      </c>
      <c r="L3">
        <v>120</v>
      </c>
      <c r="M3">
        <v>1</v>
      </c>
      <c r="N3">
        <v>1</v>
      </c>
      <c r="O3">
        <v>6</v>
      </c>
      <c r="P3">
        <v>12</v>
      </c>
      <c r="Q3">
        <v>40</v>
      </c>
      <c r="R3">
        <v>27</v>
      </c>
      <c r="S3">
        <v>0</v>
      </c>
      <c r="T3">
        <v>4</v>
      </c>
      <c r="U3">
        <v>93</v>
      </c>
      <c r="V3">
        <v>0</v>
      </c>
      <c r="W3">
        <v>56</v>
      </c>
      <c r="X3">
        <v>77</v>
      </c>
      <c r="Y3">
        <v>47</v>
      </c>
      <c r="Z3">
        <v>5</v>
      </c>
      <c r="AA3">
        <v>265</v>
      </c>
      <c r="AB3">
        <v>13</v>
      </c>
      <c r="AC3">
        <v>687</v>
      </c>
      <c r="AD3">
        <v>83</v>
      </c>
      <c r="AE3">
        <v>11</v>
      </c>
      <c r="AF3">
        <v>27</v>
      </c>
      <c r="AG3">
        <v>111</v>
      </c>
      <c r="AH3">
        <v>20</v>
      </c>
      <c r="AI3">
        <v>42</v>
      </c>
      <c r="AJ3">
        <v>176</v>
      </c>
      <c r="AK3">
        <v>7</v>
      </c>
      <c r="AL3">
        <v>97</v>
      </c>
      <c r="AM3">
        <v>35</v>
      </c>
      <c r="AN3">
        <v>112</v>
      </c>
    </row>
    <row r="4" spans="1:40" x14ac:dyDescent="0.2">
      <c r="A4">
        <v>2017</v>
      </c>
      <c r="B4">
        <v>7</v>
      </c>
      <c r="C4">
        <v>35</v>
      </c>
      <c r="D4">
        <v>28</v>
      </c>
      <c r="E4">
        <v>53</v>
      </c>
      <c r="F4">
        <v>27</v>
      </c>
      <c r="G4">
        <v>50</v>
      </c>
      <c r="H4">
        <v>225</v>
      </c>
      <c r="I4">
        <v>78</v>
      </c>
      <c r="J4">
        <v>17</v>
      </c>
      <c r="K4">
        <v>110</v>
      </c>
      <c r="L4">
        <v>6</v>
      </c>
      <c r="M4">
        <v>29</v>
      </c>
      <c r="N4">
        <v>9</v>
      </c>
      <c r="O4">
        <v>17</v>
      </c>
      <c r="P4">
        <v>1</v>
      </c>
      <c r="Q4">
        <v>148</v>
      </c>
      <c r="R4">
        <v>24</v>
      </c>
      <c r="S4">
        <v>4</v>
      </c>
      <c r="T4">
        <v>19</v>
      </c>
      <c r="U4">
        <v>44</v>
      </c>
      <c r="V4">
        <v>4</v>
      </c>
      <c r="W4">
        <v>53</v>
      </c>
      <c r="X4">
        <v>140</v>
      </c>
      <c r="Y4">
        <v>80</v>
      </c>
      <c r="Z4">
        <v>33</v>
      </c>
      <c r="AA4">
        <v>450</v>
      </c>
      <c r="AB4">
        <v>23</v>
      </c>
      <c r="AC4">
        <v>1265</v>
      </c>
      <c r="AD4">
        <v>57</v>
      </c>
      <c r="AE4">
        <v>14</v>
      </c>
      <c r="AF4">
        <v>35</v>
      </c>
      <c r="AG4">
        <v>68</v>
      </c>
      <c r="AH4">
        <v>16</v>
      </c>
      <c r="AI4">
        <v>10</v>
      </c>
      <c r="AJ4">
        <v>331</v>
      </c>
      <c r="AK4">
        <v>12</v>
      </c>
      <c r="AL4">
        <v>143</v>
      </c>
      <c r="AM4">
        <v>106</v>
      </c>
      <c r="AN4">
        <v>431</v>
      </c>
    </row>
    <row r="5" spans="1:40" x14ac:dyDescent="0.2">
      <c r="A5">
        <v>2018</v>
      </c>
      <c r="B5">
        <v>47</v>
      </c>
      <c r="C5">
        <v>105</v>
      </c>
      <c r="D5">
        <v>61</v>
      </c>
      <c r="E5">
        <v>91</v>
      </c>
      <c r="F5">
        <v>32</v>
      </c>
      <c r="G5">
        <v>155</v>
      </c>
      <c r="H5">
        <v>600</v>
      </c>
      <c r="I5">
        <v>98</v>
      </c>
      <c r="J5">
        <v>33</v>
      </c>
      <c r="K5">
        <v>150</v>
      </c>
      <c r="L5">
        <v>7</v>
      </c>
      <c r="M5">
        <v>29</v>
      </c>
      <c r="N5">
        <v>25</v>
      </c>
      <c r="O5">
        <v>42</v>
      </c>
      <c r="P5">
        <v>9</v>
      </c>
      <c r="Q5">
        <v>305</v>
      </c>
      <c r="R5">
        <v>54</v>
      </c>
      <c r="S5">
        <v>4</v>
      </c>
      <c r="T5">
        <v>44</v>
      </c>
      <c r="U5">
        <v>55</v>
      </c>
      <c r="V5">
        <v>64</v>
      </c>
      <c r="W5">
        <v>90</v>
      </c>
      <c r="X5">
        <v>170</v>
      </c>
      <c r="Y5">
        <v>125</v>
      </c>
      <c r="Z5">
        <v>47</v>
      </c>
      <c r="AA5">
        <v>846</v>
      </c>
      <c r="AB5">
        <v>81</v>
      </c>
      <c r="AC5">
        <v>2601</v>
      </c>
      <c r="AD5">
        <v>21</v>
      </c>
      <c r="AE5">
        <v>38</v>
      </c>
      <c r="AF5">
        <v>64</v>
      </c>
      <c r="AG5">
        <v>93</v>
      </c>
      <c r="AH5">
        <v>48</v>
      </c>
      <c r="AI5">
        <v>30</v>
      </c>
      <c r="AJ5">
        <v>544</v>
      </c>
      <c r="AK5">
        <v>12</v>
      </c>
      <c r="AL5">
        <v>218</v>
      </c>
      <c r="AM5">
        <v>257</v>
      </c>
      <c r="AN5">
        <v>655</v>
      </c>
    </row>
    <row r="6" spans="1:40" x14ac:dyDescent="0.2">
      <c r="A6">
        <v>2019</v>
      </c>
      <c r="B6">
        <v>115</v>
      </c>
      <c r="C6">
        <v>277</v>
      </c>
      <c r="D6">
        <v>93</v>
      </c>
      <c r="E6">
        <v>101</v>
      </c>
      <c r="F6">
        <v>16</v>
      </c>
      <c r="G6">
        <v>182</v>
      </c>
      <c r="H6">
        <v>486</v>
      </c>
      <c r="I6">
        <v>63</v>
      </c>
      <c r="J6">
        <v>48</v>
      </c>
      <c r="K6">
        <v>301</v>
      </c>
      <c r="L6">
        <v>25</v>
      </c>
      <c r="M6">
        <v>19</v>
      </c>
      <c r="N6">
        <v>19</v>
      </c>
      <c r="O6">
        <v>3</v>
      </c>
      <c r="P6">
        <v>2</v>
      </c>
      <c r="Q6">
        <v>134</v>
      </c>
      <c r="R6">
        <v>71</v>
      </c>
      <c r="S6">
        <v>8</v>
      </c>
      <c r="T6">
        <v>44</v>
      </c>
      <c r="U6">
        <v>49</v>
      </c>
      <c r="V6">
        <v>0</v>
      </c>
      <c r="W6">
        <v>123</v>
      </c>
      <c r="X6">
        <v>195</v>
      </c>
      <c r="Y6">
        <v>119</v>
      </c>
      <c r="Z6">
        <v>36</v>
      </c>
      <c r="AA6">
        <v>757</v>
      </c>
      <c r="AB6">
        <v>68</v>
      </c>
      <c r="AC6">
        <v>2808</v>
      </c>
      <c r="AD6">
        <v>24</v>
      </c>
      <c r="AE6">
        <v>64</v>
      </c>
      <c r="AF6">
        <v>40</v>
      </c>
      <c r="AG6">
        <v>120</v>
      </c>
      <c r="AH6">
        <v>36</v>
      </c>
      <c r="AI6">
        <v>127</v>
      </c>
      <c r="AJ6">
        <v>469</v>
      </c>
      <c r="AK6">
        <v>42</v>
      </c>
      <c r="AL6">
        <v>258</v>
      </c>
      <c r="AM6">
        <v>62</v>
      </c>
      <c r="AN6">
        <v>837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25" sqref="F25"/>
    </sheetView>
  </sheetViews>
  <sheetFormatPr defaultColWidth="8.75" defaultRowHeight="14.25" x14ac:dyDescent="0.2"/>
  <sheetData>
    <row r="1" spans="1:2" x14ac:dyDescent="0.2">
      <c r="A1" t="s">
        <v>82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35" sqref="H35"/>
    </sheetView>
  </sheetViews>
  <sheetFormatPr defaultColWidth="9.125" defaultRowHeight="14.25" x14ac:dyDescent="0.2"/>
  <cols>
    <col min="1" max="1" width="16.75" style="19" customWidth="1"/>
    <col min="2" max="16384" width="9.1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109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2"/>
  <sheetViews>
    <sheetView tabSelected="1" workbookViewId="0">
      <selection activeCell="B7" sqref="B7"/>
    </sheetView>
  </sheetViews>
  <sheetFormatPr defaultColWidth="8.75" defaultRowHeight="14.25" x14ac:dyDescent="0.2"/>
  <sheetData>
    <row r="1" spans="1:8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98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99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100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101</v>
      </c>
      <c r="B6" s="6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102</v>
      </c>
      <c r="B7">
        <v>55.2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190</v>
      </c>
      <c r="B8">
        <v>101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191</v>
      </c>
      <c r="B9">
        <v>162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192</v>
      </c>
      <c r="B10">
        <v>116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  <row r="11" spans="1:8" x14ac:dyDescent="0.2">
      <c r="A11" t="s">
        <v>103</v>
      </c>
      <c r="B11">
        <v>500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</row>
    <row r="12" spans="1:8" x14ac:dyDescent="0.2">
      <c r="A12" t="s">
        <v>104</v>
      </c>
      <c r="B12" s="6">
        <v>1034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E18" sqref="E18"/>
    </sheetView>
  </sheetViews>
  <sheetFormatPr defaultColWidth="8.75" defaultRowHeight="14.25" x14ac:dyDescent="0.2"/>
  <sheetData>
    <row r="1" spans="1:3" x14ac:dyDescent="0.2">
      <c r="A1" s="8" t="s">
        <v>61</v>
      </c>
      <c r="B1" s="8" t="s">
        <v>82</v>
      </c>
      <c r="C1" s="8" t="s">
        <v>0</v>
      </c>
    </row>
    <row r="2" spans="1:3" x14ac:dyDescent="0.2">
      <c r="A2" s="24" t="s">
        <v>147</v>
      </c>
      <c r="B2" s="24">
        <v>2016</v>
      </c>
      <c r="C2" s="24">
        <v>290</v>
      </c>
    </row>
    <row r="3" spans="1:3" x14ac:dyDescent="0.2">
      <c r="A3" s="24" t="s">
        <v>147</v>
      </c>
      <c r="B3" s="24">
        <v>2017</v>
      </c>
      <c r="C3" s="24">
        <v>286</v>
      </c>
    </row>
    <row r="4" spans="1:3" x14ac:dyDescent="0.2">
      <c r="A4" s="24" t="s">
        <v>147</v>
      </c>
      <c r="B4" s="24">
        <v>2018</v>
      </c>
      <c r="C4" s="24">
        <v>272</v>
      </c>
    </row>
    <row r="5" spans="1:3" x14ac:dyDescent="0.2">
      <c r="A5" s="24" t="s">
        <v>147</v>
      </c>
      <c r="B5" s="24">
        <v>2019</v>
      </c>
      <c r="C5" s="24">
        <v>256</v>
      </c>
    </row>
    <row r="6" spans="1:3" x14ac:dyDescent="0.2">
      <c r="A6" s="24" t="s">
        <v>143</v>
      </c>
      <c r="B6">
        <v>2016</v>
      </c>
      <c r="C6" s="2">
        <f>197/290</f>
        <v>0.67931034482758623</v>
      </c>
    </row>
    <row r="7" spans="1:3" x14ac:dyDescent="0.2">
      <c r="A7" s="24" t="s">
        <v>143</v>
      </c>
      <c r="B7">
        <v>2017</v>
      </c>
      <c r="C7" s="2">
        <f>207/286</f>
        <v>0.72377622377622375</v>
      </c>
    </row>
    <row r="8" spans="1:3" x14ac:dyDescent="0.2">
      <c r="A8" s="24" t="s">
        <v>143</v>
      </c>
      <c r="B8">
        <v>2018</v>
      </c>
      <c r="C8" s="2">
        <f>226/272</f>
        <v>0.83088235294117652</v>
      </c>
    </row>
    <row r="9" spans="1:3" x14ac:dyDescent="0.2">
      <c r="A9" s="24" t="s">
        <v>143</v>
      </c>
      <c r="B9">
        <v>2019</v>
      </c>
      <c r="C9" s="2">
        <f>214/256</f>
        <v>0.8359375</v>
      </c>
    </row>
    <row r="10" spans="1:3" x14ac:dyDescent="0.2">
      <c r="A10" t="s">
        <v>142</v>
      </c>
      <c r="B10">
        <v>2016</v>
      </c>
      <c r="C10">
        <f>110+108+107+149+147+169+151+167+134+132+107+127</f>
        <v>1608</v>
      </c>
    </row>
    <row r="11" spans="1:3" x14ac:dyDescent="0.2">
      <c r="A11" t="s">
        <v>142</v>
      </c>
      <c r="B11">
        <v>2017</v>
      </c>
      <c r="C11">
        <f>124+109+106+150+121+153+141+165+156+171+139+144</f>
        <v>1679</v>
      </c>
    </row>
    <row r="12" spans="1:3" x14ac:dyDescent="0.2">
      <c r="A12" t="s">
        <v>142</v>
      </c>
      <c r="B12">
        <v>2018</v>
      </c>
      <c r="C12">
        <f>114+102+119+134+163+142+120+149+112+139+148+119</f>
        <v>1561</v>
      </c>
    </row>
    <row r="13" spans="1:3" x14ac:dyDescent="0.2">
      <c r="A13" t="s">
        <v>142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G51" sqref="G51"/>
    </sheetView>
  </sheetViews>
  <sheetFormatPr defaultColWidth="8.75" defaultRowHeight="14.25" x14ac:dyDescent="0.2"/>
  <cols>
    <col min="4" max="8" width="11.125" customWidth="1"/>
    <col min="9" max="9" width="10.37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74</v>
      </c>
      <c r="C1" s="8" t="s">
        <v>75</v>
      </c>
      <c r="D1" s="8" t="s">
        <v>34</v>
      </c>
      <c r="E1" s="8" t="s">
        <v>35</v>
      </c>
      <c r="F1" s="8" t="s">
        <v>7</v>
      </c>
      <c r="G1" s="8" t="s">
        <v>109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76</v>
      </c>
      <c r="C2" t="s">
        <v>68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76</v>
      </c>
      <c r="C3" t="s">
        <v>69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76</v>
      </c>
      <c r="C4" t="s">
        <v>70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76</v>
      </c>
      <c r="C5" t="s">
        <v>71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76</v>
      </c>
      <c r="C6" t="s">
        <v>72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76</v>
      </c>
      <c r="C7" t="s">
        <v>73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77</v>
      </c>
      <c r="C8" t="s">
        <v>68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77</v>
      </c>
      <c r="C9" t="s">
        <v>69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77</v>
      </c>
      <c r="C10" t="s">
        <v>70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77</v>
      </c>
      <c r="C11" t="s">
        <v>71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77</v>
      </c>
      <c r="C12" t="s">
        <v>72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77</v>
      </c>
      <c r="C13" t="s">
        <v>73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79</v>
      </c>
      <c r="C14" t="s">
        <v>68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79</v>
      </c>
      <c r="C15" t="s">
        <v>69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79</v>
      </c>
      <c r="C16" t="s">
        <v>70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79</v>
      </c>
      <c r="C17" t="s">
        <v>71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79</v>
      </c>
      <c r="C18" t="s">
        <v>72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79</v>
      </c>
      <c r="C19" t="s">
        <v>73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78</v>
      </c>
      <c r="C20" t="s">
        <v>68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78</v>
      </c>
      <c r="C21" t="s">
        <v>69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78</v>
      </c>
      <c r="C22" t="s">
        <v>70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78</v>
      </c>
      <c r="C23" t="s">
        <v>71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78</v>
      </c>
      <c r="C24" t="s">
        <v>72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78</v>
      </c>
      <c r="C25" t="s">
        <v>73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76</v>
      </c>
      <c r="C26" t="s">
        <v>68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76</v>
      </c>
      <c r="C27" t="s">
        <v>69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76</v>
      </c>
      <c r="C28" t="s">
        <v>70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76</v>
      </c>
      <c r="C29" t="s">
        <v>71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76</v>
      </c>
      <c r="C30" t="s">
        <v>72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76</v>
      </c>
      <c r="C31" t="s">
        <v>73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77</v>
      </c>
      <c r="C32" t="s">
        <v>68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77</v>
      </c>
      <c r="C33" t="s">
        <v>69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77</v>
      </c>
      <c r="C34" t="s">
        <v>70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77</v>
      </c>
      <c r="C35" t="s">
        <v>71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77</v>
      </c>
      <c r="C36" t="s">
        <v>72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77</v>
      </c>
      <c r="C37" t="s">
        <v>73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79</v>
      </c>
      <c r="C38" t="s">
        <v>68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79</v>
      </c>
      <c r="C39" t="s">
        <v>69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79</v>
      </c>
      <c r="C40" t="s">
        <v>70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79</v>
      </c>
      <c r="C41" t="s">
        <v>71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79</v>
      </c>
      <c r="C42" t="s">
        <v>72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79</v>
      </c>
      <c r="C43" t="s">
        <v>73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78</v>
      </c>
      <c r="C44" t="s">
        <v>68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78</v>
      </c>
      <c r="C45" t="s">
        <v>69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78</v>
      </c>
      <c r="C46" t="s">
        <v>70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78</v>
      </c>
      <c r="C47" t="s">
        <v>71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78</v>
      </c>
      <c r="C48" t="s">
        <v>72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78</v>
      </c>
      <c r="C49" t="s">
        <v>73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H25"/>
  <sheetViews>
    <sheetView workbookViewId="0">
      <selection activeCell="G25" sqref="G25"/>
    </sheetView>
  </sheetViews>
  <sheetFormatPr defaultColWidth="8.75" defaultRowHeight="14.25" x14ac:dyDescent="0.2"/>
  <cols>
    <col min="1" max="1" width="12.375" customWidth="1"/>
  </cols>
  <sheetData>
    <row r="1" spans="1:8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90</v>
      </c>
      <c r="B2" s="4">
        <f>OpioidPattern!D7</f>
        <v>0.5641025641025641</v>
      </c>
      <c r="C2" s="4">
        <f>OpioidPattern!E7</f>
        <v>0.41550429999999999</v>
      </c>
      <c r="D2" s="4">
        <f>207/286</f>
        <v>0.72377622377622375</v>
      </c>
      <c r="H2" s="18"/>
    </row>
    <row r="3" spans="1:8" x14ac:dyDescent="0.2">
      <c r="A3" t="s">
        <v>152</v>
      </c>
      <c r="B3" s="4">
        <f>OpioidPattern!D8</f>
        <v>5.0000000000000001E-3</v>
      </c>
      <c r="C3" s="23">
        <f>OpioidPattern!E8</f>
        <v>0</v>
      </c>
      <c r="D3" s="23">
        <f>OpioidPattern!F8</f>
        <v>0.01</v>
      </c>
      <c r="H3" s="18"/>
    </row>
    <row r="4" spans="1:8" x14ac:dyDescent="0.2">
      <c r="A4" t="s">
        <v>121</v>
      </c>
      <c r="B4" s="21">
        <f>OverdoseRisk!C2</f>
        <v>2.6026429525052852E-3</v>
      </c>
      <c r="C4" s="21">
        <f>OverdoseRisk!D2</f>
        <v>1.2058338996029372E-3</v>
      </c>
      <c r="D4" s="21">
        <f>OverdoseRisk!E2</f>
        <v>4.5480147401865678E-3</v>
      </c>
    </row>
    <row r="5" spans="1:8" x14ac:dyDescent="0.2">
      <c r="A5" t="s">
        <v>122</v>
      </c>
      <c r="B5">
        <f>OverdoseRisk!C3</f>
        <v>1.538E-2</v>
      </c>
      <c r="C5" s="25">
        <f>OverdoseRisk!D3</f>
        <v>1.2175274191616903E-2</v>
      </c>
      <c r="D5" s="25">
        <f>OverdoseRisk!E3</f>
        <v>1.8575312252222864E-2</v>
      </c>
    </row>
    <row r="6" spans="1:8" x14ac:dyDescent="0.2">
      <c r="A6" t="s">
        <v>93</v>
      </c>
      <c r="B6">
        <f>OverdoseRisk!C5</f>
        <v>3.1</v>
      </c>
      <c r="C6">
        <f>OverdoseRisk!D5</f>
        <v>1.8</v>
      </c>
      <c r="D6">
        <f>OverdoseRisk!E5</f>
        <v>4.4000000000000004</v>
      </c>
    </row>
    <row r="7" spans="1:8" x14ac:dyDescent="0.2">
      <c r="A7" t="s">
        <v>94</v>
      </c>
      <c r="B7" s="15">
        <f>OverdoseRisk!C6</f>
        <v>6.0709999999999997</v>
      </c>
      <c r="C7" s="15">
        <f>OverdoseRisk!D6</f>
        <v>3.6269999999999998</v>
      </c>
      <c r="D7" s="15">
        <f>OverdoseRisk!E6</f>
        <v>10.162000000000001</v>
      </c>
    </row>
    <row r="8" spans="1:8" x14ac:dyDescent="0.2">
      <c r="A8" t="s">
        <v>95</v>
      </c>
      <c r="B8" s="15">
        <f>OverdoseRisk!C7</f>
        <v>4.3</v>
      </c>
      <c r="C8" s="15">
        <f>OverdoseRisk!D7</f>
        <v>3.6</v>
      </c>
      <c r="D8" s="15">
        <f>OverdoseRisk!E7</f>
        <v>5.2</v>
      </c>
    </row>
    <row r="9" spans="1:8" x14ac:dyDescent="0.2">
      <c r="A9" t="s">
        <v>124</v>
      </c>
      <c r="B9">
        <f>OverdoseRisk!C8</f>
        <v>3.5</v>
      </c>
      <c r="C9">
        <f>OverdoseRisk!D8</f>
        <v>1.9</v>
      </c>
      <c r="D9">
        <f>OverdoseRisk!E8</f>
        <v>6.4</v>
      </c>
    </row>
    <row r="10" spans="1:8" x14ac:dyDescent="0.2">
      <c r="A10" t="s">
        <v>145</v>
      </c>
      <c r="B10" s="9">
        <f>Mortality!B2</f>
        <v>5.8823529411764705E-2</v>
      </c>
      <c r="C10" s="14">
        <f>Mortality!C2</f>
        <v>3.1E-2</v>
      </c>
      <c r="D10" s="14">
        <f>Mortality!D2</f>
        <v>0.108</v>
      </c>
    </row>
    <row r="11" spans="1:8" x14ac:dyDescent="0.2">
      <c r="A11" t="s">
        <v>158</v>
      </c>
      <c r="B11" s="9">
        <f>Mortality!B3</f>
        <v>8.5599999999999999E-3</v>
      </c>
      <c r="C11" s="14">
        <f>Mortality!C3</f>
        <v>5.5500000000000002E-3</v>
      </c>
      <c r="D11" s="14">
        <f>Mortality!D3</f>
        <v>1.32E-2</v>
      </c>
    </row>
    <row r="12" spans="1:8" x14ac:dyDescent="0.2">
      <c r="A12" t="s">
        <v>146</v>
      </c>
      <c r="B12">
        <f>Mortality!B4</f>
        <v>0.58799999999999997</v>
      </c>
      <c r="C12">
        <f>Mortality!C4</f>
        <v>0.41899999999999998</v>
      </c>
      <c r="D12">
        <f>Mortality!D4</f>
        <v>0.75800000000000001</v>
      </c>
    </row>
    <row r="13" spans="1:8" x14ac:dyDescent="0.2">
      <c r="A13" t="s">
        <v>150</v>
      </c>
      <c r="B13" s="15">
        <f>DecisionTree!B4</f>
        <v>0.82</v>
      </c>
      <c r="C13" s="15">
        <f>DecisionTree!C4</f>
        <v>0.75</v>
      </c>
      <c r="D13" s="15">
        <f>DecisionTree!D4</f>
        <v>0.88</v>
      </c>
    </row>
    <row r="14" spans="1:8" x14ac:dyDescent="0.2">
      <c r="A14" t="str">
        <f>DecisionTree!A6</f>
        <v>OD_911_pub</v>
      </c>
      <c r="B14" s="15">
        <f>DecisionTree!B6</f>
        <v>0.66200000000000003</v>
      </c>
      <c r="C14" s="15">
        <f>DecisionTree!C6</f>
        <v>0.56126589126318638</v>
      </c>
      <c r="D14" s="15">
        <f>DecisionTree!D6</f>
        <v>0.79900000000000004</v>
      </c>
    </row>
    <row r="15" spans="1:8" x14ac:dyDescent="0.2">
      <c r="A15" t="s">
        <v>60</v>
      </c>
      <c r="B15">
        <f>DecisionTree!B8</f>
        <v>0.9</v>
      </c>
      <c r="C15">
        <f>DecisionTree!C8</f>
        <v>0.85</v>
      </c>
      <c r="D15">
        <f>DecisionTree!D8</f>
        <v>0.95</v>
      </c>
    </row>
    <row r="16" spans="1:8" x14ac:dyDescent="0.2">
      <c r="A16" t="s">
        <v>180</v>
      </c>
      <c r="B16" s="14">
        <f>DecisionTree!B9</f>
        <v>7.5600000000000001E-2</v>
      </c>
      <c r="C16" s="14">
        <f>DecisionTree!C9</f>
        <v>4.8390339999999997E-2</v>
      </c>
      <c r="D16" s="14">
        <f>DecisionTree!D9</f>
        <v>0.11579589999999999</v>
      </c>
    </row>
    <row r="17" spans="1:4" x14ac:dyDescent="0.2">
      <c r="A17" t="s">
        <v>139</v>
      </c>
      <c r="B17">
        <f>NxKit!B3</f>
        <v>1</v>
      </c>
      <c r="C17">
        <f>NxKit!C3</f>
        <v>0.75</v>
      </c>
      <c r="D17">
        <f>NxKit!D3</f>
        <v>1.25</v>
      </c>
    </row>
    <row r="25" spans="1:4" ht="13.5" customHeight="1" x14ac:dyDescent="0.2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M41" sqref="M41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74</v>
      </c>
      <c r="C1" s="8" t="s">
        <v>75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76</v>
      </c>
      <c r="C2" t="s">
        <v>68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81</v>
      </c>
    </row>
    <row r="3" spans="1:10" x14ac:dyDescent="0.2">
      <c r="A3" t="s">
        <v>51</v>
      </c>
      <c r="B3" t="s">
        <v>76</v>
      </c>
      <c r="C3" t="s">
        <v>69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76</v>
      </c>
      <c r="C4" t="s">
        <v>70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76</v>
      </c>
      <c r="C5" t="s">
        <v>71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76</v>
      </c>
      <c r="C6" t="s">
        <v>72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76</v>
      </c>
      <c r="C7" t="s">
        <v>73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77</v>
      </c>
      <c r="C8" t="s">
        <v>68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77</v>
      </c>
      <c r="C9" t="s">
        <v>69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77</v>
      </c>
      <c r="C10" t="s">
        <v>70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77</v>
      </c>
      <c r="C11" t="s">
        <v>71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77</v>
      </c>
      <c r="C12" t="s">
        <v>72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77</v>
      </c>
      <c r="C13" t="s">
        <v>73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79</v>
      </c>
      <c r="C14" t="s">
        <v>68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79</v>
      </c>
      <c r="C15" t="s">
        <v>69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79</v>
      </c>
      <c r="C16" t="s">
        <v>70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79</v>
      </c>
      <c r="C17" t="s">
        <v>71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79</v>
      </c>
      <c r="C18" t="s">
        <v>72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79</v>
      </c>
      <c r="C19" t="s">
        <v>73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78</v>
      </c>
      <c r="C20" t="s">
        <v>68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78</v>
      </c>
      <c r="C21" t="s">
        <v>69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78</v>
      </c>
      <c r="C22" t="s">
        <v>70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78</v>
      </c>
      <c r="C23" t="s">
        <v>71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78</v>
      </c>
      <c r="C24" t="s">
        <v>72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78</v>
      </c>
      <c r="C25" t="s">
        <v>73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76</v>
      </c>
      <c r="C26" t="s">
        <v>68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76</v>
      </c>
      <c r="C27" t="s">
        <v>69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76</v>
      </c>
      <c r="C28" t="s">
        <v>70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76</v>
      </c>
      <c r="C29" t="s">
        <v>71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76</v>
      </c>
      <c r="C30" t="s">
        <v>72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76</v>
      </c>
      <c r="C31" t="s">
        <v>73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77</v>
      </c>
      <c r="C32" t="s">
        <v>68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77</v>
      </c>
      <c r="C33" t="s">
        <v>69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77</v>
      </c>
      <c r="C34" t="s">
        <v>70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77</v>
      </c>
      <c r="C35" t="s">
        <v>71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77</v>
      </c>
      <c r="C36" t="s">
        <v>72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77</v>
      </c>
      <c r="C37" t="s">
        <v>73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79</v>
      </c>
      <c r="C38" t="s">
        <v>68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79</v>
      </c>
      <c r="C39" t="s">
        <v>69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79</v>
      </c>
      <c r="C40" t="s">
        <v>70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79</v>
      </c>
      <c r="C41" t="s">
        <v>71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79</v>
      </c>
      <c r="C42" t="s">
        <v>72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79</v>
      </c>
      <c r="C43" t="s">
        <v>73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78</v>
      </c>
      <c r="C44" t="s">
        <v>68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78</v>
      </c>
      <c r="C45" t="s">
        <v>69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78</v>
      </c>
      <c r="C46" t="s">
        <v>70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78</v>
      </c>
      <c r="C47" t="s">
        <v>71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78</v>
      </c>
      <c r="C48" t="s">
        <v>72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78</v>
      </c>
      <c r="C49" t="s">
        <v>73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4" sqref="I34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74</v>
      </c>
      <c r="C1" s="8" t="s">
        <v>75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76</v>
      </c>
      <c r="C2" t="s">
        <v>68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120</v>
      </c>
    </row>
    <row r="3" spans="1:10" x14ac:dyDescent="0.2">
      <c r="A3" t="s">
        <v>51</v>
      </c>
      <c r="B3" t="s">
        <v>76</v>
      </c>
      <c r="C3" t="s">
        <v>69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76</v>
      </c>
      <c r="C4" t="s">
        <v>70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76</v>
      </c>
      <c r="C5" t="s">
        <v>71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76</v>
      </c>
      <c r="C6" t="s">
        <v>72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76</v>
      </c>
      <c r="C7" t="s">
        <v>73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77</v>
      </c>
      <c r="C8" t="s">
        <v>68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77</v>
      </c>
      <c r="C9" t="s">
        <v>69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77</v>
      </c>
      <c r="C10" t="s">
        <v>70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77</v>
      </c>
      <c r="C11" t="s">
        <v>71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77</v>
      </c>
      <c r="C12" t="s">
        <v>72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77</v>
      </c>
      <c r="C13" t="s">
        <v>73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79</v>
      </c>
      <c r="C14" t="s">
        <v>68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79</v>
      </c>
      <c r="C15" t="s">
        <v>69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79</v>
      </c>
      <c r="C16" t="s">
        <v>70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79</v>
      </c>
      <c r="C17" t="s">
        <v>71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79</v>
      </c>
      <c r="C18" t="s">
        <v>72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79</v>
      </c>
      <c r="C19" t="s">
        <v>73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78</v>
      </c>
      <c r="C20" t="s">
        <v>68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78</v>
      </c>
      <c r="C21" t="s">
        <v>69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78</v>
      </c>
      <c r="C22" t="s">
        <v>70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78</v>
      </c>
      <c r="C23" t="s">
        <v>71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78</v>
      </c>
      <c r="C24" t="s">
        <v>72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78</v>
      </c>
      <c r="C25" t="s">
        <v>73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76</v>
      </c>
      <c r="C26" t="s">
        <v>68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76</v>
      </c>
      <c r="C27" t="s">
        <v>69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76</v>
      </c>
      <c r="C28" t="s">
        <v>70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76</v>
      </c>
      <c r="C29" t="s">
        <v>71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76</v>
      </c>
      <c r="C30" t="s">
        <v>72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76</v>
      </c>
      <c r="C31" t="s">
        <v>73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77</v>
      </c>
      <c r="C32" t="s">
        <v>68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77</v>
      </c>
      <c r="C33" t="s">
        <v>69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77</v>
      </c>
      <c r="C34" t="s">
        <v>70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77</v>
      </c>
      <c r="C35" t="s">
        <v>71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77</v>
      </c>
      <c r="C36" t="s">
        <v>72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77</v>
      </c>
      <c r="C37" t="s">
        <v>73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79</v>
      </c>
      <c r="C38" t="s">
        <v>68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79</v>
      </c>
      <c r="C39" t="s">
        <v>69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79</v>
      </c>
      <c r="C40" t="s">
        <v>70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79</v>
      </c>
      <c r="C41" t="s">
        <v>71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79</v>
      </c>
      <c r="C42" t="s">
        <v>72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79</v>
      </c>
      <c r="C43" t="s">
        <v>73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78</v>
      </c>
      <c r="C44" t="s">
        <v>68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78</v>
      </c>
      <c r="C45" t="s">
        <v>69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78</v>
      </c>
      <c r="C46" t="s">
        <v>70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78</v>
      </c>
      <c r="C47" t="s">
        <v>71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78</v>
      </c>
      <c r="C48" t="s">
        <v>72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78</v>
      </c>
      <c r="C49" t="s">
        <v>73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G16" sqref="G16"/>
    </sheetView>
  </sheetViews>
  <sheetFormatPr defaultColWidth="8.75" defaultRowHeight="14.25" x14ac:dyDescent="0.2"/>
  <cols>
    <col min="1" max="1" width="13.5" customWidth="1"/>
    <col min="5" max="5" width="8.75" customWidth="1"/>
    <col min="6" max="6" width="8.375" customWidth="1"/>
    <col min="8" max="8" width="9.375" customWidth="1"/>
  </cols>
  <sheetData>
    <row r="1" spans="1:11" x14ac:dyDescent="0.2">
      <c r="A1" s="8" t="s">
        <v>61</v>
      </c>
      <c r="B1" s="8" t="s">
        <v>46</v>
      </c>
      <c r="C1" s="8" t="s">
        <v>83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80</v>
      </c>
    </row>
    <row r="2" spans="1:11" x14ac:dyDescent="0.2">
      <c r="A2" t="s">
        <v>88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88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89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89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169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170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149</v>
      </c>
      <c r="K7" t="s">
        <v>151</v>
      </c>
    </row>
    <row r="8" spans="1:11" x14ac:dyDescent="0.2">
      <c r="A8" t="s">
        <v>152</v>
      </c>
      <c r="B8" t="s">
        <v>50</v>
      </c>
      <c r="C8" t="s">
        <v>50</v>
      </c>
      <c r="D8" s="23">
        <v>5.0000000000000001E-3</v>
      </c>
      <c r="E8" s="23">
        <v>0</v>
      </c>
      <c r="F8" s="23">
        <v>0.01</v>
      </c>
      <c r="J8" t="s">
        <v>186</v>
      </c>
      <c r="K8" s="3"/>
    </row>
    <row r="9" spans="1:11" x14ac:dyDescent="0.2">
      <c r="A9" s="6" t="s">
        <v>91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91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91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2" spans="1:11" x14ac:dyDescent="0.2">
      <c r="A12" s="6" t="s">
        <v>171</v>
      </c>
      <c r="B12" t="s">
        <v>156</v>
      </c>
      <c r="C12" s="6" t="s">
        <v>156</v>
      </c>
      <c r="D12" s="3">
        <v>0.19234100000000001</v>
      </c>
      <c r="J12" t="s">
        <v>155</v>
      </c>
      <c r="K12" t="s">
        <v>157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E24" sqref="E24"/>
    </sheetView>
  </sheetViews>
  <sheetFormatPr defaultColWidth="8.75" defaultRowHeight="14.25" x14ac:dyDescent="0.2"/>
  <cols>
    <col min="1" max="1" width="11" customWidth="1"/>
  </cols>
  <sheetData>
    <row r="1" spans="1:8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153</v>
      </c>
    </row>
    <row r="3" spans="1:8" x14ac:dyDescent="0.2">
      <c r="A3" t="s">
        <v>91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7" sqref="K37"/>
    </sheetView>
  </sheetViews>
  <sheetFormatPr defaultColWidth="8.75" defaultRowHeight="14.25" x14ac:dyDescent="0.2"/>
  <cols>
    <col min="1" max="1" width="11.5" customWidth="1"/>
    <col min="11" max="11" width="12" bestFit="1" customWidth="1"/>
  </cols>
  <sheetData>
    <row r="1" spans="1:11" x14ac:dyDescent="0.2">
      <c r="A1" s="8" t="s">
        <v>75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135</v>
      </c>
      <c r="I1" s="8" t="s">
        <v>6</v>
      </c>
      <c r="J1" s="8" t="s">
        <v>80</v>
      </c>
    </row>
    <row r="2" spans="1:11" x14ac:dyDescent="0.2">
      <c r="A2" t="s">
        <v>127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 t="shared" ref="H2:H8" si="0">B2*2.59</f>
        <v>34.447000000000003</v>
      </c>
      <c r="I2" s="1" t="s">
        <v>126</v>
      </c>
      <c r="J2" s="18" t="s">
        <v>133</v>
      </c>
      <c r="K2" s="12"/>
    </row>
    <row r="3" spans="1:11" x14ac:dyDescent="0.2">
      <c r="A3" t="s">
        <v>128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 t="shared" si="0"/>
        <v>181.81799999999998</v>
      </c>
      <c r="I3" s="1" t="s">
        <v>126</v>
      </c>
      <c r="J3" s="18" t="s">
        <v>136</v>
      </c>
      <c r="K3" s="12"/>
    </row>
    <row r="4" spans="1:11" x14ac:dyDescent="0.2">
      <c r="A4" t="s">
        <v>129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si="0"/>
        <v>333.59199999999998</v>
      </c>
      <c r="I4" s="1" t="s">
        <v>126</v>
      </c>
      <c r="K4" s="12"/>
    </row>
    <row r="5" spans="1:11" x14ac:dyDescent="0.2">
      <c r="A5" t="s">
        <v>130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126</v>
      </c>
      <c r="K5" s="12"/>
    </row>
    <row r="6" spans="1:11" x14ac:dyDescent="0.2">
      <c r="A6" t="s">
        <v>131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126</v>
      </c>
      <c r="K6" s="12"/>
    </row>
    <row r="7" spans="1:11" x14ac:dyDescent="0.2">
      <c r="A7" t="s">
        <v>132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126</v>
      </c>
      <c r="K7" s="12"/>
    </row>
    <row r="8" spans="1:11" x14ac:dyDescent="0.2">
      <c r="A8" t="s">
        <v>134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126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E20" sqref="E20"/>
    </sheetView>
  </sheetViews>
  <sheetFormatPr defaultColWidth="8.75" defaultRowHeight="14.25" x14ac:dyDescent="0.2"/>
  <cols>
    <col min="1" max="1" width="9.75" customWidth="1"/>
    <col min="2" max="2" width="12.125" customWidth="1"/>
  </cols>
  <sheetData>
    <row r="1" spans="1:9" x14ac:dyDescent="0.2">
      <c r="A1" s="8" t="s">
        <v>61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121</v>
      </c>
      <c r="B2" t="s">
        <v>84</v>
      </c>
      <c r="C2" s="21">
        <v>2.6026429525052852E-3</v>
      </c>
      <c r="D2" s="25">
        <v>1.2058338996029372E-3</v>
      </c>
      <c r="E2" s="25">
        <v>4.5480147401865678E-3</v>
      </c>
    </row>
    <row r="3" spans="1:9" x14ac:dyDescent="0.2">
      <c r="A3" t="s">
        <v>122</v>
      </c>
      <c r="B3" t="s">
        <v>84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123</v>
      </c>
      <c r="B4" t="s">
        <v>84</v>
      </c>
      <c r="C4">
        <v>0</v>
      </c>
      <c r="D4">
        <v>0</v>
      </c>
      <c r="E4">
        <v>0</v>
      </c>
    </row>
    <row r="5" spans="1:9" x14ac:dyDescent="0.2">
      <c r="A5" t="s">
        <v>93</v>
      </c>
      <c r="B5" t="s">
        <v>125</v>
      </c>
      <c r="C5">
        <v>3.1</v>
      </c>
      <c r="D5">
        <v>1.8</v>
      </c>
      <c r="E5">
        <v>4.4000000000000004</v>
      </c>
      <c r="F5" t="s">
        <v>144</v>
      </c>
    </row>
    <row r="6" spans="1:9" x14ac:dyDescent="0.2">
      <c r="A6" s="5" t="s">
        <v>94</v>
      </c>
      <c r="B6" s="5" t="s">
        <v>125</v>
      </c>
      <c r="C6" s="26">
        <v>6.0709999999999997</v>
      </c>
      <c r="D6" s="26">
        <v>3.6269999999999998</v>
      </c>
      <c r="E6" s="26">
        <v>10.162000000000001</v>
      </c>
      <c r="F6" t="s">
        <v>144</v>
      </c>
      <c r="I6" s="18" t="s">
        <v>184</v>
      </c>
    </row>
    <row r="7" spans="1:9" x14ac:dyDescent="0.2">
      <c r="A7" s="5" t="s">
        <v>95</v>
      </c>
      <c r="B7" s="5" t="s">
        <v>125</v>
      </c>
      <c r="C7" s="26">
        <v>4.3</v>
      </c>
      <c r="D7" s="26">
        <v>3.6</v>
      </c>
      <c r="E7" s="26">
        <v>5.2</v>
      </c>
      <c r="I7" s="18" t="s">
        <v>183</v>
      </c>
    </row>
    <row r="8" spans="1:9" x14ac:dyDescent="0.2">
      <c r="A8" t="s">
        <v>124</v>
      </c>
      <c r="B8" t="s">
        <v>125</v>
      </c>
      <c r="C8">
        <v>3.5</v>
      </c>
      <c r="D8">
        <v>1.9</v>
      </c>
      <c r="E8">
        <v>6.4</v>
      </c>
      <c r="I8" t="s">
        <v>179</v>
      </c>
    </row>
    <row r="9" spans="1:9" x14ac:dyDescent="0.2">
      <c r="A9" t="s">
        <v>96</v>
      </c>
      <c r="B9" t="s">
        <v>125</v>
      </c>
      <c r="C9" s="6">
        <v>1</v>
      </c>
      <c r="D9">
        <v>0.8</v>
      </c>
      <c r="E9">
        <v>1.2</v>
      </c>
      <c r="I9" t="s">
        <v>154</v>
      </c>
    </row>
  </sheetData>
  <phoneticPr fontId="5" type="noConversion"/>
  <hyperlinks>
    <hyperlink ref="I7" r:id="rId1" xr:uid="{D2BDE243-70FF-4BEE-8004-6DBDAB5E3597}"/>
    <hyperlink ref="I6" r:id="rId2" xr:uid="{58A6FE53-B34F-4D13-8456-291B6D396695}"/>
  </hyperlinks>
  <pageMargins left="0.7" right="0.7" top="0.75" bottom="0.75" header="0.3" footer="0.3"/>
  <pageSetup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9"/>
  <sheetViews>
    <sheetView workbookViewId="0">
      <selection activeCell="I18" sqref="I18"/>
    </sheetView>
  </sheetViews>
  <sheetFormatPr defaultColWidth="8.75" defaultRowHeight="14.25" x14ac:dyDescent="0.2"/>
  <cols>
    <col min="1" max="1" width="12.75" customWidth="1"/>
  </cols>
  <sheetData>
    <row r="1" spans="1:8" x14ac:dyDescent="0.2">
      <c r="A1" s="8" t="s">
        <v>61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85</v>
      </c>
      <c r="B2">
        <v>4.1800000000000002E-4</v>
      </c>
    </row>
    <row r="3" spans="1:8" x14ac:dyDescent="0.2">
      <c r="A3" t="s">
        <v>173</v>
      </c>
      <c r="B3">
        <v>3.7399999999999998E-3</v>
      </c>
      <c r="H3" t="s">
        <v>176</v>
      </c>
    </row>
    <row r="4" spans="1:8" x14ac:dyDescent="0.2">
      <c r="A4" t="s">
        <v>86</v>
      </c>
      <c r="B4">
        <v>8.2400000000000008E-3</v>
      </c>
    </row>
    <row r="5" spans="1:8" x14ac:dyDescent="0.2">
      <c r="A5" t="s">
        <v>174</v>
      </c>
      <c r="B5">
        <v>5.9500000000000004E-3</v>
      </c>
      <c r="H5" t="s">
        <v>178</v>
      </c>
    </row>
    <row r="6" spans="1:8" x14ac:dyDescent="0.2">
      <c r="A6" t="s">
        <v>87</v>
      </c>
      <c r="B6">
        <v>1.4800000000000001E-2</v>
      </c>
    </row>
    <row r="7" spans="1:8" x14ac:dyDescent="0.2">
      <c r="A7" t="s">
        <v>175</v>
      </c>
      <c r="B7">
        <v>2.5400000000000002E-3</v>
      </c>
      <c r="H7" t="s">
        <v>177</v>
      </c>
    </row>
    <row r="8" spans="1:8" x14ac:dyDescent="0.2">
      <c r="A8" t="s">
        <v>181</v>
      </c>
      <c r="B8">
        <v>4.5199999999999997E-2</v>
      </c>
    </row>
    <row r="9" spans="1:8" x14ac:dyDescent="0.2">
      <c r="A9" t="s">
        <v>168</v>
      </c>
      <c r="B9" s="3">
        <v>5.94E-3</v>
      </c>
      <c r="H9" t="s">
        <v>172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2022-04-18T06:55:02Z</dcterms:modified>
</cp:coreProperties>
</file>