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mos Ingenieria\12° Semestre\Proyecto de Hormigón Armado\Tarea 05\"/>
    </mc:Choice>
  </mc:AlternateContent>
  <xr:revisionPtr revIDLastSave="0" documentId="13_ncr:1_{FB389534-967D-41C6-A6E5-8ACBBF2A1482}" xr6:coauthVersionLast="38" xr6:coauthVersionMax="38" xr10:uidLastSave="{00000000-0000-0000-0000-000000000000}"/>
  <bookViews>
    <workbookView xWindow="0" yWindow="0" windowWidth="23040" windowHeight="9000" tabRatio="906" activeTab="15" xr2:uid="{DCE08E2E-61A3-415E-97C5-889CEC2E68E5}"/>
  </bookViews>
  <sheets>
    <sheet name="tablas" sheetId="1" r:id="rId1"/>
    <sheet name="-1" sheetId="2" r:id="rId2"/>
    <sheet name="Tabla -1" sheetId="10" r:id="rId3"/>
    <sheet name="1" sheetId="3" r:id="rId4"/>
    <sheet name="Tabla 1" sheetId="11" r:id="rId5"/>
    <sheet name="2 a 7" sheetId="4" r:id="rId6"/>
    <sheet name="8 a 13" sheetId="5" r:id="rId7"/>
    <sheet name="14 a 22" sheetId="6" r:id="rId8"/>
    <sheet name="Tabla 2 al 22" sheetId="14" r:id="rId9"/>
    <sheet name="23" sheetId="7" r:id="rId10"/>
    <sheet name="Tabla 23" sheetId="15" r:id="rId11"/>
    <sheet name="24" sheetId="8" r:id="rId12"/>
    <sheet name="Tabla 24" sheetId="16" r:id="rId13"/>
    <sheet name="Cubierta" sheetId="9" r:id="rId14"/>
    <sheet name="Tabla cub" sheetId="17" r:id="rId15"/>
    <sheet name="Deformaciones" sheetId="18" r:id="rId16"/>
  </sheets>
  <externalReferences>
    <externalReference r:id="rId17"/>
  </externalReferences>
  <definedNames>
    <definedName name="_xlnm._FilterDatabase" localSheetId="0" hidden="1">tablas!$C$2:$C$92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8" l="1"/>
  <c r="P26" i="14"/>
  <c r="Q26" i="14"/>
  <c r="R26" i="14"/>
  <c r="S26" i="14"/>
  <c r="T26" i="14"/>
  <c r="Q7" i="16"/>
  <c r="Q6" i="16"/>
  <c r="Q5" i="16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5" i="15"/>
  <c r="M15" i="3" l="1"/>
  <c r="K36" i="3"/>
  <c r="K35" i="3"/>
  <c r="K25" i="3"/>
  <c r="K36" i="2"/>
  <c r="K35" i="2"/>
  <c r="K25" i="2"/>
  <c r="I11" i="16" l="1"/>
  <c r="I12" i="16"/>
  <c r="S7" i="16"/>
  <c r="R7" i="16"/>
  <c r="P7" i="16"/>
  <c r="S6" i="16"/>
  <c r="R6" i="16"/>
  <c r="P6" i="16"/>
  <c r="S5" i="16"/>
  <c r="R5" i="16"/>
  <c r="P5" i="16"/>
  <c r="O7" i="16"/>
  <c r="O6" i="16"/>
  <c r="O5" i="16"/>
  <c r="O4" i="16"/>
  <c r="S26" i="15"/>
  <c r="R26" i="15"/>
  <c r="P26" i="15"/>
  <c r="S25" i="15"/>
  <c r="R25" i="15"/>
  <c r="P25" i="15"/>
  <c r="S24" i="15"/>
  <c r="R24" i="15"/>
  <c r="P24" i="15"/>
  <c r="S23" i="15"/>
  <c r="R23" i="15"/>
  <c r="P23" i="15"/>
  <c r="S22" i="15"/>
  <c r="R22" i="15"/>
  <c r="P22" i="15"/>
  <c r="S21" i="15"/>
  <c r="R21" i="15"/>
  <c r="P21" i="15"/>
  <c r="S20" i="15"/>
  <c r="R20" i="15"/>
  <c r="P20" i="15"/>
  <c r="S19" i="15"/>
  <c r="R19" i="15"/>
  <c r="P19" i="15"/>
  <c r="S18" i="15"/>
  <c r="R18" i="15"/>
  <c r="P18" i="15"/>
  <c r="S17" i="15"/>
  <c r="R17" i="15"/>
  <c r="P17" i="15"/>
  <c r="S16" i="15"/>
  <c r="R16" i="15"/>
  <c r="P16" i="15"/>
  <c r="S15" i="15"/>
  <c r="R15" i="15"/>
  <c r="P15" i="15"/>
  <c r="S14" i="15"/>
  <c r="R14" i="15"/>
  <c r="P14" i="15"/>
  <c r="S13" i="15"/>
  <c r="R13" i="15"/>
  <c r="P13" i="15"/>
  <c r="S12" i="15"/>
  <c r="R12" i="15"/>
  <c r="P12" i="15"/>
  <c r="S11" i="15"/>
  <c r="R11" i="15"/>
  <c r="P11" i="15"/>
  <c r="S10" i="15"/>
  <c r="R10" i="15"/>
  <c r="P10" i="15"/>
  <c r="S9" i="15"/>
  <c r="R9" i="15"/>
  <c r="P9" i="15"/>
  <c r="S8" i="15"/>
  <c r="R8" i="15"/>
  <c r="P8" i="15"/>
  <c r="S7" i="15"/>
  <c r="R7" i="15"/>
  <c r="P7" i="15"/>
  <c r="S6" i="15"/>
  <c r="R6" i="15"/>
  <c r="P6" i="15"/>
  <c r="S5" i="15"/>
  <c r="R5" i="15"/>
  <c r="P5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63" i="14"/>
  <c r="J62" i="14"/>
  <c r="J61" i="14"/>
  <c r="J60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T25" i="14"/>
  <c r="S25" i="14"/>
  <c r="Q25" i="14"/>
  <c r="T24" i="14"/>
  <c r="S24" i="14"/>
  <c r="Q24" i="14"/>
  <c r="T23" i="14"/>
  <c r="S23" i="14"/>
  <c r="Q23" i="14"/>
  <c r="T22" i="14"/>
  <c r="S22" i="14"/>
  <c r="Q22" i="14"/>
  <c r="T21" i="14"/>
  <c r="S21" i="14"/>
  <c r="Q21" i="14"/>
  <c r="T20" i="14"/>
  <c r="S20" i="14"/>
  <c r="Q20" i="14"/>
  <c r="T19" i="14"/>
  <c r="S19" i="14"/>
  <c r="Q19" i="14"/>
  <c r="T18" i="14"/>
  <c r="S18" i="14"/>
  <c r="Q18" i="14"/>
  <c r="T17" i="14"/>
  <c r="S17" i="14"/>
  <c r="Q17" i="14"/>
  <c r="T16" i="14"/>
  <c r="S16" i="14"/>
  <c r="Q16" i="14"/>
  <c r="T15" i="14"/>
  <c r="S15" i="14"/>
  <c r="Q15" i="14"/>
  <c r="T14" i="14"/>
  <c r="S14" i="14"/>
  <c r="Q14" i="14"/>
  <c r="T13" i="14"/>
  <c r="S13" i="14"/>
  <c r="Q13" i="14"/>
  <c r="T12" i="14"/>
  <c r="S12" i="14"/>
  <c r="Q12" i="14"/>
  <c r="T11" i="14"/>
  <c r="S11" i="14"/>
  <c r="Q11" i="14"/>
  <c r="T10" i="14"/>
  <c r="S10" i="14"/>
  <c r="Q10" i="14"/>
  <c r="T9" i="14"/>
  <c r="S9" i="14"/>
  <c r="Q9" i="14"/>
  <c r="T8" i="14"/>
  <c r="S8" i="14"/>
  <c r="Q8" i="14"/>
  <c r="T7" i="14"/>
  <c r="S7" i="14"/>
  <c r="Q7" i="14"/>
  <c r="T6" i="14"/>
  <c r="S6" i="14"/>
  <c r="Q6" i="14"/>
  <c r="T5" i="14"/>
  <c r="S5" i="14"/>
  <c r="Q5" i="14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5" i="10"/>
  <c r="O4" i="10"/>
  <c r="M7" i="17" l="1"/>
  <c r="L7" i="17"/>
  <c r="K7" i="17"/>
  <c r="J7" i="17"/>
  <c r="I7" i="17"/>
  <c r="H7" i="17"/>
  <c r="G7" i="17"/>
  <c r="F7" i="17"/>
  <c r="E7" i="17"/>
  <c r="M7" i="16"/>
  <c r="M6" i="16"/>
  <c r="M5" i="16"/>
  <c r="L7" i="16"/>
  <c r="K7" i="16"/>
  <c r="J7" i="16"/>
  <c r="I7" i="16"/>
  <c r="H7" i="16"/>
  <c r="G7" i="16"/>
  <c r="F7" i="16"/>
  <c r="L6" i="16"/>
  <c r="K6" i="16"/>
  <c r="J6" i="16"/>
  <c r="I6" i="16"/>
  <c r="H6" i="16"/>
  <c r="G6" i="16"/>
  <c r="F6" i="16"/>
  <c r="L5" i="16"/>
  <c r="K5" i="16"/>
  <c r="J5" i="16"/>
  <c r="I5" i="16"/>
  <c r="H5" i="16"/>
  <c r="G5" i="16"/>
  <c r="F5" i="16"/>
  <c r="E7" i="16"/>
  <c r="E6" i="16"/>
  <c r="E5" i="16"/>
  <c r="E7" i="11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M26" i="15"/>
  <c r="L26" i="15"/>
  <c r="K26" i="15"/>
  <c r="J26" i="15"/>
  <c r="I26" i="15"/>
  <c r="H26" i="15"/>
  <c r="G26" i="15"/>
  <c r="F26" i="15"/>
  <c r="M25" i="15"/>
  <c r="L25" i="15"/>
  <c r="K25" i="15"/>
  <c r="J25" i="15"/>
  <c r="I25" i="15"/>
  <c r="H25" i="15"/>
  <c r="G25" i="15"/>
  <c r="F25" i="15"/>
  <c r="M24" i="15"/>
  <c r="L24" i="15"/>
  <c r="K24" i="15"/>
  <c r="J24" i="15"/>
  <c r="I24" i="15"/>
  <c r="H24" i="15"/>
  <c r="G24" i="15"/>
  <c r="F24" i="15"/>
  <c r="M23" i="15"/>
  <c r="L23" i="15"/>
  <c r="K23" i="15"/>
  <c r="J23" i="15"/>
  <c r="I23" i="15"/>
  <c r="H23" i="15"/>
  <c r="G23" i="15"/>
  <c r="F23" i="15"/>
  <c r="M22" i="15"/>
  <c r="L22" i="15"/>
  <c r="K22" i="15"/>
  <c r="J22" i="15"/>
  <c r="I22" i="15"/>
  <c r="H22" i="15"/>
  <c r="G22" i="15"/>
  <c r="F22" i="15"/>
  <c r="M21" i="15"/>
  <c r="L21" i="15"/>
  <c r="K21" i="15"/>
  <c r="J21" i="15"/>
  <c r="I21" i="15"/>
  <c r="H21" i="15"/>
  <c r="G21" i="15"/>
  <c r="F21" i="15"/>
  <c r="M20" i="15"/>
  <c r="L20" i="15"/>
  <c r="K20" i="15"/>
  <c r="J20" i="15"/>
  <c r="I20" i="15"/>
  <c r="H20" i="15"/>
  <c r="G20" i="15"/>
  <c r="F20" i="15"/>
  <c r="M19" i="15"/>
  <c r="L19" i="15"/>
  <c r="K19" i="15"/>
  <c r="J19" i="15"/>
  <c r="I19" i="15"/>
  <c r="H19" i="15"/>
  <c r="G19" i="15"/>
  <c r="F19" i="15"/>
  <c r="M18" i="15"/>
  <c r="L18" i="15"/>
  <c r="K18" i="15"/>
  <c r="J18" i="15"/>
  <c r="I18" i="15"/>
  <c r="H18" i="15"/>
  <c r="G18" i="15"/>
  <c r="F18" i="15"/>
  <c r="M17" i="15"/>
  <c r="L17" i="15"/>
  <c r="K17" i="15"/>
  <c r="J17" i="15"/>
  <c r="I17" i="15"/>
  <c r="H17" i="15"/>
  <c r="G17" i="15"/>
  <c r="F17" i="15"/>
  <c r="M16" i="15"/>
  <c r="L16" i="15"/>
  <c r="K16" i="15"/>
  <c r="J16" i="15"/>
  <c r="I16" i="15"/>
  <c r="H16" i="15"/>
  <c r="G16" i="15"/>
  <c r="F16" i="15"/>
  <c r="M15" i="15"/>
  <c r="L15" i="15"/>
  <c r="K15" i="15"/>
  <c r="J15" i="15"/>
  <c r="I15" i="15"/>
  <c r="H15" i="15"/>
  <c r="G15" i="15"/>
  <c r="F15" i="15"/>
  <c r="M14" i="15"/>
  <c r="L14" i="15"/>
  <c r="K14" i="15"/>
  <c r="J14" i="15"/>
  <c r="I14" i="15"/>
  <c r="H14" i="15"/>
  <c r="G14" i="15"/>
  <c r="F14" i="15"/>
  <c r="M13" i="15"/>
  <c r="L13" i="15"/>
  <c r="K13" i="15"/>
  <c r="J13" i="15"/>
  <c r="I13" i="15"/>
  <c r="H13" i="15"/>
  <c r="G13" i="15"/>
  <c r="F13" i="15"/>
  <c r="M12" i="15"/>
  <c r="L12" i="15"/>
  <c r="K12" i="15"/>
  <c r="J12" i="15"/>
  <c r="I12" i="15"/>
  <c r="H12" i="15"/>
  <c r="G12" i="15"/>
  <c r="F12" i="15"/>
  <c r="M11" i="15"/>
  <c r="L11" i="15"/>
  <c r="K11" i="15"/>
  <c r="J11" i="15"/>
  <c r="I11" i="15"/>
  <c r="H11" i="15"/>
  <c r="G11" i="15"/>
  <c r="F11" i="15"/>
  <c r="M10" i="15"/>
  <c r="L10" i="15"/>
  <c r="K10" i="15"/>
  <c r="J10" i="15"/>
  <c r="I10" i="15"/>
  <c r="H10" i="15"/>
  <c r="G10" i="15"/>
  <c r="F10" i="15"/>
  <c r="M9" i="15"/>
  <c r="L9" i="15"/>
  <c r="K9" i="15"/>
  <c r="J9" i="15"/>
  <c r="I9" i="15"/>
  <c r="H9" i="15"/>
  <c r="G9" i="15"/>
  <c r="F9" i="15"/>
  <c r="M8" i="15"/>
  <c r="L8" i="15"/>
  <c r="K8" i="15"/>
  <c r="J8" i="15"/>
  <c r="I8" i="15"/>
  <c r="H8" i="15"/>
  <c r="G8" i="15"/>
  <c r="F8" i="15"/>
  <c r="M7" i="15"/>
  <c r="L7" i="15"/>
  <c r="K7" i="15"/>
  <c r="J7" i="15"/>
  <c r="I7" i="15"/>
  <c r="H7" i="15"/>
  <c r="G7" i="15"/>
  <c r="F7" i="15"/>
  <c r="M6" i="15"/>
  <c r="L6" i="15"/>
  <c r="K6" i="15"/>
  <c r="J6" i="15"/>
  <c r="I6" i="15"/>
  <c r="H6" i="15"/>
  <c r="G6" i="15"/>
  <c r="F6" i="15"/>
  <c r="M5" i="15"/>
  <c r="L5" i="15"/>
  <c r="K5" i="15"/>
  <c r="J5" i="15"/>
  <c r="I5" i="15"/>
  <c r="H5" i="15"/>
  <c r="G5" i="15"/>
  <c r="F5" i="15"/>
  <c r="N26" i="14"/>
  <c r="M26" i="14"/>
  <c r="L26" i="14"/>
  <c r="I26" i="14"/>
  <c r="H26" i="14"/>
  <c r="G26" i="14"/>
  <c r="N25" i="14"/>
  <c r="M25" i="14"/>
  <c r="L25" i="14"/>
  <c r="I25" i="14"/>
  <c r="H25" i="14"/>
  <c r="G25" i="14"/>
  <c r="N24" i="14"/>
  <c r="M24" i="14"/>
  <c r="L24" i="14"/>
  <c r="I24" i="14"/>
  <c r="H24" i="14"/>
  <c r="G24" i="14"/>
  <c r="N23" i="14"/>
  <c r="M23" i="14"/>
  <c r="L23" i="14"/>
  <c r="I23" i="14"/>
  <c r="H23" i="14"/>
  <c r="G23" i="14"/>
  <c r="N22" i="14"/>
  <c r="M22" i="14"/>
  <c r="L22" i="14"/>
  <c r="I22" i="14"/>
  <c r="H22" i="14"/>
  <c r="G22" i="14"/>
  <c r="N21" i="14"/>
  <c r="M21" i="14"/>
  <c r="L21" i="14"/>
  <c r="I21" i="14"/>
  <c r="H21" i="14"/>
  <c r="G21" i="14"/>
  <c r="N20" i="14"/>
  <c r="M20" i="14"/>
  <c r="L20" i="14"/>
  <c r="I20" i="14"/>
  <c r="H20" i="14"/>
  <c r="G20" i="14"/>
  <c r="N19" i="14"/>
  <c r="M19" i="14"/>
  <c r="L19" i="14"/>
  <c r="I19" i="14"/>
  <c r="H19" i="14"/>
  <c r="G19" i="14"/>
  <c r="N18" i="14"/>
  <c r="M18" i="14"/>
  <c r="L18" i="14"/>
  <c r="I18" i="14"/>
  <c r="H18" i="14"/>
  <c r="G18" i="14"/>
  <c r="N17" i="14"/>
  <c r="M17" i="14"/>
  <c r="L17" i="14"/>
  <c r="I17" i="14"/>
  <c r="H17" i="14"/>
  <c r="G17" i="14"/>
  <c r="N16" i="14"/>
  <c r="M16" i="14"/>
  <c r="L16" i="14"/>
  <c r="I16" i="14"/>
  <c r="H16" i="14"/>
  <c r="G16" i="14"/>
  <c r="N15" i="14"/>
  <c r="M15" i="14"/>
  <c r="L15" i="14"/>
  <c r="I15" i="14"/>
  <c r="H15" i="14"/>
  <c r="G15" i="14"/>
  <c r="N14" i="14"/>
  <c r="M14" i="14"/>
  <c r="L14" i="14"/>
  <c r="I14" i="14"/>
  <c r="H14" i="14"/>
  <c r="G14" i="14"/>
  <c r="N13" i="14"/>
  <c r="M13" i="14"/>
  <c r="L13" i="14"/>
  <c r="I13" i="14"/>
  <c r="H13" i="14"/>
  <c r="G13" i="14"/>
  <c r="N12" i="14"/>
  <c r="M12" i="14"/>
  <c r="L12" i="14"/>
  <c r="I12" i="14"/>
  <c r="H12" i="14"/>
  <c r="G12" i="14"/>
  <c r="N11" i="14"/>
  <c r="M11" i="14"/>
  <c r="L11" i="14"/>
  <c r="I11" i="14"/>
  <c r="H11" i="14"/>
  <c r="G11" i="14"/>
  <c r="N10" i="14"/>
  <c r="M10" i="14"/>
  <c r="L10" i="14"/>
  <c r="I10" i="14"/>
  <c r="H10" i="14"/>
  <c r="G10" i="14"/>
  <c r="N9" i="14"/>
  <c r="M9" i="14"/>
  <c r="L9" i="14"/>
  <c r="I9" i="14"/>
  <c r="H9" i="14"/>
  <c r="G9" i="14"/>
  <c r="N8" i="14"/>
  <c r="M8" i="14"/>
  <c r="L8" i="14"/>
  <c r="I8" i="14"/>
  <c r="H8" i="14"/>
  <c r="G8" i="14"/>
  <c r="N7" i="14"/>
  <c r="M7" i="14"/>
  <c r="L7" i="14"/>
  <c r="I7" i="14"/>
  <c r="H7" i="14"/>
  <c r="G7" i="14"/>
  <c r="N6" i="14"/>
  <c r="M6" i="14"/>
  <c r="L6" i="14"/>
  <c r="I6" i="14"/>
  <c r="H6" i="14"/>
  <c r="G6" i="14"/>
  <c r="N5" i="14"/>
  <c r="M5" i="14"/>
  <c r="L5" i="14"/>
  <c r="I5" i="14"/>
  <c r="H5" i="14"/>
  <c r="G5" i="14"/>
  <c r="C58" i="9"/>
  <c r="C55" i="9"/>
  <c r="C56" i="9" s="1"/>
  <c r="C57" i="9" s="1"/>
  <c r="C54" i="9"/>
  <c r="C53" i="9"/>
  <c r="C48" i="9"/>
  <c r="C43" i="9"/>
  <c r="C44" i="9" s="1"/>
  <c r="C45" i="9" s="1"/>
  <c r="C46" i="9" s="1"/>
  <c r="C47" i="9" s="1"/>
  <c r="C29" i="9"/>
  <c r="C26" i="9"/>
  <c r="C25" i="9"/>
  <c r="C34" i="9" s="1"/>
  <c r="F11" i="16"/>
  <c r="G11" i="16"/>
  <c r="F12" i="16"/>
  <c r="G12" i="16"/>
  <c r="E12" i="16"/>
  <c r="E11" i="16"/>
  <c r="E96" i="8"/>
  <c r="E97" i="8" s="1"/>
  <c r="E98" i="8" s="1"/>
  <c r="F96" i="8"/>
  <c r="D96" i="8"/>
  <c r="C96" i="8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S87" i="7"/>
  <c r="S88" i="7" s="1"/>
  <c r="S89" i="7" s="1"/>
  <c r="S90" i="7" s="1"/>
  <c r="K87" i="7"/>
  <c r="K88" i="7" s="1"/>
  <c r="K89" i="7" s="1"/>
  <c r="K90" i="7" s="1"/>
  <c r="C87" i="7"/>
  <c r="C88" i="7" s="1"/>
  <c r="C89" i="7" s="1"/>
  <c r="C90" i="7" s="1"/>
  <c r="X86" i="7"/>
  <c r="X87" i="7" s="1"/>
  <c r="X88" i="7" s="1"/>
  <c r="W86" i="7"/>
  <c r="W87" i="7" s="1"/>
  <c r="W88" i="7" s="1"/>
  <c r="W89" i="7" s="1"/>
  <c r="W90" i="7" s="1"/>
  <c r="V86" i="7"/>
  <c r="U86" i="7"/>
  <c r="T86" i="7"/>
  <c r="S86" i="7"/>
  <c r="R86" i="7"/>
  <c r="R87" i="7" s="1"/>
  <c r="R88" i="7" s="1"/>
  <c r="Q86" i="7"/>
  <c r="Q87" i="7" s="1"/>
  <c r="Q88" i="7" s="1"/>
  <c r="P86" i="7"/>
  <c r="P87" i="7" s="1"/>
  <c r="P88" i="7" s="1"/>
  <c r="O86" i="7"/>
  <c r="O87" i="7" s="1"/>
  <c r="O88" i="7" s="1"/>
  <c r="O89" i="7" s="1"/>
  <c r="O90" i="7" s="1"/>
  <c r="N86" i="7"/>
  <c r="M86" i="7"/>
  <c r="L86" i="7"/>
  <c r="K86" i="7"/>
  <c r="J86" i="7"/>
  <c r="J87" i="7" s="1"/>
  <c r="J88" i="7" s="1"/>
  <c r="I86" i="7"/>
  <c r="I87" i="7" s="1"/>
  <c r="I88" i="7" s="1"/>
  <c r="H86" i="7"/>
  <c r="H87" i="7" s="1"/>
  <c r="H88" i="7" s="1"/>
  <c r="G86" i="7"/>
  <c r="G87" i="7" s="1"/>
  <c r="G88" i="7" s="1"/>
  <c r="G89" i="7" s="1"/>
  <c r="G90" i="7" s="1"/>
  <c r="F86" i="7"/>
  <c r="E86" i="7"/>
  <c r="D86" i="7"/>
  <c r="C86" i="7"/>
  <c r="X82" i="7"/>
  <c r="X83" i="7" s="1"/>
  <c r="X84" i="7" s="1"/>
  <c r="X85" i="7" s="1"/>
  <c r="Q82" i="7"/>
  <c r="Q83" i="7" s="1"/>
  <c r="Q84" i="7" s="1"/>
  <c r="Q85" i="7" s="1"/>
  <c r="I82" i="7"/>
  <c r="I83" i="7" s="1"/>
  <c r="I84" i="7" s="1"/>
  <c r="I85" i="7" s="1"/>
  <c r="X81" i="7"/>
  <c r="W81" i="7"/>
  <c r="W82" i="7" s="1"/>
  <c r="W83" i="7" s="1"/>
  <c r="V81" i="7"/>
  <c r="V82" i="7" s="1"/>
  <c r="V83" i="7" s="1"/>
  <c r="U81" i="7"/>
  <c r="U82" i="7" s="1"/>
  <c r="U83" i="7" s="1"/>
  <c r="U84" i="7" s="1"/>
  <c r="U85" i="7" s="1"/>
  <c r="T81" i="7"/>
  <c r="S81" i="7"/>
  <c r="R81" i="7"/>
  <c r="Q81" i="7"/>
  <c r="P81" i="7"/>
  <c r="P82" i="7" s="1"/>
  <c r="P83" i="7" s="1"/>
  <c r="O81" i="7"/>
  <c r="O82" i="7" s="1"/>
  <c r="O83" i="7" s="1"/>
  <c r="N81" i="7"/>
  <c r="N82" i="7" s="1"/>
  <c r="N83" i="7" s="1"/>
  <c r="M81" i="7"/>
  <c r="M82" i="7" s="1"/>
  <c r="M83" i="7" s="1"/>
  <c r="M84" i="7" s="1"/>
  <c r="M85" i="7" s="1"/>
  <c r="L81" i="7"/>
  <c r="K81" i="7"/>
  <c r="J81" i="7"/>
  <c r="I81" i="7"/>
  <c r="H81" i="7"/>
  <c r="H82" i="7" s="1"/>
  <c r="H83" i="7" s="1"/>
  <c r="G81" i="7"/>
  <c r="G82" i="7" s="1"/>
  <c r="G83" i="7" s="1"/>
  <c r="F81" i="7"/>
  <c r="F82" i="7" s="1"/>
  <c r="F83" i="7" s="1"/>
  <c r="E81" i="7"/>
  <c r="E82" i="7" s="1"/>
  <c r="E83" i="7" s="1"/>
  <c r="E84" i="7" s="1"/>
  <c r="E85" i="7" s="1"/>
  <c r="D81" i="7"/>
  <c r="C81" i="7"/>
  <c r="W77" i="7"/>
  <c r="W78" i="7" s="1"/>
  <c r="W79" i="7" s="1"/>
  <c r="W80" i="7" s="1"/>
  <c r="O77" i="7"/>
  <c r="O78" i="7" s="1"/>
  <c r="O79" i="7" s="1"/>
  <c r="O80" i="7" s="1"/>
  <c r="G77" i="7"/>
  <c r="G78" i="7" s="1"/>
  <c r="G79" i="7" s="1"/>
  <c r="G80" i="7" s="1"/>
  <c r="X76" i="7"/>
  <c r="W76" i="7"/>
  <c r="V76" i="7"/>
  <c r="V77" i="7" s="1"/>
  <c r="V78" i="7" s="1"/>
  <c r="U76" i="7"/>
  <c r="U77" i="7" s="1"/>
  <c r="U78" i="7" s="1"/>
  <c r="T76" i="7"/>
  <c r="T77" i="7" s="1"/>
  <c r="T78" i="7" s="1"/>
  <c r="S76" i="7"/>
  <c r="S77" i="7" s="1"/>
  <c r="S78" i="7" s="1"/>
  <c r="S79" i="7" s="1"/>
  <c r="S80" i="7" s="1"/>
  <c r="R76" i="7"/>
  <c r="Q76" i="7"/>
  <c r="P76" i="7"/>
  <c r="O76" i="7"/>
  <c r="N76" i="7"/>
  <c r="N77" i="7" s="1"/>
  <c r="N78" i="7" s="1"/>
  <c r="M76" i="7"/>
  <c r="M77" i="7" s="1"/>
  <c r="M78" i="7" s="1"/>
  <c r="L76" i="7"/>
  <c r="L77" i="7" s="1"/>
  <c r="L78" i="7" s="1"/>
  <c r="K76" i="7"/>
  <c r="K77" i="7" s="1"/>
  <c r="K78" i="7" s="1"/>
  <c r="K79" i="7" s="1"/>
  <c r="K80" i="7" s="1"/>
  <c r="J76" i="7"/>
  <c r="I76" i="7"/>
  <c r="H76" i="7"/>
  <c r="G76" i="7"/>
  <c r="F76" i="7"/>
  <c r="F77" i="7" s="1"/>
  <c r="F78" i="7" s="1"/>
  <c r="E76" i="7"/>
  <c r="E77" i="7" s="1"/>
  <c r="E78" i="7" s="1"/>
  <c r="D76" i="7"/>
  <c r="D77" i="7" s="1"/>
  <c r="D78" i="7" s="1"/>
  <c r="C76" i="7"/>
  <c r="C77" i="7" s="1"/>
  <c r="C78" i="7" s="1"/>
  <c r="C79" i="7" s="1"/>
  <c r="C80" i="7" s="1"/>
  <c r="U72" i="7"/>
  <c r="U73" i="7" s="1"/>
  <c r="M72" i="7"/>
  <c r="M73" i="7" s="1"/>
  <c r="E72" i="7"/>
  <c r="E73" i="7" s="1"/>
  <c r="X71" i="7"/>
  <c r="W71" i="7"/>
  <c r="V71" i="7"/>
  <c r="U71" i="7"/>
  <c r="U74" i="7" s="1"/>
  <c r="U75" i="7" s="1"/>
  <c r="T71" i="7"/>
  <c r="T72" i="7" s="1"/>
  <c r="T73" i="7" s="1"/>
  <c r="S71" i="7"/>
  <c r="S72" i="7" s="1"/>
  <c r="S73" i="7" s="1"/>
  <c r="R71" i="7"/>
  <c r="R72" i="7" s="1"/>
  <c r="R73" i="7" s="1"/>
  <c r="Q71" i="7"/>
  <c r="Q72" i="7" s="1"/>
  <c r="Q73" i="7" s="1"/>
  <c r="Q74" i="7" s="1"/>
  <c r="Q75" i="7" s="1"/>
  <c r="P71" i="7"/>
  <c r="O71" i="7"/>
  <c r="N71" i="7"/>
  <c r="M71" i="7"/>
  <c r="L71" i="7"/>
  <c r="L72" i="7" s="1"/>
  <c r="L73" i="7" s="1"/>
  <c r="K71" i="7"/>
  <c r="K72" i="7" s="1"/>
  <c r="K73" i="7" s="1"/>
  <c r="J71" i="7"/>
  <c r="J72" i="7" s="1"/>
  <c r="J73" i="7" s="1"/>
  <c r="I71" i="7"/>
  <c r="I72" i="7" s="1"/>
  <c r="I73" i="7" s="1"/>
  <c r="I74" i="7" s="1"/>
  <c r="I75" i="7" s="1"/>
  <c r="H71" i="7"/>
  <c r="G71" i="7"/>
  <c r="F71" i="7"/>
  <c r="E71" i="7"/>
  <c r="E74" i="7" s="1"/>
  <c r="E75" i="7" s="1"/>
  <c r="D71" i="7"/>
  <c r="D72" i="7" s="1"/>
  <c r="D73" i="7" s="1"/>
  <c r="C71" i="7"/>
  <c r="C72" i="7" s="1"/>
  <c r="C73" i="7" s="1"/>
  <c r="W61" i="7"/>
  <c r="V61" i="7"/>
  <c r="T61" i="7"/>
  <c r="O61" i="7"/>
  <c r="N61" i="7"/>
  <c r="L61" i="7"/>
  <c r="G61" i="7"/>
  <c r="F61" i="7"/>
  <c r="D61" i="7"/>
  <c r="W59" i="7"/>
  <c r="V59" i="7"/>
  <c r="T59" i="7"/>
  <c r="O59" i="7"/>
  <c r="N59" i="7"/>
  <c r="L59" i="7"/>
  <c r="G59" i="7"/>
  <c r="F59" i="7"/>
  <c r="D59" i="7"/>
  <c r="W57" i="7"/>
  <c r="V57" i="7"/>
  <c r="T57" i="7"/>
  <c r="O57" i="7"/>
  <c r="N57" i="7"/>
  <c r="L57" i="7"/>
  <c r="G57" i="7"/>
  <c r="F57" i="7"/>
  <c r="D57" i="7"/>
  <c r="W54" i="7"/>
  <c r="V54" i="7"/>
  <c r="T54" i="7"/>
  <c r="O54" i="7"/>
  <c r="N54" i="7"/>
  <c r="L54" i="7"/>
  <c r="G54" i="7"/>
  <c r="F54" i="7"/>
  <c r="D54" i="7"/>
  <c r="W53" i="7"/>
  <c r="W62" i="7" s="1"/>
  <c r="V53" i="7"/>
  <c r="V62" i="7" s="1"/>
  <c r="U53" i="7"/>
  <c r="U62" i="7" s="1"/>
  <c r="T53" i="7"/>
  <c r="T62" i="7" s="1"/>
  <c r="S53" i="7"/>
  <c r="S61" i="7" s="1"/>
  <c r="R53" i="7"/>
  <c r="R56" i="7" s="1"/>
  <c r="Q53" i="7"/>
  <c r="Q61" i="7" s="1"/>
  <c r="P53" i="7"/>
  <c r="P58" i="7" s="1"/>
  <c r="O53" i="7"/>
  <c r="O62" i="7" s="1"/>
  <c r="N53" i="7"/>
  <c r="N62" i="7" s="1"/>
  <c r="M53" i="7"/>
  <c r="M62" i="7" s="1"/>
  <c r="L53" i="7"/>
  <c r="L62" i="7" s="1"/>
  <c r="K53" i="7"/>
  <c r="K61" i="7" s="1"/>
  <c r="J53" i="7"/>
  <c r="J56" i="7" s="1"/>
  <c r="I53" i="7"/>
  <c r="I61" i="7" s="1"/>
  <c r="H53" i="7"/>
  <c r="H61" i="7" s="1"/>
  <c r="G53" i="7"/>
  <c r="G62" i="7" s="1"/>
  <c r="F53" i="7"/>
  <c r="F62" i="7" s="1"/>
  <c r="E53" i="7"/>
  <c r="E62" i="7" s="1"/>
  <c r="D53" i="7"/>
  <c r="D62" i="7" s="1"/>
  <c r="X59" i="7"/>
  <c r="X58" i="7"/>
  <c r="X57" i="7"/>
  <c r="X54" i="7"/>
  <c r="X53" i="7"/>
  <c r="X62" i="7" s="1"/>
  <c r="C54" i="7"/>
  <c r="C53" i="7"/>
  <c r="C62" i="7" s="1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V87" i="6"/>
  <c r="V88" i="6" s="1"/>
  <c r="U87" i="6"/>
  <c r="U88" i="6" s="1"/>
  <c r="N87" i="6"/>
  <c r="N88" i="6" s="1"/>
  <c r="M87" i="6"/>
  <c r="M88" i="6" s="1"/>
  <c r="F87" i="6"/>
  <c r="F88" i="6" s="1"/>
  <c r="E87" i="6"/>
  <c r="E88" i="6" s="1"/>
  <c r="X86" i="6"/>
  <c r="X87" i="6" s="1"/>
  <c r="X88" i="6" s="1"/>
  <c r="W86" i="6"/>
  <c r="W87" i="6" s="1"/>
  <c r="W88" i="6" s="1"/>
  <c r="V86" i="6"/>
  <c r="V89" i="6" s="1"/>
  <c r="V90" i="6" s="1"/>
  <c r="U86" i="6"/>
  <c r="U89" i="6" s="1"/>
  <c r="U90" i="6" s="1"/>
  <c r="T86" i="6"/>
  <c r="S86" i="6"/>
  <c r="R86" i="6"/>
  <c r="R87" i="6" s="1"/>
  <c r="R88" i="6" s="1"/>
  <c r="R89" i="6" s="1"/>
  <c r="R90" i="6" s="1"/>
  <c r="Q86" i="6"/>
  <c r="Q87" i="6" s="1"/>
  <c r="Q88" i="6" s="1"/>
  <c r="Q89" i="6" s="1"/>
  <c r="Q90" i="6" s="1"/>
  <c r="P86" i="6"/>
  <c r="P87" i="6" s="1"/>
  <c r="P88" i="6" s="1"/>
  <c r="O86" i="6"/>
  <c r="O87" i="6" s="1"/>
  <c r="O88" i="6" s="1"/>
  <c r="N86" i="6"/>
  <c r="N89" i="6" s="1"/>
  <c r="N90" i="6" s="1"/>
  <c r="M86" i="6"/>
  <c r="M89" i="6" s="1"/>
  <c r="M90" i="6" s="1"/>
  <c r="L86" i="6"/>
  <c r="K86" i="6"/>
  <c r="J86" i="6"/>
  <c r="J87" i="6" s="1"/>
  <c r="J88" i="6" s="1"/>
  <c r="J89" i="6" s="1"/>
  <c r="J90" i="6" s="1"/>
  <c r="I86" i="6"/>
  <c r="I87" i="6" s="1"/>
  <c r="I88" i="6" s="1"/>
  <c r="I89" i="6" s="1"/>
  <c r="I90" i="6" s="1"/>
  <c r="H86" i="6"/>
  <c r="H87" i="6" s="1"/>
  <c r="H88" i="6" s="1"/>
  <c r="G86" i="6"/>
  <c r="G87" i="6" s="1"/>
  <c r="G88" i="6" s="1"/>
  <c r="F86" i="6"/>
  <c r="E86" i="6"/>
  <c r="D86" i="6"/>
  <c r="C86" i="6"/>
  <c r="T82" i="6"/>
  <c r="T83" i="6" s="1"/>
  <c r="S82" i="6"/>
  <c r="S83" i="6" s="1"/>
  <c r="L82" i="6"/>
  <c r="L83" i="6" s="1"/>
  <c r="K82" i="6"/>
  <c r="K83" i="6" s="1"/>
  <c r="D82" i="6"/>
  <c r="D83" i="6" s="1"/>
  <c r="C82" i="6"/>
  <c r="C83" i="6" s="1"/>
  <c r="X81" i="6"/>
  <c r="X82" i="6" s="1"/>
  <c r="X83" i="6" s="1"/>
  <c r="X84" i="6" s="1"/>
  <c r="X85" i="6" s="1"/>
  <c r="W81" i="6"/>
  <c r="W82" i="6" s="1"/>
  <c r="W83" i="6" s="1"/>
  <c r="W84" i="6" s="1"/>
  <c r="W85" i="6" s="1"/>
  <c r="V81" i="6"/>
  <c r="V82" i="6" s="1"/>
  <c r="V83" i="6" s="1"/>
  <c r="U81" i="6"/>
  <c r="U82" i="6" s="1"/>
  <c r="U83" i="6" s="1"/>
  <c r="T81" i="6"/>
  <c r="S81" i="6"/>
  <c r="R81" i="6"/>
  <c r="Q81" i="6"/>
  <c r="P81" i="6"/>
  <c r="P82" i="6" s="1"/>
  <c r="P83" i="6" s="1"/>
  <c r="P84" i="6" s="1"/>
  <c r="P85" i="6" s="1"/>
  <c r="O81" i="6"/>
  <c r="O82" i="6" s="1"/>
  <c r="O83" i="6" s="1"/>
  <c r="O84" i="6" s="1"/>
  <c r="O85" i="6" s="1"/>
  <c r="N81" i="6"/>
  <c r="N82" i="6" s="1"/>
  <c r="N83" i="6" s="1"/>
  <c r="M81" i="6"/>
  <c r="M82" i="6" s="1"/>
  <c r="M83" i="6" s="1"/>
  <c r="L81" i="6"/>
  <c r="L84" i="6" s="1"/>
  <c r="L85" i="6" s="1"/>
  <c r="K81" i="6"/>
  <c r="K84" i="6" s="1"/>
  <c r="K85" i="6" s="1"/>
  <c r="J81" i="6"/>
  <c r="I81" i="6"/>
  <c r="H81" i="6"/>
  <c r="H82" i="6" s="1"/>
  <c r="H83" i="6" s="1"/>
  <c r="H84" i="6" s="1"/>
  <c r="H85" i="6" s="1"/>
  <c r="G81" i="6"/>
  <c r="G82" i="6" s="1"/>
  <c r="G83" i="6" s="1"/>
  <c r="G84" i="6" s="1"/>
  <c r="G85" i="6" s="1"/>
  <c r="F81" i="6"/>
  <c r="F82" i="6" s="1"/>
  <c r="F83" i="6" s="1"/>
  <c r="E81" i="6"/>
  <c r="E82" i="6" s="1"/>
  <c r="E83" i="6" s="1"/>
  <c r="D81" i="6"/>
  <c r="C81" i="6"/>
  <c r="R77" i="6"/>
  <c r="R78" i="6" s="1"/>
  <c r="Q77" i="6"/>
  <c r="Q78" i="6" s="1"/>
  <c r="J77" i="6"/>
  <c r="J78" i="6" s="1"/>
  <c r="I77" i="6"/>
  <c r="I78" i="6" s="1"/>
  <c r="X76" i="6"/>
  <c r="W76" i="6"/>
  <c r="V76" i="6"/>
  <c r="V77" i="6" s="1"/>
  <c r="V78" i="6" s="1"/>
  <c r="V79" i="6" s="1"/>
  <c r="V80" i="6" s="1"/>
  <c r="U76" i="6"/>
  <c r="U77" i="6" s="1"/>
  <c r="U78" i="6" s="1"/>
  <c r="U79" i="6" s="1"/>
  <c r="U80" i="6" s="1"/>
  <c r="T76" i="6"/>
  <c r="T77" i="6" s="1"/>
  <c r="T78" i="6" s="1"/>
  <c r="S76" i="6"/>
  <c r="S77" i="6" s="1"/>
  <c r="S78" i="6" s="1"/>
  <c r="R76" i="6"/>
  <c r="R79" i="6" s="1"/>
  <c r="R80" i="6" s="1"/>
  <c r="Q76" i="6"/>
  <c r="Q79" i="6" s="1"/>
  <c r="Q80" i="6" s="1"/>
  <c r="P76" i="6"/>
  <c r="O76" i="6"/>
  <c r="N76" i="6"/>
  <c r="N77" i="6" s="1"/>
  <c r="N78" i="6" s="1"/>
  <c r="N79" i="6" s="1"/>
  <c r="N80" i="6" s="1"/>
  <c r="M76" i="6"/>
  <c r="M77" i="6" s="1"/>
  <c r="M78" i="6" s="1"/>
  <c r="M79" i="6" s="1"/>
  <c r="M80" i="6" s="1"/>
  <c r="L76" i="6"/>
  <c r="L77" i="6" s="1"/>
  <c r="L78" i="6" s="1"/>
  <c r="K76" i="6"/>
  <c r="K77" i="6" s="1"/>
  <c r="K78" i="6" s="1"/>
  <c r="J76" i="6"/>
  <c r="J79" i="6" s="1"/>
  <c r="J80" i="6" s="1"/>
  <c r="I76" i="6"/>
  <c r="I79" i="6" s="1"/>
  <c r="I80" i="6" s="1"/>
  <c r="H76" i="6"/>
  <c r="G76" i="6"/>
  <c r="F76" i="6"/>
  <c r="F77" i="6" s="1"/>
  <c r="F78" i="6" s="1"/>
  <c r="F79" i="6" s="1"/>
  <c r="F80" i="6" s="1"/>
  <c r="E76" i="6"/>
  <c r="E77" i="6" s="1"/>
  <c r="E78" i="6" s="1"/>
  <c r="E79" i="6" s="1"/>
  <c r="E80" i="6" s="1"/>
  <c r="D76" i="6"/>
  <c r="D77" i="6" s="1"/>
  <c r="D78" i="6" s="1"/>
  <c r="C76" i="6"/>
  <c r="C77" i="6" s="1"/>
  <c r="C78" i="6" s="1"/>
  <c r="X72" i="6"/>
  <c r="X73" i="6" s="1"/>
  <c r="W72" i="6"/>
  <c r="W73" i="6" s="1"/>
  <c r="P72" i="6"/>
  <c r="P73" i="6" s="1"/>
  <c r="O72" i="6"/>
  <c r="O73" i="6" s="1"/>
  <c r="H72" i="6"/>
  <c r="H73" i="6" s="1"/>
  <c r="G72" i="6"/>
  <c r="G73" i="6" s="1"/>
  <c r="X71" i="6"/>
  <c r="W71" i="6"/>
  <c r="V71" i="6"/>
  <c r="U71" i="6"/>
  <c r="T71" i="6"/>
  <c r="T72" i="6" s="1"/>
  <c r="T73" i="6" s="1"/>
  <c r="T74" i="6" s="1"/>
  <c r="T75" i="6" s="1"/>
  <c r="S71" i="6"/>
  <c r="S72" i="6" s="1"/>
  <c r="S73" i="6" s="1"/>
  <c r="S74" i="6" s="1"/>
  <c r="S75" i="6" s="1"/>
  <c r="R71" i="6"/>
  <c r="R72" i="6" s="1"/>
  <c r="R73" i="6" s="1"/>
  <c r="Q71" i="6"/>
  <c r="Q72" i="6" s="1"/>
  <c r="Q73" i="6" s="1"/>
  <c r="P71" i="6"/>
  <c r="O71" i="6"/>
  <c r="N71" i="6"/>
  <c r="M71" i="6"/>
  <c r="L71" i="6"/>
  <c r="L72" i="6" s="1"/>
  <c r="L73" i="6" s="1"/>
  <c r="L74" i="6" s="1"/>
  <c r="L75" i="6" s="1"/>
  <c r="K71" i="6"/>
  <c r="K72" i="6" s="1"/>
  <c r="K73" i="6" s="1"/>
  <c r="K74" i="6" s="1"/>
  <c r="K75" i="6" s="1"/>
  <c r="J71" i="6"/>
  <c r="J72" i="6" s="1"/>
  <c r="J73" i="6" s="1"/>
  <c r="I71" i="6"/>
  <c r="I72" i="6" s="1"/>
  <c r="I73" i="6" s="1"/>
  <c r="H71" i="6"/>
  <c r="G71" i="6"/>
  <c r="G74" i="6" s="1"/>
  <c r="G75" i="6" s="1"/>
  <c r="F71" i="6"/>
  <c r="E71" i="6"/>
  <c r="D71" i="6"/>
  <c r="D72" i="6" s="1"/>
  <c r="D73" i="6" s="1"/>
  <c r="D74" i="6" s="1"/>
  <c r="D75" i="6" s="1"/>
  <c r="C71" i="6"/>
  <c r="C72" i="6" s="1"/>
  <c r="C73" i="6" s="1"/>
  <c r="C74" i="6" s="1"/>
  <c r="C75" i="6" s="1"/>
  <c r="T61" i="6"/>
  <c r="L61" i="6"/>
  <c r="G61" i="6"/>
  <c r="D61" i="6"/>
  <c r="W59" i="6"/>
  <c r="T59" i="6"/>
  <c r="O59" i="6"/>
  <c r="L59" i="6"/>
  <c r="G59" i="6"/>
  <c r="D59" i="6"/>
  <c r="W57" i="6"/>
  <c r="T57" i="6"/>
  <c r="O57" i="6"/>
  <c r="L57" i="6"/>
  <c r="G57" i="6"/>
  <c r="D57" i="6"/>
  <c r="W54" i="6"/>
  <c r="T54" i="6"/>
  <c r="O54" i="6"/>
  <c r="L54" i="6"/>
  <c r="G54" i="6"/>
  <c r="D54" i="6"/>
  <c r="W53" i="6"/>
  <c r="W62" i="6" s="1"/>
  <c r="V53" i="6"/>
  <c r="V62" i="6" s="1"/>
  <c r="U53" i="6"/>
  <c r="U62" i="6" s="1"/>
  <c r="T53" i="6"/>
  <c r="T62" i="6" s="1"/>
  <c r="S53" i="6"/>
  <c r="S61" i="6" s="1"/>
  <c r="R53" i="6"/>
  <c r="R61" i="6" s="1"/>
  <c r="Q53" i="6"/>
  <c r="Q61" i="6" s="1"/>
  <c r="P53" i="6"/>
  <c r="P60" i="6" s="1"/>
  <c r="O53" i="6"/>
  <c r="O62" i="6" s="1"/>
  <c r="N53" i="6"/>
  <c r="N62" i="6" s="1"/>
  <c r="M53" i="6"/>
  <c r="M62" i="6" s="1"/>
  <c r="L53" i="6"/>
  <c r="L62" i="6" s="1"/>
  <c r="K53" i="6"/>
  <c r="K61" i="6" s="1"/>
  <c r="J53" i="6"/>
  <c r="J61" i="6" s="1"/>
  <c r="I53" i="6"/>
  <c r="I61" i="6" s="1"/>
  <c r="H53" i="6"/>
  <c r="H58" i="6" s="1"/>
  <c r="G53" i="6"/>
  <c r="G62" i="6" s="1"/>
  <c r="F53" i="6"/>
  <c r="F62" i="6" s="1"/>
  <c r="E53" i="6"/>
  <c r="E62" i="6" s="1"/>
  <c r="D53" i="6"/>
  <c r="D62" i="6" s="1"/>
  <c r="X61" i="6"/>
  <c r="X59" i="6"/>
  <c r="X54" i="6"/>
  <c r="X53" i="6"/>
  <c r="X62" i="6" s="1"/>
  <c r="C61" i="6"/>
  <c r="C59" i="6"/>
  <c r="C54" i="6"/>
  <c r="C53" i="6"/>
  <c r="C62" i="6" s="1"/>
  <c r="V61" i="5"/>
  <c r="N61" i="5"/>
  <c r="F61" i="5"/>
  <c r="V59" i="5"/>
  <c r="N59" i="5"/>
  <c r="F59" i="5"/>
  <c r="F81" i="5" s="1"/>
  <c r="V57" i="5"/>
  <c r="N57" i="5"/>
  <c r="F57" i="5"/>
  <c r="V54" i="5"/>
  <c r="N54" i="5"/>
  <c r="F54" i="5"/>
  <c r="W53" i="5"/>
  <c r="W62" i="5" s="1"/>
  <c r="V53" i="5"/>
  <c r="V62" i="5" s="1"/>
  <c r="U53" i="5"/>
  <c r="U62" i="5" s="1"/>
  <c r="T53" i="5"/>
  <c r="T62" i="5" s="1"/>
  <c r="S53" i="5"/>
  <c r="S61" i="5" s="1"/>
  <c r="R53" i="5"/>
  <c r="R56" i="5" s="1"/>
  <c r="Q53" i="5"/>
  <c r="Q61" i="5" s="1"/>
  <c r="P53" i="5"/>
  <c r="P61" i="5" s="1"/>
  <c r="O53" i="5"/>
  <c r="O62" i="5" s="1"/>
  <c r="N53" i="5"/>
  <c r="N62" i="5" s="1"/>
  <c r="M53" i="5"/>
  <c r="M62" i="5" s="1"/>
  <c r="L53" i="5"/>
  <c r="L62" i="5" s="1"/>
  <c r="K53" i="5"/>
  <c r="K61" i="5" s="1"/>
  <c r="J53" i="5"/>
  <c r="J61" i="5" s="1"/>
  <c r="I53" i="5"/>
  <c r="I61" i="5" s="1"/>
  <c r="H53" i="5"/>
  <c r="H61" i="5" s="1"/>
  <c r="G53" i="5"/>
  <c r="G62" i="5" s="1"/>
  <c r="F53" i="5"/>
  <c r="F62" i="5" s="1"/>
  <c r="E53" i="5"/>
  <c r="E62" i="5" s="1"/>
  <c r="D53" i="5"/>
  <c r="D62" i="5" s="1"/>
  <c r="X61" i="5"/>
  <c r="X60" i="5"/>
  <c r="X59" i="5"/>
  <c r="X58" i="5"/>
  <c r="X57" i="5"/>
  <c r="X56" i="5"/>
  <c r="X54" i="5"/>
  <c r="X53" i="5"/>
  <c r="X62" i="5" s="1"/>
  <c r="X76" i="5" s="1"/>
  <c r="C54" i="5"/>
  <c r="C53" i="5"/>
  <c r="C62" i="5" s="1"/>
  <c r="C62" i="4"/>
  <c r="C61" i="4"/>
  <c r="C60" i="4"/>
  <c r="C59" i="4"/>
  <c r="C58" i="4"/>
  <c r="C57" i="4"/>
  <c r="C56" i="4"/>
  <c r="C54" i="4"/>
  <c r="X58" i="4"/>
  <c r="X54" i="4"/>
  <c r="X53" i="4"/>
  <c r="X62" i="4" s="1"/>
  <c r="T61" i="4"/>
  <c r="L61" i="4"/>
  <c r="D61" i="4"/>
  <c r="T59" i="4"/>
  <c r="L59" i="4"/>
  <c r="L81" i="4" s="1"/>
  <c r="D59" i="4"/>
  <c r="D81" i="4" s="1"/>
  <c r="T57" i="4"/>
  <c r="L57" i="4"/>
  <c r="D57" i="4"/>
  <c r="T54" i="4"/>
  <c r="L54" i="4"/>
  <c r="D54" i="4"/>
  <c r="W53" i="4"/>
  <c r="W62" i="4" s="1"/>
  <c r="V53" i="4"/>
  <c r="V62" i="4" s="1"/>
  <c r="U53" i="4"/>
  <c r="U62" i="4" s="1"/>
  <c r="T53" i="4"/>
  <c r="T62" i="4" s="1"/>
  <c r="S53" i="4"/>
  <c r="S61" i="4" s="1"/>
  <c r="R53" i="4"/>
  <c r="R61" i="4" s="1"/>
  <c r="Q53" i="4"/>
  <c r="Q61" i="4" s="1"/>
  <c r="P53" i="4"/>
  <c r="P60" i="4" s="1"/>
  <c r="O53" i="4"/>
  <c r="O62" i="4" s="1"/>
  <c r="N53" i="4"/>
  <c r="N62" i="4" s="1"/>
  <c r="M53" i="4"/>
  <c r="M62" i="4" s="1"/>
  <c r="L53" i="4"/>
  <c r="L62" i="4" s="1"/>
  <c r="K53" i="4"/>
  <c r="K61" i="4" s="1"/>
  <c r="J53" i="4"/>
  <c r="J61" i="4" s="1"/>
  <c r="I53" i="4"/>
  <c r="I61" i="4" s="1"/>
  <c r="H53" i="4"/>
  <c r="H58" i="4" s="1"/>
  <c r="G53" i="4"/>
  <c r="G62" i="4" s="1"/>
  <c r="F53" i="4"/>
  <c r="F62" i="4" s="1"/>
  <c r="E53" i="4"/>
  <c r="E62" i="4" s="1"/>
  <c r="D53" i="4"/>
  <c r="D62" i="4" s="1"/>
  <c r="V118" i="5"/>
  <c r="J96" i="5"/>
  <c r="K118" i="4"/>
  <c r="L107" i="4"/>
  <c r="D107" i="4"/>
  <c r="L96" i="4"/>
  <c r="S87" i="5"/>
  <c r="S88" i="5" s="1"/>
  <c r="X86" i="5"/>
  <c r="X87" i="5" s="1"/>
  <c r="X88" i="5" s="1"/>
  <c r="W86" i="5"/>
  <c r="W87" i="5" s="1"/>
  <c r="W88" i="5" s="1"/>
  <c r="W89" i="5" s="1"/>
  <c r="W90" i="5" s="1"/>
  <c r="V86" i="5"/>
  <c r="U86" i="5"/>
  <c r="T86" i="5"/>
  <c r="S86" i="5"/>
  <c r="R86" i="5"/>
  <c r="R87" i="5" s="1"/>
  <c r="R88" i="5" s="1"/>
  <c r="Q86" i="5"/>
  <c r="Q87" i="5" s="1"/>
  <c r="Q88" i="5" s="1"/>
  <c r="P86" i="5"/>
  <c r="P87" i="5" s="1"/>
  <c r="P88" i="5" s="1"/>
  <c r="O86" i="5"/>
  <c r="O87" i="5" s="1"/>
  <c r="O88" i="5" s="1"/>
  <c r="O89" i="5" s="1"/>
  <c r="O90" i="5" s="1"/>
  <c r="N86" i="5"/>
  <c r="K86" i="5"/>
  <c r="F118" i="5" s="1"/>
  <c r="J86" i="5"/>
  <c r="J87" i="5" s="1"/>
  <c r="J88" i="5" s="1"/>
  <c r="X81" i="5"/>
  <c r="X82" i="5" s="1"/>
  <c r="X83" i="5" s="1"/>
  <c r="W81" i="5"/>
  <c r="W82" i="5" s="1"/>
  <c r="W83" i="5" s="1"/>
  <c r="V81" i="5"/>
  <c r="V82" i="5" s="1"/>
  <c r="V83" i="5" s="1"/>
  <c r="U81" i="5"/>
  <c r="U82" i="5" s="1"/>
  <c r="U83" i="5" s="1"/>
  <c r="U84" i="5" s="1"/>
  <c r="U85" i="5" s="1"/>
  <c r="T81" i="5"/>
  <c r="R118" i="5" s="1"/>
  <c r="S81" i="5"/>
  <c r="T118" i="5" s="1"/>
  <c r="Q81" i="5"/>
  <c r="Q82" i="5" s="1"/>
  <c r="Q83" i="5" s="1"/>
  <c r="P81" i="5"/>
  <c r="P82" i="5" s="1"/>
  <c r="P83" i="5" s="1"/>
  <c r="O81" i="5"/>
  <c r="O82" i="5" s="1"/>
  <c r="O83" i="5" s="1"/>
  <c r="N81" i="5"/>
  <c r="N82" i="5" s="1"/>
  <c r="N83" i="5" s="1"/>
  <c r="K81" i="5"/>
  <c r="K118" i="5" s="1"/>
  <c r="W76" i="5"/>
  <c r="W77" i="5" s="1"/>
  <c r="W78" i="5" s="1"/>
  <c r="V76" i="5"/>
  <c r="V77" i="5" s="1"/>
  <c r="V78" i="5" s="1"/>
  <c r="U76" i="5"/>
  <c r="U77" i="5" s="1"/>
  <c r="U78" i="5" s="1"/>
  <c r="T76" i="5"/>
  <c r="T77" i="5" s="1"/>
  <c r="T78" i="5" s="1"/>
  <c r="S76" i="5"/>
  <c r="S77" i="5" s="1"/>
  <c r="S78" i="5" s="1"/>
  <c r="S79" i="5" s="1"/>
  <c r="S80" i="5" s="1"/>
  <c r="Q76" i="5"/>
  <c r="P76" i="5"/>
  <c r="O76" i="5"/>
  <c r="O77" i="5" s="1"/>
  <c r="O78" i="5" s="1"/>
  <c r="N76" i="5"/>
  <c r="N77" i="5" s="1"/>
  <c r="N78" i="5" s="1"/>
  <c r="K76" i="5"/>
  <c r="K77" i="5" s="1"/>
  <c r="K78" i="5" s="1"/>
  <c r="K79" i="5" s="1"/>
  <c r="K80" i="5" s="1"/>
  <c r="U72" i="5"/>
  <c r="U73" i="5" s="1"/>
  <c r="X71" i="5"/>
  <c r="W71" i="5"/>
  <c r="V71" i="5"/>
  <c r="U71" i="5"/>
  <c r="T71" i="5"/>
  <c r="T72" i="5" s="1"/>
  <c r="T73" i="5" s="1"/>
  <c r="S71" i="5"/>
  <c r="S72" i="5" s="1"/>
  <c r="S73" i="5" s="1"/>
  <c r="Q71" i="5"/>
  <c r="Q72" i="5" s="1"/>
  <c r="Q73" i="5" s="1"/>
  <c r="Q74" i="5" s="1"/>
  <c r="Q75" i="5" s="1"/>
  <c r="P71" i="5"/>
  <c r="O71" i="5"/>
  <c r="N71" i="5"/>
  <c r="K71" i="5"/>
  <c r="K72" i="5" s="1"/>
  <c r="K73" i="5" s="1"/>
  <c r="J71" i="4"/>
  <c r="K71" i="4"/>
  <c r="K72" i="4" s="1"/>
  <c r="K73" i="4" s="1"/>
  <c r="N71" i="4"/>
  <c r="O71" i="4"/>
  <c r="O72" i="4" s="1"/>
  <c r="O73" i="4" s="1"/>
  <c r="P71" i="4"/>
  <c r="P72" i="4" s="1"/>
  <c r="P73" i="4" s="1"/>
  <c r="P74" i="4" s="1"/>
  <c r="P75" i="4" s="1"/>
  <c r="Q71" i="4"/>
  <c r="R71" i="4"/>
  <c r="S71" i="4"/>
  <c r="S72" i="4" s="1"/>
  <c r="S73" i="4" s="1"/>
  <c r="T71" i="4"/>
  <c r="U71" i="4"/>
  <c r="V71" i="4"/>
  <c r="W71" i="4"/>
  <c r="W72" i="4" s="1"/>
  <c r="W73" i="4" s="1"/>
  <c r="J72" i="4"/>
  <c r="J73" i="4" s="1"/>
  <c r="J74" i="4" s="1"/>
  <c r="J75" i="4" s="1"/>
  <c r="N72" i="4"/>
  <c r="N73" i="4" s="1"/>
  <c r="N74" i="4" s="1"/>
  <c r="N75" i="4" s="1"/>
  <c r="Q72" i="4"/>
  <c r="Q73" i="4" s="1"/>
  <c r="Q74" i="4" s="1"/>
  <c r="Q75" i="4" s="1"/>
  <c r="R72" i="4"/>
  <c r="R73" i="4" s="1"/>
  <c r="R74" i="4" s="1"/>
  <c r="R75" i="4" s="1"/>
  <c r="T72" i="4"/>
  <c r="V72" i="4"/>
  <c r="V73" i="4" s="1"/>
  <c r="V74" i="4" s="1"/>
  <c r="V75" i="4" s="1"/>
  <c r="T73" i="4"/>
  <c r="T74" i="4" s="1"/>
  <c r="T75" i="4" s="1"/>
  <c r="J76" i="4"/>
  <c r="J77" i="4" s="1"/>
  <c r="J78" i="4" s="1"/>
  <c r="K76" i="4"/>
  <c r="K77" i="4" s="1"/>
  <c r="K78" i="4" s="1"/>
  <c r="K79" i="4" s="1"/>
  <c r="K80" i="4" s="1"/>
  <c r="N76" i="4"/>
  <c r="N77" i="4" s="1"/>
  <c r="N78" i="4" s="1"/>
  <c r="O76" i="4"/>
  <c r="O77" i="4" s="1"/>
  <c r="O78" i="4" s="1"/>
  <c r="O79" i="4" s="1"/>
  <c r="O80" i="4" s="1"/>
  <c r="P76" i="4"/>
  <c r="P77" i="4" s="1"/>
  <c r="P78" i="4" s="1"/>
  <c r="P79" i="4" s="1"/>
  <c r="P80" i="4" s="1"/>
  <c r="Q76" i="4"/>
  <c r="R76" i="4"/>
  <c r="R77" i="4" s="1"/>
  <c r="R78" i="4" s="1"/>
  <c r="S76" i="4"/>
  <c r="T76" i="4"/>
  <c r="U76" i="4"/>
  <c r="U77" i="4" s="1"/>
  <c r="U78" i="4" s="1"/>
  <c r="U79" i="4" s="1"/>
  <c r="U80" i="4" s="1"/>
  <c r="V76" i="4"/>
  <c r="V77" i="4" s="1"/>
  <c r="V78" i="4" s="1"/>
  <c r="W76" i="4"/>
  <c r="W77" i="4" s="1"/>
  <c r="W78" i="4" s="1"/>
  <c r="W79" i="4" s="1"/>
  <c r="W80" i="4" s="1"/>
  <c r="Q77" i="4"/>
  <c r="Q78" i="4" s="1"/>
  <c r="Q79" i="4" s="1"/>
  <c r="Q80" i="4" s="1"/>
  <c r="S77" i="4"/>
  <c r="S78" i="4"/>
  <c r="S79" i="4" s="1"/>
  <c r="S80" i="4" s="1"/>
  <c r="J81" i="4"/>
  <c r="Z107" i="4" s="1"/>
  <c r="K81" i="4"/>
  <c r="I118" i="4" s="1"/>
  <c r="N81" i="4"/>
  <c r="J96" i="4" s="1"/>
  <c r="O81" i="4"/>
  <c r="Q81" i="4"/>
  <c r="Q82" i="4" s="1"/>
  <c r="Q83" i="4" s="1"/>
  <c r="R81" i="4"/>
  <c r="F107" i="4" s="1"/>
  <c r="S81" i="4"/>
  <c r="T118" i="4" s="1"/>
  <c r="T81" i="4"/>
  <c r="R118" i="4" s="1"/>
  <c r="U81" i="4"/>
  <c r="U82" i="4" s="1"/>
  <c r="U83" i="4" s="1"/>
  <c r="V81" i="4"/>
  <c r="W81" i="4"/>
  <c r="W82" i="4" s="1"/>
  <c r="W83" i="4" s="1"/>
  <c r="N82" i="4"/>
  <c r="N83" i="4" s="1"/>
  <c r="N84" i="4" s="1"/>
  <c r="N85" i="4" s="1"/>
  <c r="O82" i="4"/>
  <c r="T82" i="4"/>
  <c r="T83" i="4" s="1"/>
  <c r="T84" i="4" s="1"/>
  <c r="T85" i="4" s="1"/>
  <c r="V82" i="4"/>
  <c r="V83" i="4" s="1"/>
  <c r="V84" i="4" s="1"/>
  <c r="V85" i="4" s="1"/>
  <c r="O83" i="4"/>
  <c r="J86" i="4"/>
  <c r="K86" i="4"/>
  <c r="F118" i="4" s="1"/>
  <c r="N86" i="4"/>
  <c r="N87" i="4" s="1"/>
  <c r="N88" i="4" s="1"/>
  <c r="O86" i="4"/>
  <c r="U118" i="4" s="1"/>
  <c r="P86" i="4"/>
  <c r="P87" i="4" s="1"/>
  <c r="P88" i="4" s="1"/>
  <c r="Q86" i="4"/>
  <c r="R86" i="4"/>
  <c r="S86" i="4"/>
  <c r="T86" i="4"/>
  <c r="T87" i="4" s="1"/>
  <c r="T88" i="4" s="1"/>
  <c r="U86" i="4"/>
  <c r="V86" i="4"/>
  <c r="V87" i="4" s="1"/>
  <c r="V88" i="4" s="1"/>
  <c r="W86" i="4"/>
  <c r="W87" i="4" s="1"/>
  <c r="W88" i="4" s="1"/>
  <c r="W89" i="4" s="1"/>
  <c r="W90" i="4" s="1"/>
  <c r="K87" i="4"/>
  <c r="K88" i="4" s="1"/>
  <c r="K89" i="4" s="1"/>
  <c r="K90" i="4" s="1"/>
  <c r="Q87" i="4"/>
  <c r="Q88" i="4" s="1"/>
  <c r="Q89" i="4" s="1"/>
  <c r="Q90" i="4" s="1"/>
  <c r="S87" i="4"/>
  <c r="S88" i="4" s="1"/>
  <c r="S89" i="4" s="1"/>
  <c r="S90" i="4" s="1"/>
  <c r="U87" i="4"/>
  <c r="U88" i="4" s="1"/>
  <c r="U89" i="4" s="1"/>
  <c r="U90" i="4" s="1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K34" i="3" s="1"/>
  <c r="Q64" i="3"/>
  <c r="R64" i="3"/>
  <c r="S64" i="3"/>
  <c r="T64" i="3"/>
  <c r="U64" i="3"/>
  <c r="V64" i="3"/>
  <c r="W64" i="3"/>
  <c r="D65" i="3"/>
  <c r="D66" i="3" s="1"/>
  <c r="D67" i="3" s="1"/>
  <c r="E6" i="11" s="1"/>
  <c r="E65" i="3"/>
  <c r="E66" i="3" s="1"/>
  <c r="E67" i="3" s="1"/>
  <c r="F65" i="3"/>
  <c r="F66" i="3" s="1"/>
  <c r="G65" i="3"/>
  <c r="H65" i="3"/>
  <c r="I65" i="3"/>
  <c r="J65" i="3"/>
  <c r="J66" i="3" s="1"/>
  <c r="J67" i="3" s="1"/>
  <c r="K65" i="3"/>
  <c r="K66" i="3" s="1"/>
  <c r="L65" i="3"/>
  <c r="L66" i="3" s="1"/>
  <c r="L67" i="3" s="1"/>
  <c r="E14" i="11" s="1"/>
  <c r="M65" i="3"/>
  <c r="M66" i="3" s="1"/>
  <c r="M67" i="3" s="1"/>
  <c r="E15" i="11" s="1"/>
  <c r="N65" i="3"/>
  <c r="N66" i="3" s="1"/>
  <c r="O65" i="3"/>
  <c r="P65" i="3"/>
  <c r="Q65" i="3"/>
  <c r="R65" i="3"/>
  <c r="R66" i="3" s="1"/>
  <c r="R67" i="3" s="1"/>
  <c r="E20" i="11" s="1"/>
  <c r="S65" i="3"/>
  <c r="S66" i="3" s="1"/>
  <c r="T65" i="3"/>
  <c r="T66" i="3" s="1"/>
  <c r="T67" i="3" s="1"/>
  <c r="E22" i="11" s="1"/>
  <c r="U65" i="3"/>
  <c r="U66" i="3" s="1"/>
  <c r="U67" i="3" s="1"/>
  <c r="E23" i="11" s="1"/>
  <c r="V65" i="3"/>
  <c r="V66" i="3" s="1"/>
  <c r="W65" i="3"/>
  <c r="G66" i="3"/>
  <c r="H66" i="3"/>
  <c r="I66" i="3"/>
  <c r="O66" i="3"/>
  <c r="P66" i="3"/>
  <c r="P67" i="3" s="1"/>
  <c r="Q66" i="3"/>
  <c r="W66" i="3"/>
  <c r="W67" i="3" s="1"/>
  <c r="S67" i="3"/>
  <c r="C66" i="3"/>
  <c r="C65" i="3"/>
  <c r="C64" i="3"/>
  <c r="C65" i="2"/>
  <c r="C64" i="2"/>
  <c r="K34" i="2" s="1"/>
  <c r="C49" i="2"/>
  <c r="K18" i="2" s="1"/>
  <c r="I8" i="2"/>
  <c r="E18" i="11" l="1"/>
  <c r="K37" i="3"/>
  <c r="K67" i="3"/>
  <c r="E13" i="11" s="1"/>
  <c r="I67" i="3"/>
  <c r="E11" i="11" s="1"/>
  <c r="P69" i="3"/>
  <c r="K39" i="3" s="1"/>
  <c r="E25" i="11"/>
  <c r="N67" i="3"/>
  <c r="V67" i="3"/>
  <c r="F67" i="3"/>
  <c r="F69" i="3" s="1"/>
  <c r="E12" i="11"/>
  <c r="C67" i="3"/>
  <c r="H67" i="3"/>
  <c r="E21" i="11"/>
  <c r="C49" i="9"/>
  <c r="C50" i="9" s="1"/>
  <c r="C51" i="9" s="1"/>
  <c r="C52" i="9" s="1"/>
  <c r="C59" i="9"/>
  <c r="C60" i="9" s="1"/>
  <c r="C61" i="9" s="1"/>
  <c r="C62" i="9" s="1"/>
  <c r="C28" i="9"/>
  <c r="C30" i="9"/>
  <c r="C31" i="9"/>
  <c r="C32" i="9"/>
  <c r="C33" i="9"/>
  <c r="E99" i="8"/>
  <c r="E100" i="8" s="1"/>
  <c r="E101" i="8" s="1"/>
  <c r="E102" i="8" s="1"/>
  <c r="D89" i="7"/>
  <c r="D90" i="7" s="1"/>
  <c r="M89" i="7"/>
  <c r="M90" i="7" s="1"/>
  <c r="U89" i="7"/>
  <c r="U90" i="7" s="1"/>
  <c r="X79" i="7"/>
  <c r="X80" i="7" s="1"/>
  <c r="F89" i="7"/>
  <c r="F90" i="7" s="1"/>
  <c r="R84" i="7"/>
  <c r="R85" i="7" s="1"/>
  <c r="C84" i="7"/>
  <c r="C85" i="7" s="1"/>
  <c r="M74" i="7"/>
  <c r="M75" i="7" s="1"/>
  <c r="F74" i="7"/>
  <c r="F75" i="7" s="1"/>
  <c r="D84" i="7"/>
  <c r="D85" i="7" s="1"/>
  <c r="L84" i="7"/>
  <c r="L85" i="7" s="1"/>
  <c r="F72" i="7"/>
  <c r="F73" i="7" s="1"/>
  <c r="N72" i="7"/>
  <c r="N73" i="7" s="1"/>
  <c r="N74" i="7" s="1"/>
  <c r="N75" i="7" s="1"/>
  <c r="V72" i="7"/>
  <c r="V73" i="7" s="1"/>
  <c r="V74" i="7" s="1"/>
  <c r="V75" i="7" s="1"/>
  <c r="J74" i="7"/>
  <c r="J75" i="7" s="1"/>
  <c r="R74" i="7"/>
  <c r="R75" i="7" s="1"/>
  <c r="H77" i="7"/>
  <c r="H78" i="7" s="1"/>
  <c r="H79" i="7" s="1"/>
  <c r="H80" i="7" s="1"/>
  <c r="P77" i="7"/>
  <c r="P78" i="7" s="1"/>
  <c r="P79" i="7" s="1"/>
  <c r="P80" i="7" s="1"/>
  <c r="X77" i="7"/>
  <c r="X78" i="7" s="1"/>
  <c r="D79" i="7"/>
  <c r="D80" i="7" s="1"/>
  <c r="L79" i="7"/>
  <c r="L80" i="7" s="1"/>
  <c r="T79" i="7"/>
  <c r="T80" i="7" s="1"/>
  <c r="J82" i="7"/>
  <c r="J83" i="7" s="1"/>
  <c r="J84" i="7" s="1"/>
  <c r="J85" i="7" s="1"/>
  <c r="R82" i="7"/>
  <c r="R83" i="7" s="1"/>
  <c r="F84" i="7"/>
  <c r="F85" i="7" s="1"/>
  <c r="N84" i="7"/>
  <c r="N85" i="7" s="1"/>
  <c r="V84" i="7"/>
  <c r="V85" i="7" s="1"/>
  <c r="D87" i="7"/>
  <c r="D88" i="7" s="1"/>
  <c r="L87" i="7"/>
  <c r="L88" i="7" s="1"/>
  <c r="L89" i="7" s="1"/>
  <c r="L90" i="7" s="1"/>
  <c r="T87" i="7"/>
  <c r="T88" i="7" s="1"/>
  <c r="T89" i="7" s="1"/>
  <c r="T90" i="7" s="1"/>
  <c r="H89" i="7"/>
  <c r="H90" i="7" s="1"/>
  <c r="P89" i="7"/>
  <c r="P90" i="7" s="1"/>
  <c r="X89" i="7"/>
  <c r="X90" i="7" s="1"/>
  <c r="G72" i="7"/>
  <c r="G73" i="7" s="1"/>
  <c r="G74" i="7" s="1"/>
  <c r="G75" i="7" s="1"/>
  <c r="O72" i="7"/>
  <c r="O73" i="7" s="1"/>
  <c r="O74" i="7" s="1"/>
  <c r="O75" i="7" s="1"/>
  <c r="W72" i="7"/>
  <c r="W73" i="7" s="1"/>
  <c r="W74" i="7" s="1"/>
  <c r="W75" i="7" s="1"/>
  <c r="C74" i="7"/>
  <c r="C75" i="7" s="1"/>
  <c r="K74" i="7"/>
  <c r="K75" i="7" s="1"/>
  <c r="S74" i="7"/>
  <c r="S75" i="7" s="1"/>
  <c r="I77" i="7"/>
  <c r="I78" i="7" s="1"/>
  <c r="I79" i="7" s="1"/>
  <c r="I80" i="7" s="1"/>
  <c r="Q77" i="7"/>
  <c r="Q78" i="7" s="1"/>
  <c r="Q79" i="7" s="1"/>
  <c r="Q80" i="7" s="1"/>
  <c r="E79" i="7"/>
  <c r="E80" i="7" s="1"/>
  <c r="M79" i="7"/>
  <c r="M80" i="7" s="1"/>
  <c r="U79" i="7"/>
  <c r="U80" i="7" s="1"/>
  <c r="C82" i="7"/>
  <c r="C83" i="7" s="1"/>
  <c r="K82" i="7"/>
  <c r="K83" i="7" s="1"/>
  <c r="K84" i="7" s="1"/>
  <c r="K85" i="7" s="1"/>
  <c r="S82" i="7"/>
  <c r="S83" i="7" s="1"/>
  <c r="S84" i="7" s="1"/>
  <c r="S85" i="7" s="1"/>
  <c r="G84" i="7"/>
  <c r="G85" i="7" s="1"/>
  <c r="O84" i="7"/>
  <c r="O85" i="7" s="1"/>
  <c r="W84" i="7"/>
  <c r="W85" i="7" s="1"/>
  <c r="E87" i="7"/>
  <c r="E88" i="7" s="1"/>
  <c r="E89" i="7" s="1"/>
  <c r="E90" i="7" s="1"/>
  <c r="M87" i="7"/>
  <c r="M88" i="7" s="1"/>
  <c r="U87" i="7"/>
  <c r="U88" i="7" s="1"/>
  <c r="I89" i="7"/>
  <c r="I90" i="7" s="1"/>
  <c r="Q89" i="7"/>
  <c r="Q90" i="7" s="1"/>
  <c r="H72" i="7"/>
  <c r="H73" i="7" s="1"/>
  <c r="H74" i="7" s="1"/>
  <c r="H75" i="7" s="1"/>
  <c r="P72" i="7"/>
  <c r="P73" i="7" s="1"/>
  <c r="P74" i="7" s="1"/>
  <c r="P75" i="7" s="1"/>
  <c r="X72" i="7"/>
  <c r="X73" i="7" s="1"/>
  <c r="X74" i="7" s="1"/>
  <c r="X75" i="7" s="1"/>
  <c r="D74" i="7"/>
  <c r="D75" i="7" s="1"/>
  <c r="L74" i="7"/>
  <c r="L75" i="7" s="1"/>
  <c r="T74" i="7"/>
  <c r="T75" i="7" s="1"/>
  <c r="J77" i="7"/>
  <c r="J78" i="7" s="1"/>
  <c r="J79" i="7" s="1"/>
  <c r="J80" i="7" s="1"/>
  <c r="R77" i="7"/>
  <c r="R78" i="7" s="1"/>
  <c r="R79" i="7" s="1"/>
  <c r="R80" i="7" s="1"/>
  <c r="F79" i="7"/>
  <c r="F80" i="7" s="1"/>
  <c r="N79" i="7"/>
  <c r="N80" i="7" s="1"/>
  <c r="V79" i="7"/>
  <c r="V80" i="7" s="1"/>
  <c r="D82" i="7"/>
  <c r="D83" i="7" s="1"/>
  <c r="L82" i="7"/>
  <c r="L83" i="7" s="1"/>
  <c r="T82" i="7"/>
  <c r="T83" i="7" s="1"/>
  <c r="T84" i="7" s="1"/>
  <c r="T85" i="7" s="1"/>
  <c r="H84" i="7"/>
  <c r="H85" i="7" s="1"/>
  <c r="P84" i="7"/>
  <c r="P85" i="7" s="1"/>
  <c r="F87" i="7"/>
  <c r="F88" i="7" s="1"/>
  <c r="N87" i="7"/>
  <c r="N88" i="7" s="1"/>
  <c r="N89" i="7" s="1"/>
  <c r="N90" i="7" s="1"/>
  <c r="V87" i="7"/>
  <c r="V88" i="7" s="1"/>
  <c r="V89" i="7" s="1"/>
  <c r="V90" i="7" s="1"/>
  <c r="J89" i="7"/>
  <c r="J90" i="7" s="1"/>
  <c r="R89" i="7"/>
  <c r="R90" i="7" s="1"/>
  <c r="H60" i="7"/>
  <c r="P60" i="7"/>
  <c r="H62" i="7"/>
  <c r="P62" i="7"/>
  <c r="E54" i="7"/>
  <c r="M54" i="7"/>
  <c r="U54" i="7"/>
  <c r="I56" i="7"/>
  <c r="Q56" i="7"/>
  <c r="E57" i="7"/>
  <c r="M57" i="7"/>
  <c r="U57" i="7"/>
  <c r="I58" i="7"/>
  <c r="Q58" i="7"/>
  <c r="E59" i="7"/>
  <c r="M59" i="7"/>
  <c r="U59" i="7"/>
  <c r="I60" i="7"/>
  <c r="Q60" i="7"/>
  <c r="E61" i="7"/>
  <c r="M61" i="7"/>
  <c r="U61" i="7"/>
  <c r="I62" i="7"/>
  <c r="Q62" i="7"/>
  <c r="H56" i="7"/>
  <c r="P56" i="7"/>
  <c r="J60" i="7"/>
  <c r="K62" i="7"/>
  <c r="S62" i="7"/>
  <c r="H58" i="7"/>
  <c r="J62" i="7"/>
  <c r="R62" i="7"/>
  <c r="K58" i="7"/>
  <c r="S58" i="7"/>
  <c r="S60" i="7"/>
  <c r="H54" i="7"/>
  <c r="P54" i="7"/>
  <c r="D56" i="7"/>
  <c r="L56" i="7"/>
  <c r="T56" i="7"/>
  <c r="H57" i="7"/>
  <c r="P57" i="7"/>
  <c r="D58" i="7"/>
  <c r="L58" i="7"/>
  <c r="T58" i="7"/>
  <c r="H59" i="7"/>
  <c r="P59" i="7"/>
  <c r="D60" i="7"/>
  <c r="L60" i="7"/>
  <c r="T60" i="7"/>
  <c r="P61" i="7"/>
  <c r="J58" i="7"/>
  <c r="R58" i="7"/>
  <c r="R60" i="7"/>
  <c r="K60" i="7"/>
  <c r="I54" i="7"/>
  <c r="Q54" i="7"/>
  <c r="E56" i="7"/>
  <c r="M56" i="7"/>
  <c r="U56" i="7"/>
  <c r="I57" i="7"/>
  <c r="Q57" i="7"/>
  <c r="E58" i="7"/>
  <c r="M58" i="7"/>
  <c r="U58" i="7"/>
  <c r="I59" i="7"/>
  <c r="Q59" i="7"/>
  <c r="E60" i="7"/>
  <c r="M60" i="7"/>
  <c r="U60" i="7"/>
  <c r="J54" i="7"/>
  <c r="R54" i="7"/>
  <c r="F56" i="7"/>
  <c r="N56" i="7"/>
  <c r="V56" i="7"/>
  <c r="J57" i="7"/>
  <c r="R57" i="7"/>
  <c r="F58" i="7"/>
  <c r="N58" i="7"/>
  <c r="V58" i="7"/>
  <c r="J59" i="7"/>
  <c r="R59" i="7"/>
  <c r="F60" i="7"/>
  <c r="N60" i="7"/>
  <c r="V60" i="7"/>
  <c r="J61" i="7"/>
  <c r="R61" i="7"/>
  <c r="K56" i="7"/>
  <c r="S56" i="7"/>
  <c r="K54" i="7"/>
  <c r="S54" i="7"/>
  <c r="G56" i="7"/>
  <c r="O56" i="7"/>
  <c r="W56" i="7"/>
  <c r="K57" i="7"/>
  <c r="S57" i="7"/>
  <c r="G58" i="7"/>
  <c r="O58" i="7"/>
  <c r="W58" i="7"/>
  <c r="K59" i="7"/>
  <c r="S59" i="7"/>
  <c r="G60" i="7"/>
  <c r="O60" i="7"/>
  <c r="W60" i="7"/>
  <c r="X56" i="7"/>
  <c r="X60" i="7"/>
  <c r="X61" i="7"/>
  <c r="C56" i="7"/>
  <c r="C57" i="7"/>
  <c r="C58" i="7"/>
  <c r="C59" i="7"/>
  <c r="C60" i="7"/>
  <c r="C61" i="7"/>
  <c r="C84" i="6"/>
  <c r="C85" i="6" s="1"/>
  <c r="S84" i="6"/>
  <c r="S85" i="6" s="1"/>
  <c r="D84" i="6"/>
  <c r="D85" i="6" s="1"/>
  <c r="T84" i="6"/>
  <c r="T85" i="6" s="1"/>
  <c r="E74" i="6"/>
  <c r="E75" i="6" s="1"/>
  <c r="M74" i="6"/>
  <c r="M75" i="6" s="1"/>
  <c r="T89" i="6"/>
  <c r="T90" i="6" s="1"/>
  <c r="O74" i="6"/>
  <c r="O75" i="6" s="1"/>
  <c r="W74" i="6"/>
  <c r="W75" i="6" s="1"/>
  <c r="E89" i="6"/>
  <c r="E90" i="6" s="1"/>
  <c r="H74" i="6"/>
  <c r="H75" i="6" s="1"/>
  <c r="P74" i="6"/>
  <c r="P75" i="6" s="1"/>
  <c r="X74" i="6"/>
  <c r="X75" i="6" s="1"/>
  <c r="F89" i="6"/>
  <c r="F90" i="6" s="1"/>
  <c r="E72" i="6"/>
  <c r="E73" i="6" s="1"/>
  <c r="M72" i="6"/>
  <c r="M73" i="6" s="1"/>
  <c r="U72" i="6"/>
  <c r="U73" i="6" s="1"/>
  <c r="U74" i="6" s="1"/>
  <c r="U75" i="6" s="1"/>
  <c r="I74" i="6"/>
  <c r="I75" i="6" s="1"/>
  <c r="Q74" i="6"/>
  <c r="Q75" i="6" s="1"/>
  <c r="G77" i="6"/>
  <c r="G78" i="6" s="1"/>
  <c r="G79" i="6" s="1"/>
  <c r="G80" i="6" s="1"/>
  <c r="O77" i="6"/>
  <c r="O78" i="6" s="1"/>
  <c r="O79" i="6" s="1"/>
  <c r="O80" i="6" s="1"/>
  <c r="W77" i="6"/>
  <c r="W78" i="6" s="1"/>
  <c r="W79" i="6" s="1"/>
  <c r="W80" i="6" s="1"/>
  <c r="C79" i="6"/>
  <c r="C80" i="6" s="1"/>
  <c r="K79" i="6"/>
  <c r="K80" i="6" s="1"/>
  <c r="S79" i="6"/>
  <c r="S80" i="6" s="1"/>
  <c r="I82" i="6"/>
  <c r="I83" i="6" s="1"/>
  <c r="I84" i="6" s="1"/>
  <c r="I85" i="6" s="1"/>
  <c r="Q82" i="6"/>
  <c r="Q83" i="6" s="1"/>
  <c r="Q84" i="6" s="1"/>
  <c r="Q85" i="6" s="1"/>
  <c r="E84" i="6"/>
  <c r="E85" i="6" s="1"/>
  <c r="M84" i="6"/>
  <c r="M85" i="6" s="1"/>
  <c r="U84" i="6"/>
  <c r="U85" i="6" s="1"/>
  <c r="C87" i="6"/>
  <c r="C88" i="6" s="1"/>
  <c r="C89" i="6" s="1"/>
  <c r="C90" i="6" s="1"/>
  <c r="K87" i="6"/>
  <c r="K88" i="6" s="1"/>
  <c r="K89" i="6" s="1"/>
  <c r="K90" i="6" s="1"/>
  <c r="S87" i="6"/>
  <c r="S88" i="6" s="1"/>
  <c r="S89" i="6" s="1"/>
  <c r="S90" i="6" s="1"/>
  <c r="G89" i="6"/>
  <c r="G90" i="6" s="1"/>
  <c r="O89" i="6"/>
  <c r="O90" i="6" s="1"/>
  <c r="W89" i="6"/>
  <c r="W90" i="6" s="1"/>
  <c r="F72" i="6"/>
  <c r="F73" i="6" s="1"/>
  <c r="F74" i="6" s="1"/>
  <c r="F75" i="6" s="1"/>
  <c r="N72" i="6"/>
  <c r="N73" i="6" s="1"/>
  <c r="N74" i="6" s="1"/>
  <c r="N75" i="6" s="1"/>
  <c r="V72" i="6"/>
  <c r="V73" i="6" s="1"/>
  <c r="V74" i="6" s="1"/>
  <c r="V75" i="6" s="1"/>
  <c r="J74" i="6"/>
  <c r="J75" i="6" s="1"/>
  <c r="R74" i="6"/>
  <c r="R75" i="6" s="1"/>
  <c r="H77" i="6"/>
  <c r="H78" i="6" s="1"/>
  <c r="H79" i="6" s="1"/>
  <c r="H80" i="6" s="1"/>
  <c r="P77" i="6"/>
  <c r="P78" i="6" s="1"/>
  <c r="P79" i="6" s="1"/>
  <c r="P80" i="6" s="1"/>
  <c r="X77" i="6"/>
  <c r="X78" i="6" s="1"/>
  <c r="X79" i="6" s="1"/>
  <c r="X80" i="6" s="1"/>
  <c r="D79" i="6"/>
  <c r="D80" i="6" s="1"/>
  <c r="L79" i="6"/>
  <c r="L80" i="6" s="1"/>
  <c r="T79" i="6"/>
  <c r="T80" i="6" s="1"/>
  <c r="J82" i="6"/>
  <c r="J83" i="6" s="1"/>
  <c r="J84" i="6" s="1"/>
  <c r="J85" i="6" s="1"/>
  <c r="R82" i="6"/>
  <c r="R83" i="6" s="1"/>
  <c r="R84" i="6" s="1"/>
  <c r="R85" i="6" s="1"/>
  <c r="F84" i="6"/>
  <c r="F85" i="6" s="1"/>
  <c r="N84" i="6"/>
  <c r="N85" i="6" s="1"/>
  <c r="V84" i="6"/>
  <c r="V85" i="6" s="1"/>
  <c r="D87" i="6"/>
  <c r="D88" i="6" s="1"/>
  <c r="D89" i="6" s="1"/>
  <c r="D90" i="6" s="1"/>
  <c r="L87" i="6"/>
  <c r="L88" i="6" s="1"/>
  <c r="L89" i="6" s="1"/>
  <c r="L90" i="6" s="1"/>
  <c r="T87" i="6"/>
  <c r="T88" i="6" s="1"/>
  <c r="H89" i="6"/>
  <c r="H90" i="6" s="1"/>
  <c r="P89" i="6"/>
  <c r="P90" i="6" s="1"/>
  <c r="X89" i="6"/>
  <c r="X90" i="6" s="1"/>
  <c r="P58" i="6"/>
  <c r="P62" i="6"/>
  <c r="E54" i="6"/>
  <c r="M54" i="6"/>
  <c r="U54" i="6"/>
  <c r="I56" i="6"/>
  <c r="Q56" i="6"/>
  <c r="E57" i="6"/>
  <c r="M57" i="6"/>
  <c r="U57" i="6"/>
  <c r="I58" i="6"/>
  <c r="Q58" i="6"/>
  <c r="E59" i="6"/>
  <c r="M59" i="6"/>
  <c r="U59" i="6"/>
  <c r="I60" i="6"/>
  <c r="Q60" i="6"/>
  <c r="E61" i="6"/>
  <c r="M61" i="6"/>
  <c r="U61" i="6"/>
  <c r="I62" i="6"/>
  <c r="Q62" i="6"/>
  <c r="H62" i="6"/>
  <c r="F54" i="6"/>
  <c r="N54" i="6"/>
  <c r="V54" i="6"/>
  <c r="J56" i="6"/>
  <c r="R56" i="6"/>
  <c r="F57" i="6"/>
  <c r="N57" i="6"/>
  <c r="V57" i="6"/>
  <c r="J58" i="6"/>
  <c r="R58" i="6"/>
  <c r="F59" i="6"/>
  <c r="N59" i="6"/>
  <c r="V59" i="6"/>
  <c r="J60" i="6"/>
  <c r="R60" i="6"/>
  <c r="F61" i="6"/>
  <c r="N61" i="6"/>
  <c r="V61" i="6"/>
  <c r="J62" i="6"/>
  <c r="R62" i="6"/>
  <c r="O61" i="6"/>
  <c r="W61" i="6"/>
  <c r="K62" i="6"/>
  <c r="S62" i="6"/>
  <c r="H60" i="6"/>
  <c r="K58" i="6"/>
  <c r="S58" i="6"/>
  <c r="S60" i="6"/>
  <c r="H54" i="6"/>
  <c r="P54" i="6"/>
  <c r="D56" i="6"/>
  <c r="L56" i="6"/>
  <c r="T56" i="6"/>
  <c r="H57" i="6"/>
  <c r="P57" i="6"/>
  <c r="D58" i="6"/>
  <c r="L58" i="6"/>
  <c r="T58" i="6"/>
  <c r="H59" i="6"/>
  <c r="P59" i="6"/>
  <c r="D60" i="6"/>
  <c r="L60" i="6"/>
  <c r="T60" i="6"/>
  <c r="H61" i="6"/>
  <c r="P61" i="6"/>
  <c r="K60" i="6"/>
  <c r="I54" i="6"/>
  <c r="Q54" i="6"/>
  <c r="E56" i="6"/>
  <c r="M56" i="6"/>
  <c r="U56" i="6"/>
  <c r="I57" i="6"/>
  <c r="Q57" i="6"/>
  <c r="E58" i="6"/>
  <c r="M58" i="6"/>
  <c r="U58" i="6"/>
  <c r="I59" i="6"/>
  <c r="Q59" i="6"/>
  <c r="E60" i="6"/>
  <c r="M60" i="6"/>
  <c r="U60" i="6"/>
  <c r="H56" i="6"/>
  <c r="P56" i="6"/>
  <c r="J54" i="6"/>
  <c r="R54" i="6"/>
  <c r="F56" i="6"/>
  <c r="N56" i="6"/>
  <c r="V56" i="6"/>
  <c r="J57" i="6"/>
  <c r="R57" i="6"/>
  <c r="F58" i="6"/>
  <c r="N58" i="6"/>
  <c r="V58" i="6"/>
  <c r="J59" i="6"/>
  <c r="R59" i="6"/>
  <c r="F60" i="6"/>
  <c r="N60" i="6"/>
  <c r="V60" i="6"/>
  <c r="K56" i="6"/>
  <c r="S56" i="6"/>
  <c r="K54" i="6"/>
  <c r="S54" i="6"/>
  <c r="G56" i="6"/>
  <c r="O56" i="6"/>
  <c r="W56" i="6"/>
  <c r="K57" i="6"/>
  <c r="S57" i="6"/>
  <c r="G58" i="6"/>
  <c r="O58" i="6"/>
  <c r="W58" i="6"/>
  <c r="K59" i="6"/>
  <c r="S59" i="6"/>
  <c r="G60" i="6"/>
  <c r="O60" i="6"/>
  <c r="W60" i="6"/>
  <c r="X56" i="6"/>
  <c r="X57" i="6"/>
  <c r="X58" i="6"/>
  <c r="X60" i="6"/>
  <c r="C56" i="6"/>
  <c r="C57" i="6"/>
  <c r="C58" i="6"/>
  <c r="C60" i="6"/>
  <c r="F82" i="5"/>
  <c r="F83" i="5" s="1"/>
  <c r="G107" i="5"/>
  <c r="I107" i="5"/>
  <c r="Y96" i="5"/>
  <c r="R60" i="5"/>
  <c r="D54" i="5"/>
  <c r="L54" i="5"/>
  <c r="T54" i="5"/>
  <c r="H56" i="5"/>
  <c r="P56" i="5"/>
  <c r="D57" i="5"/>
  <c r="L57" i="5"/>
  <c r="T57" i="5"/>
  <c r="H58" i="5"/>
  <c r="P58" i="5"/>
  <c r="D59" i="5"/>
  <c r="D81" i="5" s="1"/>
  <c r="L59" i="5"/>
  <c r="L81" i="5" s="1"/>
  <c r="T59" i="5"/>
  <c r="H60" i="5"/>
  <c r="H86" i="5" s="1"/>
  <c r="P60" i="5"/>
  <c r="D61" i="5"/>
  <c r="L61" i="5"/>
  <c r="T61" i="5"/>
  <c r="H62" i="5"/>
  <c r="P62" i="5"/>
  <c r="K87" i="5"/>
  <c r="K88" i="5" s="1"/>
  <c r="R96" i="5"/>
  <c r="Z96" i="5"/>
  <c r="R107" i="5"/>
  <c r="U118" i="5"/>
  <c r="E54" i="5"/>
  <c r="M54" i="5"/>
  <c r="U54" i="5"/>
  <c r="I56" i="5"/>
  <c r="Q56" i="5"/>
  <c r="E57" i="5"/>
  <c r="M57" i="5"/>
  <c r="U57" i="5"/>
  <c r="I58" i="5"/>
  <c r="I76" i="5" s="1"/>
  <c r="Q58" i="5"/>
  <c r="E59" i="5"/>
  <c r="E81" i="5" s="1"/>
  <c r="M59" i="5"/>
  <c r="M81" i="5" s="1"/>
  <c r="U59" i="5"/>
  <c r="I60" i="5"/>
  <c r="I86" i="5" s="1"/>
  <c r="Q60" i="5"/>
  <c r="E61" i="5"/>
  <c r="M61" i="5"/>
  <c r="U61" i="5"/>
  <c r="I62" i="5"/>
  <c r="Q62" i="5"/>
  <c r="R62" i="5"/>
  <c r="J81" i="5"/>
  <c r="R81" i="5"/>
  <c r="F107" i="5" s="1"/>
  <c r="S89" i="5"/>
  <c r="S90" i="5" s="1"/>
  <c r="L96" i="5"/>
  <c r="T96" i="5"/>
  <c r="D107" i="5"/>
  <c r="L107" i="5"/>
  <c r="G54" i="5"/>
  <c r="O54" i="5"/>
  <c r="W54" i="5"/>
  <c r="K56" i="5"/>
  <c r="S56" i="5"/>
  <c r="G57" i="5"/>
  <c r="O57" i="5"/>
  <c r="W57" i="5"/>
  <c r="K58" i="5"/>
  <c r="S58" i="5"/>
  <c r="G59" i="5"/>
  <c r="G81" i="5" s="1"/>
  <c r="O59" i="5"/>
  <c r="W59" i="5"/>
  <c r="K60" i="5"/>
  <c r="S60" i="5"/>
  <c r="G61" i="5"/>
  <c r="O61" i="5"/>
  <c r="W61" i="5"/>
  <c r="K62" i="5"/>
  <c r="S62" i="5"/>
  <c r="J56" i="5"/>
  <c r="J62" i="5"/>
  <c r="J71" i="5"/>
  <c r="J72" i="5" s="1"/>
  <c r="J73" i="5" s="1"/>
  <c r="R71" i="5"/>
  <c r="R72" i="5" s="1"/>
  <c r="R73" i="5" s="1"/>
  <c r="J76" i="5"/>
  <c r="R76" i="5"/>
  <c r="P118" i="5"/>
  <c r="H54" i="5"/>
  <c r="P54" i="5"/>
  <c r="D56" i="5"/>
  <c r="L56" i="5"/>
  <c r="T56" i="5"/>
  <c r="H57" i="5"/>
  <c r="H71" i="5" s="1"/>
  <c r="P57" i="5"/>
  <c r="D58" i="5"/>
  <c r="D76" i="5" s="1"/>
  <c r="D77" i="5" s="1"/>
  <c r="D78" i="5" s="1"/>
  <c r="L58" i="5"/>
  <c r="L76" i="5" s="1"/>
  <c r="L77" i="5" s="1"/>
  <c r="L78" i="5" s="1"/>
  <c r="T58" i="5"/>
  <c r="H59" i="5"/>
  <c r="H81" i="5" s="1"/>
  <c r="P59" i="5"/>
  <c r="D60" i="5"/>
  <c r="D86" i="5" s="1"/>
  <c r="L60" i="5"/>
  <c r="L86" i="5" s="1"/>
  <c r="T60" i="5"/>
  <c r="I54" i="5"/>
  <c r="Q54" i="5"/>
  <c r="E56" i="5"/>
  <c r="M56" i="5"/>
  <c r="U56" i="5"/>
  <c r="I57" i="5"/>
  <c r="I71" i="5" s="1"/>
  <c r="I72" i="5" s="1"/>
  <c r="I73" i="5" s="1"/>
  <c r="I74" i="5" s="1"/>
  <c r="I75" i="5" s="1"/>
  <c r="Q57" i="5"/>
  <c r="E58" i="5"/>
  <c r="M58" i="5"/>
  <c r="M76" i="5" s="1"/>
  <c r="M77" i="5" s="1"/>
  <c r="M78" i="5" s="1"/>
  <c r="U58" i="5"/>
  <c r="I59" i="5"/>
  <c r="I81" i="5" s="1"/>
  <c r="Q59" i="5"/>
  <c r="E60" i="5"/>
  <c r="E86" i="5" s="1"/>
  <c r="M60" i="5"/>
  <c r="M86" i="5" s="1"/>
  <c r="U60" i="5"/>
  <c r="J58" i="5"/>
  <c r="R58" i="5"/>
  <c r="J60" i="5"/>
  <c r="I118" i="5"/>
  <c r="J54" i="5"/>
  <c r="R54" i="5"/>
  <c r="F56" i="5"/>
  <c r="F71" i="5" s="1"/>
  <c r="N56" i="5"/>
  <c r="V56" i="5"/>
  <c r="J57" i="5"/>
  <c r="R57" i="5"/>
  <c r="F58" i="5"/>
  <c r="F76" i="5" s="1"/>
  <c r="F77" i="5" s="1"/>
  <c r="F78" i="5" s="1"/>
  <c r="N58" i="5"/>
  <c r="V58" i="5"/>
  <c r="J59" i="5"/>
  <c r="R59" i="5"/>
  <c r="F60" i="5"/>
  <c r="F86" i="5" s="1"/>
  <c r="N60" i="5"/>
  <c r="V60" i="5"/>
  <c r="R61" i="5"/>
  <c r="U74" i="5"/>
  <c r="U75" i="5" s="1"/>
  <c r="P107" i="5"/>
  <c r="K54" i="5"/>
  <c r="S54" i="5"/>
  <c r="G56" i="5"/>
  <c r="O56" i="5"/>
  <c r="W56" i="5"/>
  <c r="K57" i="5"/>
  <c r="S57" i="5"/>
  <c r="G58" i="5"/>
  <c r="G76" i="5" s="1"/>
  <c r="G77" i="5" s="1"/>
  <c r="G78" i="5" s="1"/>
  <c r="O58" i="5"/>
  <c r="W58" i="5"/>
  <c r="K59" i="5"/>
  <c r="S59" i="5"/>
  <c r="G60" i="5"/>
  <c r="G86" i="5" s="1"/>
  <c r="O60" i="5"/>
  <c r="W60" i="5"/>
  <c r="J118" i="5"/>
  <c r="D118" i="5"/>
  <c r="X107" i="5"/>
  <c r="C56" i="5"/>
  <c r="C57" i="5"/>
  <c r="C71" i="5" s="1"/>
  <c r="C72" i="5" s="1"/>
  <c r="C73" i="5" s="1"/>
  <c r="C58" i="5"/>
  <c r="C59" i="5"/>
  <c r="C81" i="5" s="1"/>
  <c r="C82" i="5" s="1"/>
  <c r="C83" i="5" s="1"/>
  <c r="C84" i="5" s="1"/>
  <c r="C85" i="5" s="1"/>
  <c r="C60" i="5"/>
  <c r="C86" i="5" s="1"/>
  <c r="C61" i="5"/>
  <c r="X56" i="4"/>
  <c r="X57" i="4"/>
  <c r="X59" i="4"/>
  <c r="X81" i="4" s="1"/>
  <c r="X60" i="4"/>
  <c r="X61" i="4"/>
  <c r="H118" i="4"/>
  <c r="H107" i="4"/>
  <c r="L82" i="4"/>
  <c r="L83" i="4" s="1"/>
  <c r="L84" i="4" s="1"/>
  <c r="L85" i="4" s="1"/>
  <c r="O118" i="4"/>
  <c r="H76" i="4"/>
  <c r="H77" i="4" s="1"/>
  <c r="H78" i="4" s="1"/>
  <c r="H79" i="4" s="1"/>
  <c r="H80" i="4" s="1"/>
  <c r="Q96" i="4"/>
  <c r="O96" i="4"/>
  <c r="D82" i="4"/>
  <c r="D83" i="4" s="1"/>
  <c r="D84" i="4" s="1"/>
  <c r="D85" i="4" s="1"/>
  <c r="H62" i="4"/>
  <c r="T107" i="4"/>
  <c r="E54" i="4"/>
  <c r="M54" i="4"/>
  <c r="U54" i="4"/>
  <c r="I56" i="4"/>
  <c r="Q56" i="4"/>
  <c r="E57" i="4"/>
  <c r="M57" i="4"/>
  <c r="U57" i="4"/>
  <c r="I58" i="4"/>
  <c r="Q58" i="4"/>
  <c r="E59" i="4"/>
  <c r="E81" i="4" s="1"/>
  <c r="M59" i="4"/>
  <c r="M81" i="4" s="1"/>
  <c r="U59" i="4"/>
  <c r="I60" i="4"/>
  <c r="I86" i="4" s="1"/>
  <c r="Q60" i="4"/>
  <c r="E61" i="4"/>
  <c r="M61" i="4"/>
  <c r="U61" i="4"/>
  <c r="I62" i="4"/>
  <c r="Q62" i="4"/>
  <c r="H60" i="4"/>
  <c r="H86" i="4" s="1"/>
  <c r="O87" i="4"/>
  <c r="O88" i="4" s="1"/>
  <c r="O89" i="4" s="1"/>
  <c r="O90" i="4" s="1"/>
  <c r="P81" i="4"/>
  <c r="E118" i="4"/>
  <c r="F54" i="4"/>
  <c r="N54" i="4"/>
  <c r="V54" i="4"/>
  <c r="J56" i="4"/>
  <c r="R56" i="4"/>
  <c r="F57" i="4"/>
  <c r="N57" i="4"/>
  <c r="V57" i="4"/>
  <c r="J58" i="4"/>
  <c r="R58" i="4"/>
  <c r="F59" i="4"/>
  <c r="F81" i="4" s="1"/>
  <c r="N59" i="4"/>
  <c r="V59" i="4"/>
  <c r="J60" i="4"/>
  <c r="R60" i="4"/>
  <c r="F61" i="4"/>
  <c r="N61" i="4"/>
  <c r="V61" i="4"/>
  <c r="J62" i="4"/>
  <c r="R62" i="4"/>
  <c r="P62" i="4"/>
  <c r="R82" i="4"/>
  <c r="R83" i="4" s="1"/>
  <c r="R84" i="4" s="1"/>
  <c r="R85" i="4" s="1"/>
  <c r="O84" i="4"/>
  <c r="O85" i="4" s="1"/>
  <c r="V96" i="4"/>
  <c r="V118" i="4"/>
  <c r="G54" i="4"/>
  <c r="O54" i="4"/>
  <c r="W54" i="4"/>
  <c r="K56" i="4"/>
  <c r="S56" i="4"/>
  <c r="G57" i="4"/>
  <c r="O57" i="4"/>
  <c r="W57" i="4"/>
  <c r="K58" i="4"/>
  <c r="S58" i="4"/>
  <c r="G59" i="4"/>
  <c r="G81" i="4" s="1"/>
  <c r="O59" i="4"/>
  <c r="W59" i="4"/>
  <c r="K60" i="4"/>
  <c r="S60" i="4"/>
  <c r="G61" i="4"/>
  <c r="O61" i="4"/>
  <c r="W61" i="4"/>
  <c r="K62" i="4"/>
  <c r="S62" i="4"/>
  <c r="H56" i="4"/>
  <c r="P56" i="4"/>
  <c r="G118" i="4"/>
  <c r="H54" i="4"/>
  <c r="P54" i="4"/>
  <c r="D56" i="4"/>
  <c r="D71" i="4" s="1"/>
  <c r="L56" i="4"/>
  <c r="L71" i="4" s="1"/>
  <c r="T56" i="4"/>
  <c r="H57" i="4"/>
  <c r="P57" i="4"/>
  <c r="D58" i="4"/>
  <c r="D76" i="4" s="1"/>
  <c r="L58" i="4"/>
  <c r="L76" i="4" s="1"/>
  <c r="L77" i="4" s="1"/>
  <c r="L78" i="4" s="1"/>
  <c r="L79" i="4" s="1"/>
  <c r="L80" i="4" s="1"/>
  <c r="T58" i="4"/>
  <c r="H59" i="4"/>
  <c r="H81" i="4" s="1"/>
  <c r="P59" i="4"/>
  <c r="D60" i="4"/>
  <c r="D86" i="4" s="1"/>
  <c r="L60" i="4"/>
  <c r="L86" i="4" s="1"/>
  <c r="T60" i="4"/>
  <c r="H61" i="4"/>
  <c r="P61" i="4"/>
  <c r="P96" i="4"/>
  <c r="P107" i="4"/>
  <c r="P118" i="4"/>
  <c r="I54" i="4"/>
  <c r="Q54" i="4"/>
  <c r="E56" i="4"/>
  <c r="M56" i="4"/>
  <c r="U56" i="4"/>
  <c r="I57" i="4"/>
  <c r="I71" i="4" s="1"/>
  <c r="I72" i="4" s="1"/>
  <c r="I73" i="4" s="1"/>
  <c r="I74" i="4" s="1"/>
  <c r="I75" i="4" s="1"/>
  <c r="Q57" i="4"/>
  <c r="E58" i="4"/>
  <c r="E76" i="4" s="1"/>
  <c r="E77" i="4" s="1"/>
  <c r="E78" i="4" s="1"/>
  <c r="E79" i="4" s="1"/>
  <c r="E80" i="4" s="1"/>
  <c r="M58" i="4"/>
  <c r="U58" i="4"/>
  <c r="I59" i="4"/>
  <c r="I81" i="4" s="1"/>
  <c r="Q59" i="4"/>
  <c r="E60" i="4"/>
  <c r="E86" i="4" s="1"/>
  <c r="M60" i="4"/>
  <c r="M86" i="4" s="1"/>
  <c r="U60" i="4"/>
  <c r="J82" i="4"/>
  <c r="J83" i="4" s="1"/>
  <c r="J84" i="4" s="1"/>
  <c r="J85" i="4" s="1"/>
  <c r="J54" i="4"/>
  <c r="R54" i="4"/>
  <c r="F56" i="4"/>
  <c r="N56" i="4"/>
  <c r="V56" i="4"/>
  <c r="J57" i="4"/>
  <c r="R57" i="4"/>
  <c r="F58" i="4"/>
  <c r="F76" i="4" s="1"/>
  <c r="F77" i="4" s="1"/>
  <c r="F78" i="4" s="1"/>
  <c r="F79" i="4" s="1"/>
  <c r="F80" i="4" s="1"/>
  <c r="N58" i="4"/>
  <c r="V58" i="4"/>
  <c r="J59" i="4"/>
  <c r="R59" i="4"/>
  <c r="F60" i="4"/>
  <c r="F86" i="4" s="1"/>
  <c r="N60" i="4"/>
  <c r="V60" i="4"/>
  <c r="P58" i="4"/>
  <c r="R96" i="4"/>
  <c r="Z96" i="4"/>
  <c r="R107" i="4"/>
  <c r="K54" i="4"/>
  <c r="S54" i="4"/>
  <c r="G56" i="4"/>
  <c r="O56" i="4"/>
  <c r="W56" i="4"/>
  <c r="K57" i="4"/>
  <c r="S57" i="4"/>
  <c r="G58" i="4"/>
  <c r="O58" i="4"/>
  <c r="W58" i="4"/>
  <c r="K59" i="4"/>
  <c r="S59" i="4"/>
  <c r="G60" i="4"/>
  <c r="G86" i="4" s="1"/>
  <c r="O60" i="4"/>
  <c r="W60" i="4"/>
  <c r="T89" i="5"/>
  <c r="T90" i="5" s="1"/>
  <c r="O74" i="5"/>
  <c r="O75" i="5" s="1"/>
  <c r="W74" i="5"/>
  <c r="W75" i="5" s="1"/>
  <c r="O79" i="5"/>
  <c r="O80" i="5" s="1"/>
  <c r="W79" i="5"/>
  <c r="W80" i="5" s="1"/>
  <c r="Q84" i="5"/>
  <c r="Q85" i="5" s="1"/>
  <c r="K89" i="5"/>
  <c r="K90" i="5" s="1"/>
  <c r="N72" i="5"/>
  <c r="N73" i="5" s="1"/>
  <c r="N74" i="5" s="1"/>
  <c r="N75" i="5" s="1"/>
  <c r="V72" i="5"/>
  <c r="V73" i="5" s="1"/>
  <c r="V74" i="5" s="1"/>
  <c r="V75" i="5" s="1"/>
  <c r="J74" i="5"/>
  <c r="J75" i="5" s="1"/>
  <c r="R74" i="5"/>
  <c r="R75" i="5" s="1"/>
  <c r="P77" i="5"/>
  <c r="P78" i="5" s="1"/>
  <c r="P79" i="5" s="1"/>
  <c r="P80" i="5" s="1"/>
  <c r="X77" i="5"/>
  <c r="X78" i="5" s="1"/>
  <c r="X79" i="5" s="1"/>
  <c r="X80" i="5" s="1"/>
  <c r="D79" i="5"/>
  <c r="D80" i="5" s="1"/>
  <c r="L79" i="5"/>
  <c r="L80" i="5" s="1"/>
  <c r="T79" i="5"/>
  <c r="T80" i="5" s="1"/>
  <c r="J82" i="5"/>
  <c r="J83" i="5" s="1"/>
  <c r="J84" i="5" s="1"/>
  <c r="J85" i="5" s="1"/>
  <c r="R82" i="5"/>
  <c r="R83" i="5" s="1"/>
  <c r="R84" i="5" s="1"/>
  <c r="R85" i="5" s="1"/>
  <c r="F84" i="5"/>
  <c r="F85" i="5" s="1"/>
  <c r="N84" i="5"/>
  <c r="N85" i="5" s="1"/>
  <c r="V84" i="5"/>
  <c r="V85" i="5" s="1"/>
  <c r="D87" i="5"/>
  <c r="D88" i="5" s="1"/>
  <c r="D89" i="5" s="1"/>
  <c r="D90" i="5" s="1"/>
  <c r="L87" i="5"/>
  <c r="L88" i="5" s="1"/>
  <c r="L89" i="5" s="1"/>
  <c r="L90" i="5" s="1"/>
  <c r="T87" i="5"/>
  <c r="T88" i="5" s="1"/>
  <c r="P89" i="5"/>
  <c r="P90" i="5" s="1"/>
  <c r="X89" i="5"/>
  <c r="X90" i="5" s="1"/>
  <c r="O72" i="5"/>
  <c r="O73" i="5" s="1"/>
  <c r="W72" i="5"/>
  <c r="W73" i="5" s="1"/>
  <c r="K74" i="5"/>
  <c r="K75" i="5" s="1"/>
  <c r="S74" i="5"/>
  <c r="S75" i="5" s="1"/>
  <c r="I77" i="5"/>
  <c r="I78" i="5" s="1"/>
  <c r="I79" i="5" s="1"/>
  <c r="I80" i="5" s="1"/>
  <c r="Q77" i="5"/>
  <c r="Q78" i="5" s="1"/>
  <c r="Q79" i="5" s="1"/>
  <c r="Q80" i="5" s="1"/>
  <c r="M79" i="5"/>
  <c r="M80" i="5" s="1"/>
  <c r="U79" i="5"/>
  <c r="U80" i="5" s="1"/>
  <c r="K82" i="5"/>
  <c r="K83" i="5" s="1"/>
  <c r="K84" i="5" s="1"/>
  <c r="K85" i="5" s="1"/>
  <c r="S82" i="5"/>
  <c r="S83" i="5" s="1"/>
  <c r="S84" i="5" s="1"/>
  <c r="S85" i="5" s="1"/>
  <c r="O84" i="5"/>
  <c r="O85" i="5" s="1"/>
  <c r="W84" i="5"/>
  <c r="W85" i="5" s="1"/>
  <c r="E87" i="5"/>
  <c r="E88" i="5" s="1"/>
  <c r="E89" i="5" s="1"/>
  <c r="E90" i="5" s="1"/>
  <c r="M87" i="5"/>
  <c r="M88" i="5" s="1"/>
  <c r="M89" i="5" s="1"/>
  <c r="M90" i="5" s="1"/>
  <c r="U87" i="5"/>
  <c r="U88" i="5" s="1"/>
  <c r="U89" i="5" s="1"/>
  <c r="U90" i="5" s="1"/>
  <c r="Q89" i="5"/>
  <c r="Q90" i="5" s="1"/>
  <c r="H72" i="5"/>
  <c r="H73" i="5" s="1"/>
  <c r="H74" i="5" s="1"/>
  <c r="H75" i="5" s="1"/>
  <c r="P72" i="5"/>
  <c r="P73" i="5" s="1"/>
  <c r="P74" i="5" s="1"/>
  <c r="P75" i="5" s="1"/>
  <c r="X72" i="5"/>
  <c r="X73" i="5" s="1"/>
  <c r="X74" i="5" s="1"/>
  <c r="X75" i="5" s="1"/>
  <c r="T74" i="5"/>
  <c r="T75" i="5" s="1"/>
  <c r="J77" i="5"/>
  <c r="J78" i="5" s="1"/>
  <c r="J79" i="5" s="1"/>
  <c r="J80" i="5" s="1"/>
  <c r="R77" i="5"/>
  <c r="R78" i="5" s="1"/>
  <c r="R79" i="5" s="1"/>
  <c r="R80" i="5" s="1"/>
  <c r="N79" i="5"/>
  <c r="N80" i="5" s="1"/>
  <c r="V79" i="5"/>
  <c r="V80" i="5" s="1"/>
  <c r="D82" i="5"/>
  <c r="D83" i="5" s="1"/>
  <c r="D84" i="5" s="1"/>
  <c r="D85" i="5" s="1"/>
  <c r="L82" i="5"/>
  <c r="L83" i="5" s="1"/>
  <c r="L84" i="5" s="1"/>
  <c r="L85" i="5" s="1"/>
  <c r="T82" i="5"/>
  <c r="T83" i="5" s="1"/>
  <c r="T84" i="5" s="1"/>
  <c r="T85" i="5" s="1"/>
  <c r="P84" i="5"/>
  <c r="P85" i="5" s="1"/>
  <c r="X84" i="5"/>
  <c r="X85" i="5" s="1"/>
  <c r="F87" i="5"/>
  <c r="F88" i="5" s="1"/>
  <c r="F89" i="5" s="1"/>
  <c r="F90" i="5" s="1"/>
  <c r="N87" i="5"/>
  <c r="N88" i="5" s="1"/>
  <c r="N89" i="5" s="1"/>
  <c r="N90" i="5" s="1"/>
  <c r="V87" i="5"/>
  <c r="V88" i="5" s="1"/>
  <c r="V89" i="5" s="1"/>
  <c r="V90" i="5" s="1"/>
  <c r="J89" i="5"/>
  <c r="J90" i="5" s="1"/>
  <c r="R89" i="5"/>
  <c r="R90" i="5" s="1"/>
  <c r="X86" i="4"/>
  <c r="P89" i="4"/>
  <c r="P90" i="4" s="1"/>
  <c r="R87" i="4"/>
  <c r="R88" i="4" s="1"/>
  <c r="R89" i="4" s="1"/>
  <c r="R90" i="4" s="1"/>
  <c r="J87" i="4"/>
  <c r="J88" i="4" s="1"/>
  <c r="J89" i="4" s="1"/>
  <c r="J90" i="4" s="1"/>
  <c r="Q84" i="4"/>
  <c r="Q85" i="4" s="1"/>
  <c r="S82" i="4"/>
  <c r="S83" i="4" s="1"/>
  <c r="S84" i="4" s="1"/>
  <c r="S85" i="4" s="1"/>
  <c r="K82" i="4"/>
  <c r="K83" i="4" s="1"/>
  <c r="K84" i="4" s="1"/>
  <c r="K85" i="4" s="1"/>
  <c r="R79" i="4"/>
  <c r="R80" i="4" s="1"/>
  <c r="J79" i="4"/>
  <c r="J80" i="4" s="1"/>
  <c r="T77" i="4"/>
  <c r="T78" i="4" s="1"/>
  <c r="T79" i="4" s="1"/>
  <c r="T80" i="4" s="1"/>
  <c r="D77" i="4"/>
  <c r="D78" i="4" s="1"/>
  <c r="D79" i="4" s="1"/>
  <c r="D80" i="4" s="1"/>
  <c r="S74" i="4"/>
  <c r="S75" i="4" s="1"/>
  <c r="K74" i="4"/>
  <c r="K75" i="4" s="1"/>
  <c r="U72" i="4"/>
  <c r="U73" i="4" s="1"/>
  <c r="U74" i="4" s="1"/>
  <c r="U75" i="4" s="1"/>
  <c r="V89" i="4"/>
  <c r="V90" i="4" s="1"/>
  <c r="N89" i="4"/>
  <c r="N90" i="4" s="1"/>
  <c r="W84" i="4"/>
  <c r="W85" i="4" s="1"/>
  <c r="T89" i="4"/>
  <c r="T90" i="4" s="1"/>
  <c r="U84" i="4"/>
  <c r="U85" i="4" s="1"/>
  <c r="V79" i="4"/>
  <c r="V80" i="4" s="1"/>
  <c r="N79" i="4"/>
  <c r="N80" i="4" s="1"/>
  <c r="W74" i="4"/>
  <c r="W75" i="4" s="1"/>
  <c r="O74" i="4"/>
  <c r="O75" i="4" s="1"/>
  <c r="M69" i="3"/>
  <c r="K69" i="3"/>
  <c r="R69" i="3"/>
  <c r="V69" i="3"/>
  <c r="N69" i="3"/>
  <c r="U69" i="3"/>
  <c r="J69" i="3"/>
  <c r="E69" i="3"/>
  <c r="W69" i="3"/>
  <c r="G67" i="3"/>
  <c r="Q67" i="3"/>
  <c r="E19" i="11" s="1"/>
  <c r="S69" i="3"/>
  <c r="O67" i="3"/>
  <c r="I69" i="3"/>
  <c r="T69" i="3"/>
  <c r="L69" i="3"/>
  <c r="D69" i="3"/>
  <c r="H69" i="3"/>
  <c r="C69" i="3"/>
  <c r="C7" i="17"/>
  <c r="C7" i="16"/>
  <c r="C6" i="16"/>
  <c r="C5" i="16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B7" i="17"/>
  <c r="B7" i="16"/>
  <c r="B6" i="16"/>
  <c r="B5" i="16"/>
  <c r="Q69" i="3" l="1"/>
  <c r="E8" i="11"/>
  <c r="E24" i="11"/>
  <c r="E10" i="11"/>
  <c r="E16" i="11"/>
  <c r="E5" i="11"/>
  <c r="E17" i="11"/>
  <c r="E9" i="11"/>
  <c r="F74" i="5"/>
  <c r="F75" i="5" s="1"/>
  <c r="F72" i="5"/>
  <c r="F73" i="5" s="1"/>
  <c r="F79" i="5"/>
  <c r="F80" i="5" s="1"/>
  <c r="G87" i="5"/>
  <c r="G88" i="5" s="1"/>
  <c r="G89" i="5" s="1"/>
  <c r="G90" i="5" s="1"/>
  <c r="K107" i="5"/>
  <c r="M107" i="5"/>
  <c r="H76" i="5"/>
  <c r="H77" i="5" s="1"/>
  <c r="H78" i="5" s="1"/>
  <c r="H79" i="5" s="1"/>
  <c r="H80" i="5" s="1"/>
  <c r="G82" i="5"/>
  <c r="G83" i="5" s="1"/>
  <c r="G84" i="5" s="1"/>
  <c r="G85" i="5" s="1"/>
  <c r="O107" i="5"/>
  <c r="F96" i="5"/>
  <c r="M71" i="5"/>
  <c r="G79" i="5"/>
  <c r="G80" i="5" s="1"/>
  <c r="X96" i="5"/>
  <c r="E107" i="5"/>
  <c r="C107" i="5"/>
  <c r="E76" i="5"/>
  <c r="P96" i="5"/>
  <c r="V96" i="5"/>
  <c r="G118" i="5"/>
  <c r="E118" i="5"/>
  <c r="T107" i="5"/>
  <c r="Z107" i="5"/>
  <c r="I87" i="5"/>
  <c r="I88" i="5" s="1"/>
  <c r="I89" i="5" s="1"/>
  <c r="I90" i="5" s="1"/>
  <c r="Y107" i="5"/>
  <c r="C118" i="5"/>
  <c r="E71" i="5"/>
  <c r="L71" i="5"/>
  <c r="I84" i="5"/>
  <c r="I85" i="5" s="1"/>
  <c r="I82" i="5"/>
  <c r="I83" i="5" s="1"/>
  <c r="V107" i="5"/>
  <c r="M118" i="5"/>
  <c r="L118" i="5"/>
  <c r="H87" i="5"/>
  <c r="H88" i="5" s="1"/>
  <c r="H89" i="5" s="1"/>
  <c r="H90" i="5" s="1"/>
  <c r="S107" i="5"/>
  <c r="H96" i="5"/>
  <c r="Q107" i="5"/>
  <c r="D71" i="5"/>
  <c r="S118" i="5"/>
  <c r="N118" i="5"/>
  <c r="D96" i="5"/>
  <c r="M96" i="5"/>
  <c r="M82" i="5"/>
  <c r="M83" i="5" s="1"/>
  <c r="M84" i="5" s="1"/>
  <c r="M85" i="5" s="1"/>
  <c r="Q118" i="5"/>
  <c r="J107" i="5"/>
  <c r="W96" i="5"/>
  <c r="N96" i="5"/>
  <c r="E82" i="5"/>
  <c r="E83" i="5" s="1"/>
  <c r="E84" i="5" s="1"/>
  <c r="E85" i="5" s="1"/>
  <c r="U96" i="5"/>
  <c r="S96" i="5"/>
  <c r="H107" i="5"/>
  <c r="H118" i="5"/>
  <c r="O118" i="5"/>
  <c r="H82" i="5"/>
  <c r="H83" i="5" s="1"/>
  <c r="H84" i="5" s="1"/>
  <c r="H85" i="5" s="1"/>
  <c r="W107" i="5"/>
  <c r="N107" i="5"/>
  <c r="U107" i="5"/>
  <c r="G71" i="5"/>
  <c r="G72" i="5" s="1"/>
  <c r="G73" i="5" s="1"/>
  <c r="G74" i="5" s="1"/>
  <c r="G75" i="5" s="1"/>
  <c r="O96" i="5"/>
  <c r="Q96" i="5"/>
  <c r="C74" i="5"/>
  <c r="C75" i="5" s="1"/>
  <c r="C87" i="5"/>
  <c r="C88" i="5" s="1"/>
  <c r="C89" i="5" s="1"/>
  <c r="C90" i="5" s="1"/>
  <c r="K96" i="5"/>
  <c r="C96" i="5"/>
  <c r="E96" i="5"/>
  <c r="G96" i="5"/>
  <c r="I96" i="5"/>
  <c r="C76" i="5"/>
  <c r="C77" i="5" s="1"/>
  <c r="C78" i="5" s="1"/>
  <c r="C79" i="5" s="1"/>
  <c r="C80" i="5" s="1"/>
  <c r="X87" i="4"/>
  <c r="X88" i="4" s="1"/>
  <c r="X107" i="4"/>
  <c r="J118" i="4"/>
  <c r="X82" i="4"/>
  <c r="X83" i="4" s="1"/>
  <c r="X84" i="4" s="1"/>
  <c r="X85" i="4" s="1"/>
  <c r="D118" i="4"/>
  <c r="L72" i="4"/>
  <c r="L73" i="4" s="1"/>
  <c r="L74" i="4" s="1"/>
  <c r="L75" i="4" s="1"/>
  <c r="H82" i="4"/>
  <c r="H83" i="4" s="1"/>
  <c r="H84" i="4" s="1"/>
  <c r="H85" i="4" s="1"/>
  <c r="W107" i="4"/>
  <c r="N107" i="4"/>
  <c r="U107" i="4"/>
  <c r="D72" i="4"/>
  <c r="D73" i="4" s="1"/>
  <c r="D74" i="4" s="1"/>
  <c r="D75" i="4" s="1"/>
  <c r="I107" i="4"/>
  <c r="Y96" i="4"/>
  <c r="F82" i="4"/>
  <c r="F83" i="4" s="1"/>
  <c r="F84" i="4" s="1"/>
  <c r="F85" i="4" s="1"/>
  <c r="G107" i="4"/>
  <c r="M82" i="4"/>
  <c r="M83" i="4" s="1"/>
  <c r="M84" i="4" s="1"/>
  <c r="M85" i="4" s="1"/>
  <c r="J107" i="4"/>
  <c r="Q118" i="4"/>
  <c r="N118" i="4"/>
  <c r="M87" i="4"/>
  <c r="M88" i="4" s="1"/>
  <c r="M89" i="4" s="1"/>
  <c r="M90" i="4" s="1"/>
  <c r="S118" i="4"/>
  <c r="E82" i="4"/>
  <c r="E83" i="4" s="1"/>
  <c r="E84" i="4" s="1"/>
  <c r="E85" i="4" s="1"/>
  <c r="S96" i="4"/>
  <c r="U96" i="4"/>
  <c r="I76" i="4"/>
  <c r="I77" i="4" s="1"/>
  <c r="I78" i="4" s="1"/>
  <c r="I79" i="4" s="1"/>
  <c r="I80" i="4" s="1"/>
  <c r="G76" i="4"/>
  <c r="G77" i="4" s="1"/>
  <c r="G78" i="4" s="1"/>
  <c r="G79" i="4" s="1"/>
  <c r="G80" i="4" s="1"/>
  <c r="I82" i="4"/>
  <c r="I83" i="4" s="1"/>
  <c r="I84" i="4" s="1"/>
  <c r="I85" i="4" s="1"/>
  <c r="V107" i="4"/>
  <c r="G71" i="4"/>
  <c r="G72" i="4" s="1"/>
  <c r="G73" i="4" s="1"/>
  <c r="G74" i="4" s="1"/>
  <c r="G75" i="4" s="1"/>
  <c r="L87" i="4"/>
  <c r="L88" i="4" s="1"/>
  <c r="L89" i="4" s="1"/>
  <c r="L90" i="4" s="1"/>
  <c r="M118" i="4"/>
  <c r="L118" i="4"/>
  <c r="H71" i="4"/>
  <c r="H72" i="4" s="1"/>
  <c r="H73" i="4" s="1"/>
  <c r="H74" i="4" s="1"/>
  <c r="H75" i="4" s="1"/>
  <c r="F71" i="4"/>
  <c r="F72" i="4" s="1"/>
  <c r="F73" i="4" s="1"/>
  <c r="F74" i="4" s="1"/>
  <c r="F75" i="4" s="1"/>
  <c r="T96" i="4"/>
  <c r="P82" i="4"/>
  <c r="P83" i="4" s="1"/>
  <c r="P84" i="4" s="1"/>
  <c r="P85" i="4" s="1"/>
  <c r="M71" i="4"/>
  <c r="M72" i="4" s="1"/>
  <c r="M73" i="4" s="1"/>
  <c r="M74" i="4" s="1"/>
  <c r="M75" i="4" s="1"/>
  <c r="F89" i="4"/>
  <c r="F90" i="4" s="1"/>
  <c r="F87" i="4"/>
  <c r="F88" i="4" s="1"/>
  <c r="X96" i="4"/>
  <c r="C107" i="4"/>
  <c r="E107" i="4"/>
  <c r="M76" i="4"/>
  <c r="M77" i="4" s="1"/>
  <c r="M78" i="4" s="1"/>
  <c r="M79" i="4" s="1"/>
  <c r="M80" i="4" s="1"/>
  <c r="D87" i="4"/>
  <c r="D88" i="4" s="1"/>
  <c r="D89" i="4" s="1"/>
  <c r="D90" i="4" s="1"/>
  <c r="D96" i="4"/>
  <c r="M96" i="4"/>
  <c r="Y107" i="4"/>
  <c r="I87" i="4"/>
  <c r="I88" i="4" s="1"/>
  <c r="I89" i="4" s="1"/>
  <c r="I90" i="4" s="1"/>
  <c r="C118" i="4"/>
  <c r="E71" i="4"/>
  <c r="E87" i="4"/>
  <c r="E88" i="4" s="1"/>
  <c r="E89" i="4" s="1"/>
  <c r="E90" i="4" s="1"/>
  <c r="W96" i="4"/>
  <c r="N96" i="4"/>
  <c r="G87" i="4"/>
  <c r="G88" i="4" s="1"/>
  <c r="G89" i="4" s="1"/>
  <c r="G90" i="4" s="1"/>
  <c r="K107" i="4"/>
  <c r="M107" i="4"/>
  <c r="G82" i="4"/>
  <c r="G83" i="4" s="1"/>
  <c r="G84" i="4" s="1"/>
  <c r="G85" i="4" s="1"/>
  <c r="O107" i="4"/>
  <c r="F96" i="4"/>
  <c r="H87" i="4"/>
  <c r="H88" i="4" s="1"/>
  <c r="H89" i="4" s="1"/>
  <c r="H90" i="4" s="1"/>
  <c r="Q107" i="4"/>
  <c r="H96" i="4"/>
  <c r="S107" i="4"/>
  <c r="X89" i="4"/>
  <c r="X90" i="4" s="1"/>
  <c r="X76" i="4"/>
  <c r="X77" i="4" s="1"/>
  <c r="X78" i="4" s="1"/>
  <c r="X79" i="4" s="1"/>
  <c r="X80" i="4" s="1"/>
  <c r="X71" i="4"/>
  <c r="X72" i="4" s="1"/>
  <c r="X73" i="4" s="1"/>
  <c r="X74" i="4" s="1"/>
  <c r="X75" i="4" s="1"/>
  <c r="G69" i="3"/>
  <c r="O69" i="3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C26" i="14"/>
  <c r="C25" i="14"/>
  <c r="C24" i="14"/>
  <c r="C22" i="14"/>
  <c r="C23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G36" i="10"/>
  <c r="F28" i="18"/>
  <c r="G28" i="18" s="1"/>
  <c r="F27" i="18"/>
  <c r="F26" i="18"/>
  <c r="G26" i="18" s="1"/>
  <c r="F25" i="18"/>
  <c r="F24" i="18"/>
  <c r="G24" i="18" s="1"/>
  <c r="F23" i="18"/>
  <c r="F22" i="18"/>
  <c r="F21" i="18"/>
  <c r="G21" i="18" s="1"/>
  <c r="F20" i="18"/>
  <c r="F19" i="18"/>
  <c r="F18" i="18"/>
  <c r="G18" i="18" s="1"/>
  <c r="F17" i="18"/>
  <c r="F16" i="18"/>
  <c r="G16" i="18" s="1"/>
  <c r="F15" i="18"/>
  <c r="F14" i="18"/>
  <c r="G14" i="18" s="1"/>
  <c r="F13" i="18"/>
  <c r="G13" i="18" s="1"/>
  <c r="F12" i="18"/>
  <c r="F11" i="18"/>
  <c r="F10" i="18"/>
  <c r="G10" i="18" s="1"/>
  <c r="F9" i="18"/>
  <c r="G9" i="18" s="1"/>
  <c r="F8" i="18"/>
  <c r="G8" i="18" s="1"/>
  <c r="F7" i="18"/>
  <c r="F6" i="18"/>
  <c r="F5" i="18"/>
  <c r="G5" i="18" s="1"/>
  <c r="F4" i="18"/>
  <c r="G4" i="18" s="1"/>
  <c r="G20" i="18"/>
  <c r="G11" i="18"/>
  <c r="G19" i="18"/>
  <c r="G25" i="18"/>
  <c r="G27" i="18"/>
  <c r="F3" i="18"/>
  <c r="G3" i="18" s="1"/>
  <c r="G23" i="18"/>
  <c r="G22" i="18"/>
  <c r="G17" i="18"/>
  <c r="G15" i="18"/>
  <c r="G12" i="18"/>
  <c r="G7" i="18"/>
  <c r="G6" i="18"/>
  <c r="E77" i="5" l="1"/>
  <c r="E78" i="5" s="1"/>
  <c r="E79" i="5"/>
  <c r="E80" i="5" s="1"/>
  <c r="D72" i="5"/>
  <c r="D73" i="5" s="1"/>
  <c r="D74" i="5" s="1"/>
  <c r="D75" i="5" s="1"/>
  <c r="L72" i="5"/>
  <c r="L73" i="5" s="1"/>
  <c r="L74" i="5"/>
  <c r="L75" i="5" s="1"/>
  <c r="M72" i="5"/>
  <c r="M73" i="5" s="1"/>
  <c r="M74" i="5" s="1"/>
  <c r="M75" i="5" s="1"/>
  <c r="E72" i="5"/>
  <c r="E73" i="5" s="1"/>
  <c r="E74" i="5" s="1"/>
  <c r="E75" i="5" s="1"/>
  <c r="E72" i="4"/>
  <c r="E73" i="4" s="1"/>
  <c r="E74" i="4" s="1"/>
  <c r="E75" i="4" s="1"/>
  <c r="J48" i="2"/>
  <c r="K48" i="2"/>
  <c r="J49" i="2"/>
  <c r="K49" i="2"/>
  <c r="J51" i="2"/>
  <c r="K51" i="2"/>
  <c r="Y2" i="1"/>
  <c r="J53" i="2" l="1"/>
  <c r="K53" i="2"/>
  <c r="K59" i="2" l="1"/>
  <c r="K56" i="2"/>
  <c r="K60" i="2"/>
  <c r="K57" i="2"/>
  <c r="K61" i="2"/>
  <c r="K58" i="2"/>
  <c r="K62" i="2"/>
  <c r="J59" i="2"/>
  <c r="J57" i="2"/>
  <c r="J62" i="2"/>
  <c r="J60" i="2"/>
  <c r="J61" i="2"/>
  <c r="J56" i="2"/>
  <c r="J58" i="2"/>
  <c r="Q6" i="3"/>
  <c r="Q7" i="3"/>
  <c r="Q8" i="3"/>
  <c r="R5" i="3"/>
  <c r="Q5" i="3"/>
  <c r="R4" i="3"/>
  <c r="O6" i="3"/>
  <c r="O7" i="3"/>
  <c r="O8" i="3"/>
  <c r="O9" i="3"/>
  <c r="O5" i="3"/>
  <c r="O4" i="3"/>
  <c r="N6" i="3"/>
  <c r="N7" i="3"/>
  <c r="N8" i="3"/>
  <c r="N9" i="3"/>
  <c r="N5" i="3"/>
  <c r="D12" i="16"/>
  <c r="D11" i="16"/>
  <c r="G10" i="16"/>
  <c r="F10" i="16"/>
  <c r="E10" i="16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G29" i="15"/>
  <c r="F29" i="15"/>
  <c r="E29" i="15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H29" i="14"/>
  <c r="G29" i="14"/>
  <c r="F29" i="14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G28" i="11"/>
  <c r="F28" i="11"/>
  <c r="E28" i="11"/>
  <c r="E94" i="8"/>
  <c r="C94" i="8"/>
  <c r="AC116" i="7"/>
  <c r="AA116" i="7"/>
  <c r="Y116" i="7"/>
  <c r="W116" i="7"/>
  <c r="U116" i="7"/>
  <c r="S116" i="7"/>
  <c r="Q116" i="7"/>
  <c r="O116" i="7"/>
  <c r="M116" i="7"/>
  <c r="K116" i="7"/>
  <c r="I116" i="7"/>
  <c r="G116" i="7"/>
  <c r="E116" i="7"/>
  <c r="C116" i="7"/>
  <c r="Y105" i="7"/>
  <c r="W105" i="7"/>
  <c r="U105" i="7"/>
  <c r="S105" i="7"/>
  <c r="Q105" i="7"/>
  <c r="O105" i="7"/>
  <c r="M105" i="7"/>
  <c r="K105" i="7"/>
  <c r="I105" i="7"/>
  <c r="G105" i="7"/>
  <c r="E105" i="7"/>
  <c r="C105" i="7"/>
  <c r="Y94" i="7"/>
  <c r="W94" i="7"/>
  <c r="U94" i="7"/>
  <c r="S94" i="7"/>
  <c r="Q94" i="7"/>
  <c r="O94" i="7"/>
  <c r="M94" i="7"/>
  <c r="K94" i="7"/>
  <c r="I94" i="7"/>
  <c r="G94" i="7"/>
  <c r="E94" i="7"/>
  <c r="C94" i="7"/>
  <c r="U116" i="6"/>
  <c r="S116" i="6"/>
  <c r="Q116" i="6"/>
  <c r="O116" i="6"/>
  <c r="M116" i="6"/>
  <c r="K116" i="6"/>
  <c r="I116" i="6"/>
  <c r="G116" i="6"/>
  <c r="E116" i="6"/>
  <c r="C116" i="6"/>
  <c r="Y105" i="6"/>
  <c r="W105" i="6"/>
  <c r="U105" i="6"/>
  <c r="S105" i="6"/>
  <c r="Q105" i="6"/>
  <c r="O105" i="6"/>
  <c r="M105" i="6"/>
  <c r="K105" i="6"/>
  <c r="I105" i="6"/>
  <c r="G105" i="6"/>
  <c r="E105" i="6"/>
  <c r="C105" i="6"/>
  <c r="Y94" i="6"/>
  <c r="W94" i="6"/>
  <c r="U94" i="6"/>
  <c r="S94" i="6"/>
  <c r="Q94" i="6"/>
  <c r="O94" i="6"/>
  <c r="M94" i="6"/>
  <c r="K94" i="6"/>
  <c r="I94" i="6"/>
  <c r="G94" i="6"/>
  <c r="E94" i="6"/>
  <c r="C94" i="6"/>
  <c r="U116" i="5"/>
  <c r="S116" i="5"/>
  <c r="Q116" i="5"/>
  <c r="O116" i="5"/>
  <c r="M116" i="5"/>
  <c r="K116" i="5"/>
  <c r="I116" i="5"/>
  <c r="G116" i="5"/>
  <c r="E116" i="5"/>
  <c r="C116" i="5"/>
  <c r="Y105" i="5"/>
  <c r="W105" i="5"/>
  <c r="U105" i="5"/>
  <c r="S105" i="5"/>
  <c r="Q105" i="5"/>
  <c r="O105" i="5"/>
  <c r="M105" i="5"/>
  <c r="K105" i="5"/>
  <c r="I105" i="5"/>
  <c r="G105" i="5"/>
  <c r="E105" i="5"/>
  <c r="C105" i="5"/>
  <c r="Y94" i="5"/>
  <c r="W94" i="5"/>
  <c r="U94" i="5"/>
  <c r="S94" i="5"/>
  <c r="Q94" i="5"/>
  <c r="O94" i="5"/>
  <c r="M94" i="5"/>
  <c r="K94" i="5"/>
  <c r="I94" i="5"/>
  <c r="G94" i="5"/>
  <c r="E94" i="5"/>
  <c r="C94" i="5"/>
  <c r="U116" i="4"/>
  <c r="S116" i="4"/>
  <c r="Q116" i="4"/>
  <c r="O116" i="4"/>
  <c r="M116" i="4"/>
  <c r="K116" i="4"/>
  <c r="I116" i="4"/>
  <c r="G116" i="4"/>
  <c r="E116" i="4"/>
  <c r="C116" i="4"/>
  <c r="Y105" i="4"/>
  <c r="W105" i="4"/>
  <c r="U105" i="4"/>
  <c r="S105" i="4"/>
  <c r="Q105" i="4"/>
  <c r="O105" i="4"/>
  <c r="M105" i="4"/>
  <c r="K105" i="4"/>
  <c r="I105" i="4"/>
  <c r="G105" i="4"/>
  <c r="E105" i="4"/>
  <c r="C105" i="4"/>
  <c r="AE94" i="4"/>
  <c r="AC94" i="4"/>
  <c r="AA94" i="4"/>
  <c r="Y94" i="4"/>
  <c r="W94" i="4"/>
  <c r="U94" i="4"/>
  <c r="S94" i="4"/>
  <c r="Q94" i="4"/>
  <c r="O94" i="4"/>
  <c r="M94" i="4"/>
  <c r="K94" i="4"/>
  <c r="I94" i="4"/>
  <c r="G94" i="4"/>
  <c r="E94" i="4"/>
  <c r="C94" i="4"/>
  <c r="W116" i="3"/>
  <c r="U116" i="3"/>
  <c r="S116" i="3"/>
  <c r="Q116" i="3"/>
  <c r="O116" i="3"/>
  <c r="M116" i="3"/>
  <c r="K116" i="3"/>
  <c r="I116" i="3"/>
  <c r="G116" i="3"/>
  <c r="E116" i="3"/>
  <c r="C116" i="3"/>
  <c r="AA105" i="3"/>
  <c r="Y105" i="3"/>
  <c r="W105" i="3"/>
  <c r="U105" i="3"/>
  <c r="S105" i="3"/>
  <c r="Q105" i="3"/>
  <c r="O105" i="3"/>
  <c r="M105" i="3"/>
  <c r="K105" i="3"/>
  <c r="I105" i="3"/>
  <c r="G105" i="3"/>
  <c r="E105" i="3"/>
  <c r="C105" i="3"/>
  <c r="AA94" i="3"/>
  <c r="Y94" i="3"/>
  <c r="W94" i="3"/>
  <c r="U94" i="3"/>
  <c r="S94" i="3"/>
  <c r="Q94" i="3"/>
  <c r="O94" i="3"/>
  <c r="M94" i="3"/>
  <c r="K94" i="3"/>
  <c r="I94" i="3"/>
  <c r="G94" i="3"/>
  <c r="E94" i="3"/>
  <c r="C94" i="3"/>
  <c r="AE94" i="2"/>
  <c r="AC94" i="2"/>
  <c r="AA94" i="2"/>
  <c r="Y94" i="2"/>
  <c r="W94" i="2"/>
  <c r="U94" i="2"/>
  <c r="S94" i="2"/>
  <c r="Q94" i="2"/>
  <c r="O94" i="2"/>
  <c r="M94" i="2"/>
  <c r="K94" i="2"/>
  <c r="I94" i="2"/>
  <c r="G94" i="2"/>
  <c r="E94" i="2"/>
  <c r="C94" i="2"/>
  <c r="AA127" i="2"/>
  <c r="Y127" i="2"/>
  <c r="W127" i="2"/>
  <c r="U127" i="2"/>
  <c r="S127" i="2"/>
  <c r="Q127" i="2"/>
  <c r="O127" i="2"/>
  <c r="M127" i="2"/>
  <c r="K127" i="2"/>
  <c r="I127" i="2"/>
  <c r="G127" i="2"/>
  <c r="E127" i="2"/>
  <c r="C127" i="2"/>
  <c r="AE105" i="2"/>
  <c r="AC105" i="2"/>
  <c r="AA105" i="2"/>
  <c r="Y105" i="2"/>
  <c r="W105" i="2"/>
  <c r="U105" i="2"/>
  <c r="S105" i="2"/>
  <c r="Q105" i="2"/>
  <c r="O105" i="2"/>
  <c r="M105" i="2"/>
  <c r="K105" i="2"/>
  <c r="I105" i="2"/>
  <c r="G105" i="2"/>
  <c r="E105" i="2"/>
  <c r="C105" i="2"/>
  <c r="AE116" i="2"/>
  <c r="AC116" i="2"/>
  <c r="AA116" i="2"/>
  <c r="Y116" i="2"/>
  <c r="W116" i="2"/>
  <c r="U116" i="2"/>
  <c r="S116" i="2"/>
  <c r="Q116" i="2"/>
  <c r="O116" i="2"/>
  <c r="M116" i="2"/>
  <c r="K116" i="2"/>
  <c r="I116" i="2"/>
  <c r="G116" i="2"/>
  <c r="E116" i="2"/>
  <c r="C116" i="2"/>
  <c r="F36" i="10"/>
  <c r="D94" i="10"/>
  <c r="D90" i="10"/>
  <c r="D91" i="10"/>
  <c r="D92" i="10"/>
  <c r="D93" i="10"/>
  <c r="D83" i="10"/>
  <c r="D84" i="10"/>
  <c r="D85" i="10"/>
  <c r="D86" i="10"/>
  <c r="D87" i="10"/>
  <c r="D88" i="10"/>
  <c r="D89" i="10"/>
  <c r="D82" i="10"/>
  <c r="E36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7" i="10"/>
  <c r="D48" i="10"/>
  <c r="D44" i="10"/>
  <c r="D45" i="10"/>
  <c r="D46" i="10"/>
  <c r="D38" i="10"/>
  <c r="D39" i="10"/>
  <c r="D40" i="10"/>
  <c r="D41" i="10"/>
  <c r="D42" i="10"/>
  <c r="D43" i="10"/>
  <c r="D37" i="10"/>
  <c r="D65" i="8" l="1"/>
  <c r="E64" i="8"/>
  <c r="D64" i="8"/>
  <c r="C64" i="8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P65" i="4"/>
  <c r="C37" i="9" l="1"/>
  <c r="C36" i="9"/>
  <c r="C23" i="9"/>
  <c r="C21" i="9"/>
  <c r="C20" i="9"/>
  <c r="H28" i="18" s="1"/>
  <c r="C12" i="9"/>
  <c r="I7" i="9"/>
  <c r="C7" i="9"/>
  <c r="I6" i="9"/>
  <c r="C6" i="9"/>
  <c r="E65" i="8"/>
  <c r="C65" i="8"/>
  <c r="E51" i="8"/>
  <c r="D51" i="8"/>
  <c r="C51" i="8"/>
  <c r="E49" i="8"/>
  <c r="D49" i="8"/>
  <c r="C49" i="8"/>
  <c r="E48" i="8"/>
  <c r="H27" i="18" s="1"/>
  <c r="I27" i="18" s="1"/>
  <c r="D48" i="8"/>
  <c r="C48" i="8"/>
  <c r="C12" i="8"/>
  <c r="I7" i="8"/>
  <c r="C7" i="8"/>
  <c r="I6" i="8"/>
  <c r="C6" i="8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X48" i="7"/>
  <c r="W48" i="7"/>
  <c r="V48" i="7"/>
  <c r="U48" i="7"/>
  <c r="T48" i="7"/>
  <c r="S48" i="7"/>
  <c r="R48" i="7"/>
  <c r="Q48" i="7"/>
  <c r="I26" i="18" s="1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C12" i="7"/>
  <c r="I7" i="7"/>
  <c r="C7" i="7"/>
  <c r="I6" i="7"/>
  <c r="C6" i="7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C12" i="6"/>
  <c r="I7" i="6"/>
  <c r="C7" i="6"/>
  <c r="I6" i="6"/>
  <c r="C6" i="6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C12" i="5"/>
  <c r="I7" i="5"/>
  <c r="C7" i="5"/>
  <c r="I6" i="5"/>
  <c r="C6" i="5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C51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C49" i="4"/>
  <c r="C48" i="4"/>
  <c r="X65" i="4"/>
  <c r="W65" i="4"/>
  <c r="V65" i="4"/>
  <c r="U65" i="4"/>
  <c r="T65" i="4"/>
  <c r="S65" i="4"/>
  <c r="R65" i="4"/>
  <c r="Q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C12" i="4"/>
  <c r="I7" i="4"/>
  <c r="C7" i="4"/>
  <c r="I6" i="4"/>
  <c r="C6" i="4"/>
  <c r="W48" i="3"/>
  <c r="W49" i="3"/>
  <c r="W51" i="3"/>
  <c r="V51" i="3"/>
  <c r="U51" i="3"/>
  <c r="T51" i="3"/>
  <c r="S51" i="3"/>
  <c r="R51" i="3"/>
  <c r="Q51" i="3"/>
  <c r="P51" i="3"/>
  <c r="K20" i="3" s="1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V49" i="3"/>
  <c r="U49" i="3"/>
  <c r="T49" i="3"/>
  <c r="S49" i="3"/>
  <c r="R49" i="3"/>
  <c r="Q49" i="3"/>
  <c r="P49" i="3"/>
  <c r="K18" i="3" s="1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V48" i="3"/>
  <c r="V68" i="3" s="1"/>
  <c r="U48" i="3"/>
  <c r="T48" i="3"/>
  <c r="S48" i="3"/>
  <c r="R48" i="3"/>
  <c r="R68" i="3" s="1"/>
  <c r="Q48" i="3"/>
  <c r="Q68" i="3" s="1"/>
  <c r="P48" i="3"/>
  <c r="O48" i="3"/>
  <c r="O68" i="3" s="1"/>
  <c r="N48" i="3"/>
  <c r="N68" i="3" s="1"/>
  <c r="M48" i="3"/>
  <c r="L48" i="3"/>
  <c r="K48" i="3"/>
  <c r="J48" i="3"/>
  <c r="I48" i="3"/>
  <c r="I68" i="3" s="1"/>
  <c r="H48" i="3"/>
  <c r="H68" i="3" s="1"/>
  <c r="G48" i="3"/>
  <c r="G68" i="3" s="1"/>
  <c r="F48" i="3"/>
  <c r="F68" i="3" s="1"/>
  <c r="E48" i="3"/>
  <c r="D48" i="3"/>
  <c r="C48" i="3"/>
  <c r="C12" i="3"/>
  <c r="I7" i="3"/>
  <c r="R7" i="3" s="1"/>
  <c r="C7" i="3"/>
  <c r="I6" i="3"/>
  <c r="R6" i="3" s="1"/>
  <c r="C6" i="3"/>
  <c r="AC48" i="2"/>
  <c r="AD48" i="2"/>
  <c r="AE48" i="2"/>
  <c r="AC49" i="2"/>
  <c r="AD49" i="2"/>
  <c r="AE49" i="2"/>
  <c r="AC51" i="2"/>
  <c r="AD51" i="2"/>
  <c r="AE51" i="2"/>
  <c r="AC65" i="2"/>
  <c r="AD65" i="2"/>
  <c r="AE65" i="2"/>
  <c r="S48" i="2"/>
  <c r="T48" i="2"/>
  <c r="U48" i="2"/>
  <c r="V48" i="2"/>
  <c r="W48" i="2"/>
  <c r="X48" i="2"/>
  <c r="Y48" i="2"/>
  <c r="Z48" i="2"/>
  <c r="H3" i="18" s="1"/>
  <c r="I3" i="18" s="1"/>
  <c r="AA48" i="2"/>
  <c r="AB48" i="2"/>
  <c r="S49" i="2"/>
  <c r="T49" i="2"/>
  <c r="U49" i="2"/>
  <c r="V49" i="2"/>
  <c r="W49" i="2"/>
  <c r="X49" i="2"/>
  <c r="Y49" i="2"/>
  <c r="Z49" i="2"/>
  <c r="AA49" i="2"/>
  <c r="AB49" i="2"/>
  <c r="S51" i="2"/>
  <c r="T51" i="2"/>
  <c r="U51" i="2"/>
  <c r="V51" i="2"/>
  <c r="W51" i="2"/>
  <c r="X51" i="2"/>
  <c r="Y51" i="2"/>
  <c r="Z51" i="2"/>
  <c r="AA51" i="2"/>
  <c r="AB51" i="2"/>
  <c r="S65" i="2"/>
  <c r="T65" i="2"/>
  <c r="U65" i="2"/>
  <c r="V65" i="2"/>
  <c r="W65" i="2"/>
  <c r="X65" i="2"/>
  <c r="Y65" i="2"/>
  <c r="Z65" i="2"/>
  <c r="AA65" i="2"/>
  <c r="AB65" i="2"/>
  <c r="E48" i="2"/>
  <c r="F48" i="2"/>
  <c r="G48" i="2"/>
  <c r="H48" i="2"/>
  <c r="I48" i="2"/>
  <c r="L48" i="2"/>
  <c r="M48" i="2"/>
  <c r="N48" i="2"/>
  <c r="O48" i="2"/>
  <c r="P48" i="2"/>
  <c r="Q48" i="2"/>
  <c r="R48" i="2"/>
  <c r="E49" i="2"/>
  <c r="F49" i="2"/>
  <c r="G49" i="2"/>
  <c r="H49" i="2"/>
  <c r="I49" i="2"/>
  <c r="L49" i="2"/>
  <c r="M49" i="2"/>
  <c r="N49" i="2"/>
  <c r="O49" i="2"/>
  <c r="P49" i="2"/>
  <c r="Q49" i="2"/>
  <c r="R49" i="2"/>
  <c r="E51" i="2"/>
  <c r="F51" i="2"/>
  <c r="G51" i="2"/>
  <c r="H51" i="2"/>
  <c r="I51" i="2"/>
  <c r="L51" i="2"/>
  <c r="M51" i="2"/>
  <c r="N51" i="2"/>
  <c r="O51" i="2"/>
  <c r="P51" i="2"/>
  <c r="Q51" i="2"/>
  <c r="R51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D51" i="2"/>
  <c r="D65" i="2"/>
  <c r="D49" i="2"/>
  <c r="D48" i="2"/>
  <c r="C51" i="2"/>
  <c r="K20" i="2" s="1"/>
  <c r="C48" i="2"/>
  <c r="K17" i="2" s="1"/>
  <c r="C12" i="2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0" i="1"/>
  <c r="R11" i="1"/>
  <c r="R9" i="1"/>
  <c r="R8" i="1"/>
  <c r="R7" i="1"/>
  <c r="R6" i="1"/>
  <c r="R5" i="1"/>
  <c r="R4" i="1"/>
  <c r="R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3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3" i="1"/>
  <c r="M4" i="1"/>
  <c r="M5" i="1"/>
  <c r="M6" i="1"/>
  <c r="M7" i="1"/>
  <c r="M8" i="1"/>
  <c r="M9" i="1"/>
  <c r="M10" i="1"/>
  <c r="M11" i="1"/>
  <c r="M12" i="1"/>
  <c r="M13" i="1"/>
  <c r="M14" i="1"/>
  <c r="M16" i="1"/>
  <c r="M17" i="1"/>
  <c r="M18" i="1"/>
  <c r="M19" i="1"/>
  <c r="M20" i="1"/>
  <c r="M21" i="1"/>
  <c r="M22" i="1"/>
  <c r="M23" i="1"/>
  <c r="M24" i="1"/>
  <c r="M25" i="1"/>
  <c r="M26" i="1"/>
  <c r="M15" i="1"/>
  <c r="I7" i="2"/>
  <c r="C7" i="2"/>
  <c r="C6" i="2"/>
  <c r="I6" i="2"/>
  <c r="P68" i="3" l="1"/>
  <c r="K38" i="3" s="1"/>
  <c r="K17" i="3"/>
  <c r="W68" i="3"/>
  <c r="H4" i="18"/>
  <c r="I4" i="18" s="1"/>
  <c r="J68" i="3"/>
  <c r="K68" i="3"/>
  <c r="D68" i="3"/>
  <c r="L68" i="3"/>
  <c r="T68" i="3"/>
  <c r="S68" i="3"/>
  <c r="E68" i="3"/>
  <c r="M68" i="3"/>
  <c r="U68" i="3"/>
  <c r="C68" i="3"/>
  <c r="E53" i="8"/>
  <c r="C53" i="8"/>
  <c r="D53" i="8"/>
  <c r="C13" i="6"/>
  <c r="J54" i="2"/>
  <c r="J50" i="2" s="1"/>
  <c r="K54" i="2"/>
  <c r="K50" i="2" s="1"/>
  <c r="H20" i="18"/>
  <c r="I20" i="18" s="1"/>
  <c r="H19" i="18"/>
  <c r="I19" i="18" s="1"/>
  <c r="H18" i="18"/>
  <c r="I18" i="18" s="1"/>
  <c r="H25" i="18"/>
  <c r="I25" i="18" s="1"/>
  <c r="H17" i="18"/>
  <c r="I17" i="18" s="1"/>
  <c r="H24" i="18"/>
  <c r="I24" i="18" s="1"/>
  <c r="H23" i="18"/>
  <c r="I23" i="18" s="1"/>
  <c r="H22" i="18"/>
  <c r="I22" i="18" s="1"/>
  <c r="H21" i="18"/>
  <c r="I21" i="18" s="1"/>
  <c r="D7" i="17"/>
  <c r="C13" i="9"/>
  <c r="C13" i="5"/>
  <c r="D23" i="15"/>
  <c r="D16" i="15"/>
  <c r="D9" i="15"/>
  <c r="C13" i="7"/>
  <c r="D22" i="15"/>
  <c r="D15" i="15"/>
  <c r="D8" i="15"/>
  <c r="D21" i="15"/>
  <c r="D14" i="15"/>
  <c r="D7" i="15"/>
  <c r="D26" i="15"/>
  <c r="D13" i="15"/>
  <c r="D6" i="15"/>
  <c r="D20" i="15"/>
  <c r="D12" i="15"/>
  <c r="D5" i="15"/>
  <c r="D19" i="15"/>
  <c r="D25" i="15"/>
  <c r="D18" i="15"/>
  <c r="D11" i="15"/>
  <c r="D24" i="15"/>
  <c r="D17" i="15"/>
  <c r="D10" i="15"/>
  <c r="D25" i="11"/>
  <c r="D17" i="11"/>
  <c r="D9" i="11"/>
  <c r="D20" i="11"/>
  <c r="D12" i="11"/>
  <c r="D24" i="11"/>
  <c r="D16" i="11"/>
  <c r="D8" i="11"/>
  <c r="D23" i="11"/>
  <c r="D15" i="11"/>
  <c r="D7" i="11"/>
  <c r="D22" i="11"/>
  <c r="D14" i="11"/>
  <c r="D6" i="11"/>
  <c r="D21" i="11"/>
  <c r="D13" i="11"/>
  <c r="D5" i="11"/>
  <c r="D19" i="11"/>
  <c r="D11" i="11"/>
  <c r="D18" i="11"/>
  <c r="D10" i="11"/>
  <c r="C13" i="3"/>
  <c r="Y3" i="1"/>
  <c r="H7" i="18"/>
  <c r="I7" i="18" s="1"/>
  <c r="H6" i="18"/>
  <c r="I6" i="18" s="1"/>
  <c r="H5" i="18"/>
  <c r="I5" i="18" s="1"/>
  <c r="H9" i="18"/>
  <c r="I9" i="18" s="1"/>
  <c r="H10" i="18"/>
  <c r="I10" i="18" s="1"/>
  <c r="H8" i="18"/>
  <c r="I8" i="18" s="1"/>
  <c r="D5" i="16"/>
  <c r="D7" i="16"/>
  <c r="D6" i="16"/>
  <c r="C13" i="8"/>
  <c r="E23" i="14"/>
  <c r="E15" i="14"/>
  <c r="E9" i="14"/>
  <c r="E5" i="14"/>
  <c r="E22" i="14"/>
  <c r="E14" i="14"/>
  <c r="E21" i="14"/>
  <c r="E13" i="14"/>
  <c r="E8" i="14"/>
  <c r="E20" i="14"/>
  <c r="E12" i="14"/>
  <c r="C13" i="4"/>
  <c r="E19" i="14"/>
  <c r="E11" i="14"/>
  <c r="E7" i="14"/>
  <c r="E26" i="14"/>
  <c r="E25" i="14"/>
  <c r="E17" i="14"/>
  <c r="E10" i="14"/>
  <c r="E6" i="14"/>
  <c r="E24" i="14"/>
  <c r="E16" i="14"/>
  <c r="E18" i="14"/>
  <c r="H12" i="18"/>
  <c r="I12" i="18" s="1"/>
  <c r="H11" i="18"/>
  <c r="I11" i="18" s="1"/>
  <c r="H15" i="18"/>
  <c r="I15" i="18" s="1"/>
  <c r="H16" i="18"/>
  <c r="I16" i="18" s="1"/>
  <c r="H14" i="18"/>
  <c r="I14" i="18" s="1"/>
  <c r="H13" i="18"/>
  <c r="I13" i="18" s="1"/>
  <c r="C13" i="2"/>
  <c r="Z28" i="1" s="1"/>
  <c r="Y28" i="1"/>
  <c r="I8" i="5"/>
  <c r="F50" i="6"/>
  <c r="I8" i="6"/>
  <c r="R66" i="6" s="1"/>
  <c r="R67" i="6" s="1"/>
  <c r="R68" i="6" s="1"/>
  <c r="D32" i="10"/>
  <c r="D24" i="10"/>
  <c r="D16" i="10"/>
  <c r="D8" i="10"/>
  <c r="D31" i="10"/>
  <c r="D23" i="10"/>
  <c r="D15" i="10"/>
  <c r="D7" i="10"/>
  <c r="D30" i="10"/>
  <c r="D22" i="10"/>
  <c r="D14" i="10"/>
  <c r="D6" i="10"/>
  <c r="D29" i="10"/>
  <c r="D21" i="10"/>
  <c r="D13" i="10"/>
  <c r="D5" i="10"/>
  <c r="D28" i="10"/>
  <c r="D20" i="10"/>
  <c r="D12" i="10"/>
  <c r="D17" i="10"/>
  <c r="D27" i="10"/>
  <c r="D19" i="10"/>
  <c r="D11" i="10"/>
  <c r="D33" i="10"/>
  <c r="D25" i="10"/>
  <c r="D9" i="10"/>
  <c r="D26" i="10"/>
  <c r="D18" i="10"/>
  <c r="D10" i="10"/>
  <c r="Z53" i="2"/>
  <c r="I8" i="9"/>
  <c r="C38" i="9" s="1"/>
  <c r="C39" i="9" s="1"/>
  <c r="I8" i="8"/>
  <c r="D66" i="8" s="1"/>
  <c r="D67" i="8" s="1"/>
  <c r="I8" i="7"/>
  <c r="Q66" i="7" s="1"/>
  <c r="Q67" i="7" s="1"/>
  <c r="Q68" i="7"/>
  <c r="U50" i="7"/>
  <c r="R50" i="7"/>
  <c r="V50" i="7"/>
  <c r="Q69" i="7"/>
  <c r="U66" i="7"/>
  <c r="M66" i="7"/>
  <c r="E66" i="7"/>
  <c r="L66" i="7"/>
  <c r="D66" i="7"/>
  <c r="H66" i="7"/>
  <c r="X66" i="7"/>
  <c r="F66" i="7"/>
  <c r="J66" i="7"/>
  <c r="N66" i="7"/>
  <c r="N67" i="7" s="1"/>
  <c r="R66" i="7"/>
  <c r="V66" i="7"/>
  <c r="U50" i="6"/>
  <c r="J50" i="6"/>
  <c r="N50" i="6"/>
  <c r="R50" i="6"/>
  <c r="V50" i="6"/>
  <c r="E66" i="6"/>
  <c r="E67" i="6" s="1"/>
  <c r="E68" i="6" s="1"/>
  <c r="M66" i="6"/>
  <c r="M67" i="6" s="1"/>
  <c r="M68" i="6" s="1"/>
  <c r="U66" i="6"/>
  <c r="U67" i="6" s="1"/>
  <c r="U68" i="6" s="1"/>
  <c r="F66" i="6"/>
  <c r="F67" i="6" s="1"/>
  <c r="F68" i="6" s="1"/>
  <c r="N66" i="6"/>
  <c r="N67" i="6" s="1"/>
  <c r="N68" i="6" s="1"/>
  <c r="V66" i="6"/>
  <c r="V67" i="6" s="1"/>
  <c r="V68" i="6" s="1"/>
  <c r="C66" i="6"/>
  <c r="C67" i="6" s="1"/>
  <c r="G66" i="6"/>
  <c r="G67" i="6" s="1"/>
  <c r="K66" i="6"/>
  <c r="K67" i="6" s="1"/>
  <c r="O66" i="6"/>
  <c r="O67" i="6" s="1"/>
  <c r="S66" i="6"/>
  <c r="S67" i="6" s="1"/>
  <c r="W66" i="6"/>
  <c r="W67" i="6" s="1"/>
  <c r="I66" i="6"/>
  <c r="I67" i="6" s="1"/>
  <c r="I68" i="6" s="1"/>
  <c r="Q66" i="6"/>
  <c r="Q67" i="6" s="1"/>
  <c r="Q68" i="6" s="1"/>
  <c r="D50" i="6"/>
  <c r="T50" i="6"/>
  <c r="R69" i="6"/>
  <c r="D66" i="6"/>
  <c r="D67" i="6" s="1"/>
  <c r="H66" i="6"/>
  <c r="H67" i="6" s="1"/>
  <c r="L66" i="6"/>
  <c r="L67" i="6" s="1"/>
  <c r="P66" i="6"/>
  <c r="P67" i="6" s="1"/>
  <c r="T66" i="6"/>
  <c r="T67" i="6" s="1"/>
  <c r="X66" i="6"/>
  <c r="X67" i="6" s="1"/>
  <c r="J66" i="6"/>
  <c r="J67" i="6" s="1"/>
  <c r="J68" i="6" s="1"/>
  <c r="F66" i="5"/>
  <c r="F67" i="5" s="1"/>
  <c r="F68" i="5" s="1"/>
  <c r="J66" i="5"/>
  <c r="J67" i="5" s="1"/>
  <c r="J68" i="5" s="1"/>
  <c r="N66" i="5"/>
  <c r="R66" i="5"/>
  <c r="R67" i="5" s="1"/>
  <c r="V66" i="5"/>
  <c r="V67" i="5" s="1"/>
  <c r="V68" i="5" s="1"/>
  <c r="E66" i="5"/>
  <c r="E67" i="5" s="1"/>
  <c r="E69" i="5" s="1"/>
  <c r="I66" i="5"/>
  <c r="M66" i="5"/>
  <c r="M67" i="5" s="1"/>
  <c r="Q66" i="5"/>
  <c r="U66" i="5"/>
  <c r="U67" i="5" s="1"/>
  <c r="I67" i="5"/>
  <c r="I69" i="5" s="1"/>
  <c r="Q67" i="5"/>
  <c r="Q68" i="5" s="1"/>
  <c r="D50" i="5"/>
  <c r="H50" i="5"/>
  <c r="N67" i="5"/>
  <c r="N68" i="5" s="1"/>
  <c r="I50" i="5"/>
  <c r="M50" i="5"/>
  <c r="I68" i="5"/>
  <c r="X50" i="5"/>
  <c r="O66" i="5"/>
  <c r="O67" i="5" s="1"/>
  <c r="O68" i="5" s="1"/>
  <c r="C66" i="5"/>
  <c r="C67" i="5" s="1"/>
  <c r="C68" i="5" s="1"/>
  <c r="S66" i="5"/>
  <c r="S67" i="5" s="1"/>
  <c r="S68" i="5" s="1"/>
  <c r="G66" i="5"/>
  <c r="G67" i="5" s="1"/>
  <c r="G68" i="5" s="1"/>
  <c r="X66" i="5"/>
  <c r="X67" i="5" s="1"/>
  <c r="X68" i="5" s="1"/>
  <c r="T66" i="5"/>
  <c r="T67" i="5" s="1"/>
  <c r="T68" i="5" s="1"/>
  <c r="P66" i="5"/>
  <c r="P67" i="5" s="1"/>
  <c r="P68" i="5" s="1"/>
  <c r="L66" i="5"/>
  <c r="L67" i="5" s="1"/>
  <c r="L68" i="5" s="1"/>
  <c r="H66" i="5"/>
  <c r="H67" i="5" s="1"/>
  <c r="H68" i="5" s="1"/>
  <c r="D66" i="5"/>
  <c r="D67" i="5" s="1"/>
  <c r="D68" i="5" s="1"/>
  <c r="W66" i="5"/>
  <c r="W67" i="5" s="1"/>
  <c r="W68" i="5" s="1"/>
  <c r="K66" i="5"/>
  <c r="K67" i="5" s="1"/>
  <c r="K68" i="5" s="1"/>
  <c r="E50" i="5"/>
  <c r="J50" i="5"/>
  <c r="I8" i="4"/>
  <c r="X66" i="4" s="1"/>
  <c r="C53" i="4"/>
  <c r="E50" i="4"/>
  <c r="I8" i="3"/>
  <c r="W53" i="3"/>
  <c r="G53" i="3"/>
  <c r="K53" i="3"/>
  <c r="C53" i="3"/>
  <c r="E53" i="3"/>
  <c r="I53" i="3"/>
  <c r="M53" i="3"/>
  <c r="Q53" i="3"/>
  <c r="U53" i="3"/>
  <c r="D53" i="3"/>
  <c r="H53" i="3"/>
  <c r="L53" i="3"/>
  <c r="P53" i="3"/>
  <c r="K23" i="3" s="1"/>
  <c r="T53" i="3"/>
  <c r="O53" i="3"/>
  <c r="S53" i="3"/>
  <c r="F53" i="3"/>
  <c r="J53" i="3"/>
  <c r="N53" i="3"/>
  <c r="R53" i="3"/>
  <c r="V53" i="3"/>
  <c r="L53" i="2"/>
  <c r="AA53" i="2"/>
  <c r="M53" i="2"/>
  <c r="S53" i="2"/>
  <c r="E53" i="2"/>
  <c r="W53" i="2"/>
  <c r="AD53" i="2"/>
  <c r="Q53" i="2"/>
  <c r="I53" i="2"/>
  <c r="V53" i="2"/>
  <c r="F53" i="2"/>
  <c r="AE53" i="2"/>
  <c r="Y53" i="2"/>
  <c r="U53" i="2"/>
  <c r="R53" i="2"/>
  <c r="N53" i="2"/>
  <c r="P53" i="2"/>
  <c r="H53" i="2"/>
  <c r="AB53" i="2"/>
  <c r="X53" i="2"/>
  <c r="T53" i="2"/>
  <c r="AC53" i="2"/>
  <c r="O53" i="2"/>
  <c r="G53" i="2"/>
  <c r="D53" i="2"/>
  <c r="C53" i="2"/>
  <c r="K23" i="2" s="1"/>
  <c r="X66" i="2"/>
  <c r="X67" i="2" s="1"/>
  <c r="E26" i="10" s="1"/>
  <c r="P58" i="3" l="1"/>
  <c r="K28" i="3" s="1"/>
  <c r="P56" i="3"/>
  <c r="K26" i="3" s="1"/>
  <c r="P76" i="3"/>
  <c r="P59" i="3"/>
  <c r="K29" i="3" s="1"/>
  <c r="P62" i="3"/>
  <c r="P60" i="3"/>
  <c r="K30" i="3" s="1"/>
  <c r="P54" i="3"/>
  <c r="P57" i="3"/>
  <c r="K27" i="3" s="1"/>
  <c r="P61" i="3"/>
  <c r="K31" i="3" s="1"/>
  <c r="P81" i="3"/>
  <c r="N29" i="3" s="1"/>
  <c r="P86" i="3"/>
  <c r="N35" i="3" s="1"/>
  <c r="P71" i="3"/>
  <c r="E59" i="3"/>
  <c r="E54" i="3"/>
  <c r="E50" i="3" s="1"/>
  <c r="E57" i="3"/>
  <c r="E71" i="3" s="1"/>
  <c r="E72" i="3" s="1"/>
  <c r="E73" i="3" s="1"/>
  <c r="E74" i="3" s="1"/>
  <c r="E60" i="3"/>
  <c r="E86" i="3" s="1"/>
  <c r="E56" i="3"/>
  <c r="E61" i="3"/>
  <c r="E62" i="3"/>
  <c r="E58" i="3"/>
  <c r="E76" i="3"/>
  <c r="E81" i="3"/>
  <c r="R60" i="3"/>
  <c r="R58" i="3"/>
  <c r="R76" i="3" s="1"/>
  <c r="R61" i="3"/>
  <c r="R54" i="3"/>
  <c r="R56" i="3"/>
  <c r="R57" i="3"/>
  <c r="R71" i="3" s="1"/>
  <c r="R62" i="3"/>
  <c r="R59" i="3"/>
  <c r="R81" i="3" s="1"/>
  <c r="R86" i="3"/>
  <c r="L62" i="3"/>
  <c r="L57" i="3"/>
  <c r="L60" i="3"/>
  <c r="L86" i="3" s="1"/>
  <c r="L58" i="3"/>
  <c r="L59" i="3"/>
  <c r="L61" i="3"/>
  <c r="L71" i="3" s="1"/>
  <c r="L72" i="3" s="1"/>
  <c r="L73" i="3" s="1"/>
  <c r="L74" i="3" s="1"/>
  <c r="L54" i="3"/>
  <c r="L56" i="3"/>
  <c r="L81" i="3"/>
  <c r="C61" i="3"/>
  <c r="C59" i="3"/>
  <c r="C81" i="3" s="1"/>
  <c r="C54" i="3"/>
  <c r="C57" i="3"/>
  <c r="C71" i="3" s="1"/>
  <c r="C72" i="3" s="1"/>
  <c r="C73" i="3" s="1"/>
  <c r="C74" i="3" s="1"/>
  <c r="C58" i="3"/>
  <c r="C56" i="3"/>
  <c r="C62" i="3"/>
  <c r="C60" i="3"/>
  <c r="C86" i="3"/>
  <c r="F56" i="3"/>
  <c r="F59" i="3"/>
  <c r="F81" i="3" s="1"/>
  <c r="F62" i="3"/>
  <c r="F76" i="3" s="1"/>
  <c r="F77" i="3" s="1"/>
  <c r="F78" i="3" s="1"/>
  <c r="F79" i="3" s="1"/>
  <c r="F57" i="3"/>
  <c r="F60" i="3"/>
  <c r="F86" i="3" s="1"/>
  <c r="F61" i="3"/>
  <c r="F58" i="3"/>
  <c r="F54" i="3"/>
  <c r="H58" i="3"/>
  <c r="H56" i="3"/>
  <c r="H59" i="3"/>
  <c r="H81" i="3" s="1"/>
  <c r="H62" i="3"/>
  <c r="H54" i="3"/>
  <c r="H61" i="3"/>
  <c r="H60" i="3"/>
  <c r="H86" i="3" s="1"/>
  <c r="H57" i="3"/>
  <c r="H71" i="3" s="1"/>
  <c r="H72" i="3" s="1"/>
  <c r="H73" i="3" s="1"/>
  <c r="H74" i="3" s="1"/>
  <c r="G61" i="3"/>
  <c r="G56" i="3"/>
  <c r="G76" i="3" s="1"/>
  <c r="G59" i="3"/>
  <c r="G81" i="3" s="1"/>
  <c r="G62" i="3"/>
  <c r="G57" i="3"/>
  <c r="G60" i="3"/>
  <c r="G54" i="3"/>
  <c r="G50" i="3" s="1"/>
  <c r="G58" i="3"/>
  <c r="G86" i="3"/>
  <c r="W56" i="3"/>
  <c r="W59" i="3"/>
  <c r="W62" i="3"/>
  <c r="W57" i="3"/>
  <c r="W71" i="3"/>
  <c r="W60" i="3"/>
  <c r="W54" i="3"/>
  <c r="W50" i="3" s="1"/>
  <c r="W58" i="3"/>
  <c r="W61" i="3"/>
  <c r="W76" i="3"/>
  <c r="W77" i="3" s="1"/>
  <c r="W78" i="3" s="1"/>
  <c r="W79" i="3" s="1"/>
  <c r="W86" i="3"/>
  <c r="W81" i="3"/>
  <c r="S57" i="3"/>
  <c r="S54" i="3"/>
  <c r="S50" i="3" s="1"/>
  <c r="S58" i="3"/>
  <c r="S76" i="3" s="1"/>
  <c r="S77" i="3" s="1"/>
  <c r="S78" i="3" s="1"/>
  <c r="S79" i="3" s="1"/>
  <c r="S61" i="3"/>
  <c r="S56" i="3"/>
  <c r="S62" i="3"/>
  <c r="S59" i="3"/>
  <c r="S60" i="3"/>
  <c r="S86" i="3" s="1"/>
  <c r="S81" i="3"/>
  <c r="Q58" i="3"/>
  <c r="Q61" i="3"/>
  <c r="Q54" i="3"/>
  <c r="Q56" i="3"/>
  <c r="Q59" i="3"/>
  <c r="Q57" i="3"/>
  <c r="Q62" i="3"/>
  <c r="Q76" i="3"/>
  <c r="Q60" i="3"/>
  <c r="Q86" i="3"/>
  <c r="Q71" i="3"/>
  <c r="Q72" i="3" s="1"/>
  <c r="Q73" i="3" s="1"/>
  <c r="Q74" i="3" s="1"/>
  <c r="Q81" i="3"/>
  <c r="K57" i="3"/>
  <c r="K60" i="3"/>
  <c r="K86" i="3" s="1"/>
  <c r="K54" i="3"/>
  <c r="K50" i="3" s="1"/>
  <c r="K58" i="3"/>
  <c r="K76" i="3" s="1"/>
  <c r="K77" i="3" s="1"/>
  <c r="K78" i="3" s="1"/>
  <c r="K79" i="3" s="1"/>
  <c r="K61" i="3"/>
  <c r="K71" i="3" s="1"/>
  <c r="K59" i="3"/>
  <c r="K81" i="3" s="1"/>
  <c r="K56" i="3"/>
  <c r="K62" i="3"/>
  <c r="J60" i="3"/>
  <c r="J58" i="3"/>
  <c r="J61" i="3"/>
  <c r="J54" i="3"/>
  <c r="J50" i="3" s="1"/>
  <c r="J56" i="3"/>
  <c r="J62" i="3"/>
  <c r="J59" i="3"/>
  <c r="J57" i="3"/>
  <c r="J86" i="3"/>
  <c r="J81" i="3"/>
  <c r="U59" i="3"/>
  <c r="U81" i="3" s="1"/>
  <c r="U54" i="3"/>
  <c r="U50" i="3" s="1"/>
  <c r="U57" i="3"/>
  <c r="U60" i="3"/>
  <c r="U58" i="3"/>
  <c r="U61" i="3"/>
  <c r="U56" i="3"/>
  <c r="U62" i="3"/>
  <c r="U76" i="3" s="1"/>
  <c r="U77" i="3" s="1"/>
  <c r="U78" i="3" s="1"/>
  <c r="U79" i="3" s="1"/>
  <c r="U86" i="3"/>
  <c r="O61" i="3"/>
  <c r="O56" i="3"/>
  <c r="O59" i="3"/>
  <c r="O62" i="3"/>
  <c r="O57" i="3"/>
  <c r="O54" i="3"/>
  <c r="O50" i="3" s="1"/>
  <c r="O60" i="3"/>
  <c r="O58" i="3"/>
  <c r="O76" i="3" s="1"/>
  <c r="O77" i="3" s="1"/>
  <c r="O78" i="3" s="1"/>
  <c r="O79" i="3" s="1"/>
  <c r="O86" i="3"/>
  <c r="O81" i="3"/>
  <c r="M59" i="3"/>
  <c r="M81" i="3" s="1"/>
  <c r="M54" i="3"/>
  <c r="M50" i="3" s="1"/>
  <c r="M57" i="3"/>
  <c r="M60" i="3"/>
  <c r="M86" i="3" s="1"/>
  <c r="M56" i="3"/>
  <c r="M58" i="3"/>
  <c r="M76" i="3" s="1"/>
  <c r="M77" i="3" s="1"/>
  <c r="M78" i="3" s="1"/>
  <c r="M79" i="3" s="1"/>
  <c r="M61" i="3"/>
  <c r="M62" i="3"/>
  <c r="N56" i="3"/>
  <c r="N59" i="3"/>
  <c r="N81" i="3" s="1"/>
  <c r="N62" i="3"/>
  <c r="N76" i="3" s="1"/>
  <c r="N57" i="3"/>
  <c r="N71" i="3" s="1"/>
  <c r="N60" i="3"/>
  <c r="N86" i="3" s="1"/>
  <c r="N54" i="3"/>
  <c r="N50" i="3" s="1"/>
  <c r="N61" i="3"/>
  <c r="N58" i="3"/>
  <c r="D62" i="3"/>
  <c r="D57" i="3"/>
  <c r="D60" i="3"/>
  <c r="D86" i="3" s="1"/>
  <c r="D58" i="3"/>
  <c r="D61" i="3"/>
  <c r="D54" i="3"/>
  <c r="D59" i="3"/>
  <c r="D81" i="3" s="1"/>
  <c r="D56" i="3"/>
  <c r="D71" i="3"/>
  <c r="D72" i="3" s="1"/>
  <c r="D73" i="3" s="1"/>
  <c r="D74" i="3" s="1"/>
  <c r="T62" i="3"/>
  <c r="T57" i="3"/>
  <c r="T60" i="3"/>
  <c r="T58" i="3"/>
  <c r="T59" i="3"/>
  <c r="T61" i="3"/>
  <c r="T54" i="3"/>
  <c r="T76" i="3"/>
  <c r="T56" i="3"/>
  <c r="T71" i="3"/>
  <c r="T81" i="3"/>
  <c r="T86" i="3"/>
  <c r="I58" i="3"/>
  <c r="I61" i="3"/>
  <c r="I56" i="3"/>
  <c r="I59" i="3"/>
  <c r="I81" i="3" s="1"/>
  <c r="I54" i="3"/>
  <c r="I50" i="3" s="1"/>
  <c r="I57" i="3"/>
  <c r="I60" i="3"/>
  <c r="I86" i="3" s="1"/>
  <c r="I62" i="3"/>
  <c r="V61" i="3"/>
  <c r="V60" i="3"/>
  <c r="V86" i="3" s="1"/>
  <c r="V59" i="3"/>
  <c r="V81" i="3" s="1"/>
  <c r="V58" i="3"/>
  <c r="V57" i="3"/>
  <c r="V71" i="3" s="1"/>
  <c r="V56" i="3"/>
  <c r="V62" i="3"/>
  <c r="V54" i="3"/>
  <c r="C66" i="8"/>
  <c r="C67" i="8" s="1"/>
  <c r="D62" i="8"/>
  <c r="D60" i="8"/>
  <c r="D61" i="8"/>
  <c r="D54" i="8"/>
  <c r="D57" i="8"/>
  <c r="D58" i="8"/>
  <c r="D56" i="8"/>
  <c r="D59" i="8"/>
  <c r="C62" i="8"/>
  <c r="C61" i="8"/>
  <c r="C57" i="8"/>
  <c r="C54" i="8"/>
  <c r="C50" i="8" s="1"/>
  <c r="C60" i="8"/>
  <c r="C56" i="8"/>
  <c r="C58" i="8"/>
  <c r="C59" i="8"/>
  <c r="E62" i="8"/>
  <c r="E76" i="8"/>
  <c r="E71" i="8"/>
  <c r="E72" i="8" s="1"/>
  <c r="E73" i="8" s="1"/>
  <c r="E74" i="8" s="1"/>
  <c r="E75" i="8" s="1"/>
  <c r="E54" i="8"/>
  <c r="E50" i="8" s="1"/>
  <c r="E59" i="8"/>
  <c r="E58" i="8"/>
  <c r="E60" i="8"/>
  <c r="E57" i="8"/>
  <c r="E61" i="8"/>
  <c r="E56" i="8"/>
  <c r="AB58" i="2"/>
  <c r="AB59" i="2"/>
  <c r="AB62" i="2"/>
  <c r="AB60" i="2"/>
  <c r="AB57" i="2"/>
  <c r="AB61" i="2"/>
  <c r="AB56" i="2"/>
  <c r="C62" i="2"/>
  <c r="C58" i="2"/>
  <c r="K28" i="2" s="1"/>
  <c r="C61" i="2"/>
  <c r="K31" i="2" s="1"/>
  <c r="C60" i="2"/>
  <c r="K30" i="2" s="1"/>
  <c r="C56" i="2"/>
  <c r="K26" i="2" s="1"/>
  <c r="C57" i="2"/>
  <c r="K27" i="2" s="1"/>
  <c r="C59" i="2"/>
  <c r="K29" i="2" s="1"/>
  <c r="V57" i="2"/>
  <c r="V61" i="2"/>
  <c r="V59" i="2"/>
  <c r="V60" i="2"/>
  <c r="V58" i="2"/>
  <c r="V62" i="2"/>
  <c r="V56" i="2"/>
  <c r="D58" i="2"/>
  <c r="D62" i="2"/>
  <c r="D56" i="2"/>
  <c r="D60" i="2"/>
  <c r="D61" i="2"/>
  <c r="D59" i="2"/>
  <c r="D57" i="2"/>
  <c r="P60" i="2"/>
  <c r="P57" i="2"/>
  <c r="P61" i="2"/>
  <c r="P62" i="2"/>
  <c r="P56" i="2"/>
  <c r="P58" i="2"/>
  <c r="P59" i="2"/>
  <c r="L58" i="2"/>
  <c r="L62" i="2"/>
  <c r="L56" i="2"/>
  <c r="L59" i="2"/>
  <c r="L76" i="2"/>
  <c r="L77" i="2" s="1"/>
  <c r="L78" i="2" s="1"/>
  <c r="L79" i="2" s="1"/>
  <c r="L60" i="2"/>
  <c r="L61" i="2"/>
  <c r="L57" i="2"/>
  <c r="G60" i="2"/>
  <c r="G57" i="2"/>
  <c r="G61" i="2"/>
  <c r="G58" i="2"/>
  <c r="G62" i="2"/>
  <c r="G56" i="2"/>
  <c r="G59" i="2"/>
  <c r="N57" i="2"/>
  <c r="N61" i="2"/>
  <c r="N58" i="2"/>
  <c r="N62" i="2"/>
  <c r="N56" i="2"/>
  <c r="N59" i="2"/>
  <c r="N60" i="2"/>
  <c r="Q60" i="2"/>
  <c r="Q59" i="2"/>
  <c r="Q57" i="2"/>
  <c r="Q61" i="2"/>
  <c r="Q58" i="2"/>
  <c r="Q62" i="2"/>
  <c r="Q56" i="2"/>
  <c r="O57" i="2"/>
  <c r="O61" i="2"/>
  <c r="O58" i="2"/>
  <c r="O62" i="2"/>
  <c r="O56" i="2"/>
  <c r="O59" i="2"/>
  <c r="O60" i="2"/>
  <c r="AC58" i="2"/>
  <c r="AC62" i="2"/>
  <c r="AC56" i="2"/>
  <c r="AC60" i="2"/>
  <c r="AC59" i="2"/>
  <c r="AC61" i="2"/>
  <c r="AC57" i="2"/>
  <c r="U57" i="2"/>
  <c r="U58" i="2"/>
  <c r="U62" i="2"/>
  <c r="U56" i="2"/>
  <c r="U59" i="2"/>
  <c r="U61" i="2"/>
  <c r="U60" i="2"/>
  <c r="U76" i="2"/>
  <c r="U77" i="2" s="1"/>
  <c r="U78" i="2" s="1"/>
  <c r="U79" i="2" s="1"/>
  <c r="W57" i="2"/>
  <c r="W61" i="2"/>
  <c r="W60" i="2"/>
  <c r="W76" i="2"/>
  <c r="W58" i="2"/>
  <c r="W62" i="2"/>
  <c r="W56" i="2"/>
  <c r="W59" i="2"/>
  <c r="F57" i="2"/>
  <c r="F61" i="2"/>
  <c r="F59" i="2"/>
  <c r="F58" i="2"/>
  <c r="F62" i="2"/>
  <c r="F56" i="2"/>
  <c r="F60" i="2"/>
  <c r="AD58" i="2"/>
  <c r="AD62" i="2"/>
  <c r="AD56" i="2"/>
  <c r="AD57" i="2"/>
  <c r="AD61" i="2"/>
  <c r="AD76" i="2"/>
  <c r="AD77" i="2" s="1"/>
  <c r="AD78" i="2" s="1"/>
  <c r="AD79" i="2" s="1"/>
  <c r="AD59" i="2"/>
  <c r="AD60" i="2"/>
  <c r="E58" i="2"/>
  <c r="E62" i="2"/>
  <c r="E56" i="2"/>
  <c r="E57" i="2"/>
  <c r="E61" i="2"/>
  <c r="E59" i="2"/>
  <c r="E60" i="2"/>
  <c r="R59" i="2"/>
  <c r="R57" i="2"/>
  <c r="R61" i="2"/>
  <c r="R60" i="2"/>
  <c r="R76" i="2"/>
  <c r="R77" i="2" s="1"/>
  <c r="R78" i="2" s="1"/>
  <c r="R79" i="2" s="1"/>
  <c r="R58" i="2"/>
  <c r="R62" i="2"/>
  <c r="R56" i="2"/>
  <c r="T58" i="2"/>
  <c r="T62" i="2"/>
  <c r="T56" i="2"/>
  <c r="T60" i="2"/>
  <c r="T59" i="2"/>
  <c r="T57" i="2"/>
  <c r="T61" i="2"/>
  <c r="Y60" i="2"/>
  <c r="Y57" i="2"/>
  <c r="Y61" i="2"/>
  <c r="Y59" i="2"/>
  <c r="Y58" i="2"/>
  <c r="Y62" i="2"/>
  <c r="Y56" i="2"/>
  <c r="Z59" i="2"/>
  <c r="Z76" i="2"/>
  <c r="Z77" i="2" s="1"/>
  <c r="Z78" i="2" s="1"/>
  <c r="Z79" i="2" s="1"/>
  <c r="Z62" i="2"/>
  <c r="Z57" i="2"/>
  <c r="Z56" i="2"/>
  <c r="Z60" i="2"/>
  <c r="Z61" i="2"/>
  <c r="Z58" i="2"/>
  <c r="X60" i="2"/>
  <c r="X58" i="2"/>
  <c r="X56" i="2"/>
  <c r="X62" i="2"/>
  <c r="X57" i="2"/>
  <c r="X61" i="2"/>
  <c r="X59" i="2"/>
  <c r="AE56" i="2"/>
  <c r="AE62" i="2"/>
  <c r="AE61" i="2"/>
  <c r="AE60" i="2"/>
  <c r="AE59" i="2"/>
  <c r="AE58" i="2"/>
  <c r="AE57" i="2"/>
  <c r="S62" i="2"/>
  <c r="S56" i="2"/>
  <c r="S59" i="2"/>
  <c r="S58" i="2"/>
  <c r="S60" i="2"/>
  <c r="S76" i="2"/>
  <c r="S77" i="2" s="1"/>
  <c r="S78" i="2" s="1"/>
  <c r="S79" i="2" s="1"/>
  <c r="S57" i="2"/>
  <c r="S61" i="2"/>
  <c r="H60" i="2"/>
  <c r="H62" i="2"/>
  <c r="H56" i="2"/>
  <c r="H57" i="2"/>
  <c r="H61" i="2"/>
  <c r="H58" i="2"/>
  <c r="H59" i="2"/>
  <c r="AA61" i="2"/>
  <c r="AA60" i="2"/>
  <c r="AA59" i="2"/>
  <c r="AA57" i="2"/>
  <c r="AA58" i="2"/>
  <c r="AA56" i="2"/>
  <c r="AA62" i="2"/>
  <c r="M61" i="2"/>
  <c r="M58" i="2"/>
  <c r="M62" i="2"/>
  <c r="M56" i="2"/>
  <c r="M59" i="2"/>
  <c r="M57" i="2"/>
  <c r="M60" i="2"/>
  <c r="I60" i="2"/>
  <c r="I57" i="2"/>
  <c r="I61" i="2"/>
  <c r="I58" i="2"/>
  <c r="I62" i="2"/>
  <c r="I56" i="2"/>
  <c r="I59" i="2"/>
  <c r="L54" i="2"/>
  <c r="L50" i="2" s="1"/>
  <c r="R8" i="3"/>
  <c r="N50" i="5"/>
  <c r="P50" i="7"/>
  <c r="C68" i="8"/>
  <c r="C81" i="8" s="1"/>
  <c r="C82" i="8" s="1"/>
  <c r="C83" i="8" s="1"/>
  <c r="C84" i="8" s="1"/>
  <c r="C85" i="8" s="1"/>
  <c r="T50" i="5"/>
  <c r="S50" i="7"/>
  <c r="O50" i="5"/>
  <c r="N69" i="6"/>
  <c r="Q50" i="6"/>
  <c r="U50" i="5"/>
  <c r="K50" i="5"/>
  <c r="X50" i="6"/>
  <c r="Z24" i="1"/>
  <c r="Z14" i="1"/>
  <c r="Z26" i="1"/>
  <c r="Z5" i="1"/>
  <c r="Z13" i="1"/>
  <c r="Z8" i="1"/>
  <c r="Z16" i="1"/>
  <c r="Z22" i="1"/>
  <c r="Z3" i="1"/>
  <c r="Z21" i="1"/>
  <c r="Z7" i="1"/>
  <c r="Z9" i="1"/>
  <c r="Z27" i="1"/>
  <c r="Z11" i="1"/>
  <c r="Z15" i="1"/>
  <c r="Z17" i="1"/>
  <c r="Z23" i="1"/>
  <c r="Z12" i="1"/>
  <c r="Z19" i="1"/>
  <c r="Z4" i="1"/>
  <c r="Z10" i="1"/>
  <c r="Z25" i="1"/>
  <c r="Z6" i="1"/>
  <c r="Z18" i="1"/>
  <c r="Z20" i="1"/>
  <c r="U54" i="2"/>
  <c r="U50" i="2" s="1"/>
  <c r="W54" i="2"/>
  <c r="W50" i="2" s="1"/>
  <c r="W77" i="2"/>
  <c r="W78" i="2" s="1"/>
  <c r="W79" i="2" s="1"/>
  <c r="Y54" i="2"/>
  <c r="Y50" i="2" s="1"/>
  <c r="N54" i="2"/>
  <c r="N50" i="2" s="1"/>
  <c r="Z54" i="2"/>
  <c r="Z50" i="2" s="1"/>
  <c r="E66" i="8"/>
  <c r="E67" i="8" s="1"/>
  <c r="E81" i="8" s="1"/>
  <c r="E82" i="8" s="1"/>
  <c r="E83" i="8" s="1"/>
  <c r="E84" i="8" s="1"/>
  <c r="E85" i="8" s="1"/>
  <c r="E50" i="7"/>
  <c r="C50" i="7"/>
  <c r="H50" i="6"/>
  <c r="G66" i="4"/>
  <c r="G67" i="4" s="1"/>
  <c r="D66" i="4"/>
  <c r="D67" i="4" s="1"/>
  <c r="S66" i="4"/>
  <c r="S67" i="4" s="1"/>
  <c r="E66" i="4"/>
  <c r="E67" i="4" s="1"/>
  <c r="O66" i="4"/>
  <c r="O67" i="4" s="1"/>
  <c r="R66" i="4"/>
  <c r="R67" i="4" s="1"/>
  <c r="I66" i="4"/>
  <c r="I67" i="4" s="1"/>
  <c r="N66" i="4"/>
  <c r="N67" i="4" s="1"/>
  <c r="K66" i="4"/>
  <c r="K67" i="4" s="1"/>
  <c r="V66" i="4"/>
  <c r="V67" i="4" s="1"/>
  <c r="M66" i="4"/>
  <c r="M67" i="4" s="1"/>
  <c r="C66" i="4"/>
  <c r="C67" i="4" s="1"/>
  <c r="C68" i="4" s="1"/>
  <c r="H66" i="4"/>
  <c r="U66" i="4"/>
  <c r="U67" i="4" s="1"/>
  <c r="Q66" i="4"/>
  <c r="Q67" i="4" s="1"/>
  <c r="L66" i="4"/>
  <c r="F66" i="4"/>
  <c r="P66" i="4"/>
  <c r="P67" i="4" s="1"/>
  <c r="W66" i="4"/>
  <c r="W67" i="4" s="1"/>
  <c r="J66" i="4"/>
  <c r="J67" i="4" s="1"/>
  <c r="T66" i="4"/>
  <c r="T67" i="4" s="1"/>
  <c r="X50" i="4"/>
  <c r="V50" i="4"/>
  <c r="I50" i="4"/>
  <c r="X67" i="4"/>
  <c r="H67" i="4"/>
  <c r="R50" i="4"/>
  <c r="L67" i="4"/>
  <c r="F67" i="4"/>
  <c r="J50" i="4"/>
  <c r="F50" i="4"/>
  <c r="O50" i="4"/>
  <c r="U69" i="5"/>
  <c r="U68" i="5"/>
  <c r="M50" i="6"/>
  <c r="F69" i="6"/>
  <c r="M69" i="6"/>
  <c r="T66" i="7"/>
  <c r="T67" i="7" s="1"/>
  <c r="S66" i="7"/>
  <c r="S67" i="7" s="1"/>
  <c r="O66" i="7"/>
  <c r="O67" i="7" s="1"/>
  <c r="V67" i="7"/>
  <c r="E67" i="7"/>
  <c r="R67" i="7"/>
  <c r="M67" i="7"/>
  <c r="U67" i="7"/>
  <c r="F67" i="7"/>
  <c r="K66" i="7"/>
  <c r="K67" i="7" s="1"/>
  <c r="J67" i="7"/>
  <c r="X67" i="7"/>
  <c r="D67" i="7"/>
  <c r="C66" i="7"/>
  <c r="C67" i="7" s="1"/>
  <c r="H67" i="7"/>
  <c r="L67" i="7"/>
  <c r="E68" i="5"/>
  <c r="N69" i="5"/>
  <c r="T68" i="4"/>
  <c r="T50" i="3"/>
  <c r="AD54" i="2"/>
  <c r="AD50" i="2" s="1"/>
  <c r="M54" i="2"/>
  <c r="M50" i="2" s="1"/>
  <c r="S54" i="2"/>
  <c r="S50" i="2" s="1"/>
  <c r="AA54" i="2"/>
  <c r="AA50" i="2" s="1"/>
  <c r="E54" i="2"/>
  <c r="E50" i="2" s="1"/>
  <c r="C22" i="9"/>
  <c r="C40" i="9"/>
  <c r="C41" i="9"/>
  <c r="E69" i="8"/>
  <c r="D68" i="8"/>
  <c r="D81" i="8" s="1"/>
  <c r="D69" i="8"/>
  <c r="D50" i="8"/>
  <c r="C69" i="8"/>
  <c r="P66" i="7"/>
  <c r="W66" i="7"/>
  <c r="G66" i="7"/>
  <c r="G67" i="7" s="1"/>
  <c r="I66" i="7"/>
  <c r="S69" i="7"/>
  <c r="S68" i="7"/>
  <c r="W50" i="7"/>
  <c r="I50" i="7"/>
  <c r="G50" i="7"/>
  <c r="M50" i="7"/>
  <c r="K50" i="7"/>
  <c r="O50" i="7"/>
  <c r="Q50" i="7"/>
  <c r="N50" i="7"/>
  <c r="T50" i="7"/>
  <c r="F50" i="7"/>
  <c r="D50" i="7"/>
  <c r="L50" i="7"/>
  <c r="O68" i="7"/>
  <c r="J50" i="7"/>
  <c r="X50" i="7"/>
  <c r="H50" i="7"/>
  <c r="N68" i="7"/>
  <c r="N69" i="7"/>
  <c r="D69" i="7"/>
  <c r="M69" i="7"/>
  <c r="F69" i="7"/>
  <c r="L50" i="6"/>
  <c r="I50" i="6"/>
  <c r="I69" i="6"/>
  <c r="U69" i="6"/>
  <c r="P50" i="6"/>
  <c r="Q69" i="6"/>
  <c r="E50" i="6"/>
  <c r="H68" i="6"/>
  <c r="H69" i="6"/>
  <c r="S68" i="6"/>
  <c r="S69" i="6"/>
  <c r="T68" i="6"/>
  <c r="T69" i="6"/>
  <c r="D68" i="6"/>
  <c r="D69" i="6"/>
  <c r="J69" i="6"/>
  <c r="O68" i="6"/>
  <c r="O69" i="6"/>
  <c r="E69" i="6"/>
  <c r="K50" i="6"/>
  <c r="X68" i="6"/>
  <c r="X69" i="6"/>
  <c r="C68" i="6"/>
  <c r="C69" i="6"/>
  <c r="O50" i="6"/>
  <c r="P68" i="6"/>
  <c r="P69" i="6"/>
  <c r="V69" i="6"/>
  <c r="K68" i="6"/>
  <c r="K69" i="6"/>
  <c r="W50" i="6"/>
  <c r="G50" i="6"/>
  <c r="L68" i="6"/>
  <c r="L69" i="6"/>
  <c r="W68" i="6"/>
  <c r="W69" i="6"/>
  <c r="G68" i="6"/>
  <c r="G69" i="6"/>
  <c r="S50" i="6"/>
  <c r="C50" i="6"/>
  <c r="M69" i="5"/>
  <c r="M68" i="5"/>
  <c r="R68" i="5"/>
  <c r="R69" i="5"/>
  <c r="G50" i="5"/>
  <c r="L50" i="5"/>
  <c r="L69" i="5"/>
  <c r="V69" i="5"/>
  <c r="Q69" i="5"/>
  <c r="X69" i="5"/>
  <c r="F69" i="5"/>
  <c r="V50" i="5"/>
  <c r="J69" i="5"/>
  <c r="H69" i="5"/>
  <c r="R50" i="5"/>
  <c r="Q50" i="5"/>
  <c r="S50" i="5"/>
  <c r="D69" i="5"/>
  <c r="W50" i="5"/>
  <c r="F50" i="5"/>
  <c r="C50" i="5"/>
  <c r="G69" i="5"/>
  <c r="P50" i="5"/>
  <c r="C69" i="5"/>
  <c r="W69" i="5"/>
  <c r="S69" i="5"/>
  <c r="P69" i="5"/>
  <c r="T69" i="5"/>
  <c r="O69" i="5"/>
  <c r="K69" i="5"/>
  <c r="U50" i="4"/>
  <c r="K50" i="4"/>
  <c r="P50" i="4"/>
  <c r="N50" i="4"/>
  <c r="Q50" i="4"/>
  <c r="T50" i="4"/>
  <c r="D50" i="4"/>
  <c r="S50" i="4"/>
  <c r="T69" i="4"/>
  <c r="W50" i="4"/>
  <c r="M50" i="4"/>
  <c r="H50" i="4"/>
  <c r="G50" i="4"/>
  <c r="L50" i="4"/>
  <c r="H69" i="4"/>
  <c r="Q69" i="4"/>
  <c r="G68" i="4"/>
  <c r="G69" i="4"/>
  <c r="O68" i="4"/>
  <c r="O69" i="4"/>
  <c r="K68" i="4"/>
  <c r="L50" i="3"/>
  <c r="H50" i="3"/>
  <c r="R50" i="3"/>
  <c r="Q50" i="3"/>
  <c r="D50" i="3"/>
  <c r="V50" i="3"/>
  <c r="F50" i="3"/>
  <c r="X54" i="2"/>
  <c r="X50" i="2" s="1"/>
  <c r="AC54" i="2"/>
  <c r="AC50" i="2" s="1"/>
  <c r="I54" i="2"/>
  <c r="I50" i="2" s="1"/>
  <c r="AE54" i="2"/>
  <c r="AE50" i="2" s="1"/>
  <c r="H54" i="2"/>
  <c r="H50" i="2" s="1"/>
  <c r="R54" i="2"/>
  <c r="R50" i="2" s="1"/>
  <c r="V54" i="2"/>
  <c r="V50" i="2" s="1"/>
  <c r="F54" i="2"/>
  <c r="F50" i="2" s="1"/>
  <c r="Q54" i="2"/>
  <c r="Q50" i="2" s="1"/>
  <c r="AC66" i="2"/>
  <c r="AC67" i="2" s="1"/>
  <c r="E31" i="10" s="1"/>
  <c r="X68" i="2"/>
  <c r="X69" i="2"/>
  <c r="P54" i="2"/>
  <c r="P50" i="2" s="1"/>
  <c r="U66" i="2"/>
  <c r="U67" i="2" s="1"/>
  <c r="G54" i="2"/>
  <c r="G50" i="2" s="1"/>
  <c r="O54" i="2"/>
  <c r="O50" i="2" s="1"/>
  <c r="G66" i="2"/>
  <c r="G67" i="2" s="1"/>
  <c r="E9" i="10" s="1"/>
  <c r="AD66" i="2"/>
  <c r="AD67" i="2" s="1"/>
  <c r="S66" i="2"/>
  <c r="S67" i="2" s="1"/>
  <c r="AA66" i="2"/>
  <c r="AA67" i="2" s="1"/>
  <c r="E29" i="10" s="1"/>
  <c r="V66" i="2"/>
  <c r="V67" i="2" s="1"/>
  <c r="E24" i="10" s="1"/>
  <c r="W66" i="2"/>
  <c r="W67" i="2" s="1"/>
  <c r="Z66" i="2"/>
  <c r="Z67" i="2" s="1"/>
  <c r="E28" i="10" s="1"/>
  <c r="AB54" i="2"/>
  <c r="AB50" i="2" s="1"/>
  <c r="Y66" i="2"/>
  <c r="Y67" i="2" s="1"/>
  <c r="E27" i="10" s="1"/>
  <c r="AB66" i="2"/>
  <c r="AB67" i="2" s="1"/>
  <c r="E30" i="10" s="1"/>
  <c r="T54" i="2"/>
  <c r="T50" i="2" s="1"/>
  <c r="AE66" i="2"/>
  <c r="AE67" i="2" s="1"/>
  <c r="E33" i="10" s="1"/>
  <c r="T66" i="2"/>
  <c r="T67" i="2" s="1"/>
  <c r="E22" i="10" s="1"/>
  <c r="J66" i="2"/>
  <c r="J67" i="2" s="1"/>
  <c r="E12" i="10" s="1"/>
  <c r="H66" i="2"/>
  <c r="H67" i="2" s="1"/>
  <c r="E10" i="10" s="1"/>
  <c r="P66" i="2"/>
  <c r="P67" i="2" s="1"/>
  <c r="E18" i="10" s="1"/>
  <c r="K66" i="2"/>
  <c r="K67" i="2" s="1"/>
  <c r="E13" i="10" s="1"/>
  <c r="L66" i="2"/>
  <c r="L67" i="2" s="1"/>
  <c r="N66" i="2"/>
  <c r="N67" i="2" s="1"/>
  <c r="E16" i="10" s="1"/>
  <c r="O66" i="2"/>
  <c r="O67" i="2" s="1"/>
  <c r="E17" i="10" s="1"/>
  <c r="I66" i="2"/>
  <c r="I67" i="2" s="1"/>
  <c r="E11" i="10" s="1"/>
  <c r="R66" i="2"/>
  <c r="R67" i="2" s="1"/>
  <c r="E66" i="2"/>
  <c r="E67" i="2" s="1"/>
  <c r="E7" i="10" s="1"/>
  <c r="Q66" i="2"/>
  <c r="Q67" i="2" s="1"/>
  <c r="E19" i="10" s="1"/>
  <c r="F66" i="2"/>
  <c r="F67" i="2" s="1"/>
  <c r="E8" i="10" s="1"/>
  <c r="M66" i="2"/>
  <c r="M67" i="2" s="1"/>
  <c r="E15" i="10" s="1"/>
  <c r="C66" i="2"/>
  <c r="C67" i="2" s="1"/>
  <c r="D66" i="2"/>
  <c r="D67" i="2" s="1"/>
  <c r="E6" i="10" s="1"/>
  <c r="D54" i="2"/>
  <c r="D50" i="2" s="1"/>
  <c r="C54" i="2"/>
  <c r="V76" i="3" l="1"/>
  <c r="V77" i="3" s="1"/>
  <c r="V78" i="3" s="1"/>
  <c r="V79" i="3" s="1"/>
  <c r="M71" i="3"/>
  <c r="M72" i="3" s="1"/>
  <c r="M73" i="3" s="1"/>
  <c r="M74" i="3" s="1"/>
  <c r="H76" i="3"/>
  <c r="C76" i="3"/>
  <c r="C77" i="3" s="1"/>
  <c r="C78" i="3" s="1"/>
  <c r="C79" i="3" s="1"/>
  <c r="O71" i="3"/>
  <c r="S71" i="3"/>
  <c r="S72" i="3" s="1"/>
  <c r="S73" i="3" s="1"/>
  <c r="S74" i="3" s="1"/>
  <c r="F71" i="3"/>
  <c r="F72" i="3" s="1"/>
  <c r="F73" i="3" s="1"/>
  <c r="F74" i="3" s="1"/>
  <c r="P50" i="3"/>
  <c r="K19" i="3" s="1"/>
  <c r="K24" i="3"/>
  <c r="U71" i="3"/>
  <c r="J71" i="3"/>
  <c r="J72" i="3" s="1"/>
  <c r="J73" i="3" s="1"/>
  <c r="J74" i="3" s="1"/>
  <c r="G71" i="3"/>
  <c r="G72" i="3" s="1"/>
  <c r="G73" i="3" s="1"/>
  <c r="G74" i="3" s="1"/>
  <c r="I76" i="3"/>
  <c r="P72" i="3"/>
  <c r="N17" i="3"/>
  <c r="J76" i="3"/>
  <c r="P77" i="3"/>
  <c r="N23" i="3"/>
  <c r="I71" i="3"/>
  <c r="D76" i="3"/>
  <c r="L76" i="3"/>
  <c r="C50" i="2"/>
  <c r="K19" i="2" s="1"/>
  <c r="K24" i="2"/>
  <c r="E5" i="10"/>
  <c r="K37" i="2"/>
  <c r="C107" i="3"/>
  <c r="L96" i="3"/>
  <c r="Y96" i="3"/>
  <c r="I82" i="3"/>
  <c r="I83" i="3" s="1"/>
  <c r="I84" i="3" s="1"/>
  <c r="E75" i="3"/>
  <c r="G7" i="11" s="1"/>
  <c r="P7" i="11" s="1"/>
  <c r="F7" i="11"/>
  <c r="M75" i="3"/>
  <c r="G15" i="11" s="1"/>
  <c r="P15" i="11" s="1"/>
  <c r="F15" i="11"/>
  <c r="F118" i="3"/>
  <c r="U82" i="3"/>
  <c r="U83" i="3" s="1"/>
  <c r="U84" i="3" s="1"/>
  <c r="H77" i="3"/>
  <c r="H78" i="3" s="1"/>
  <c r="H79" i="3" s="1"/>
  <c r="V80" i="3"/>
  <c r="I24" i="11" s="1"/>
  <c r="Q24" i="11" s="1"/>
  <c r="H24" i="11"/>
  <c r="C80" i="3"/>
  <c r="I5" i="11" s="1"/>
  <c r="Q5" i="11" s="1"/>
  <c r="H5" i="11"/>
  <c r="X118" i="3"/>
  <c r="V82" i="3"/>
  <c r="V83" i="3" s="1"/>
  <c r="V84" i="3" s="1"/>
  <c r="N118" i="3"/>
  <c r="V87" i="3"/>
  <c r="V88" i="3" s="1"/>
  <c r="V89" i="3" s="1"/>
  <c r="J75" i="3"/>
  <c r="G12" i="11" s="1"/>
  <c r="P12" i="11" s="1"/>
  <c r="F12" i="11"/>
  <c r="K89" i="3"/>
  <c r="K87" i="3"/>
  <c r="K88" i="3" s="1"/>
  <c r="G75" i="3"/>
  <c r="G9" i="11" s="1"/>
  <c r="P9" i="11" s="1"/>
  <c r="F9" i="11"/>
  <c r="R72" i="3"/>
  <c r="R73" i="3" s="1"/>
  <c r="R74" i="3"/>
  <c r="I79" i="3"/>
  <c r="I77" i="3"/>
  <c r="I78" i="3" s="1"/>
  <c r="Z96" i="3"/>
  <c r="Q107" i="3"/>
  <c r="M82" i="3"/>
  <c r="M83" i="3" s="1"/>
  <c r="M84" i="3" s="1"/>
  <c r="O107" i="3"/>
  <c r="I107" i="3"/>
  <c r="P107" i="3"/>
  <c r="L87" i="3"/>
  <c r="L88" i="3" s="1"/>
  <c r="L89" i="3" s="1"/>
  <c r="N77" i="3"/>
  <c r="N78" i="3" s="1"/>
  <c r="N79" i="3" s="1"/>
  <c r="C75" i="3"/>
  <c r="G5" i="11" s="1"/>
  <c r="P5" i="11" s="1"/>
  <c r="F5" i="11"/>
  <c r="W96" i="3"/>
  <c r="R96" i="3"/>
  <c r="H87" i="3"/>
  <c r="H88" i="3" s="1"/>
  <c r="H89" i="3" s="1"/>
  <c r="X96" i="3"/>
  <c r="AA96" i="3"/>
  <c r="I87" i="3"/>
  <c r="I88" i="3" s="1"/>
  <c r="I89" i="3" s="1"/>
  <c r="F80" i="3"/>
  <c r="I8" i="11" s="1"/>
  <c r="Q8" i="11" s="1"/>
  <c r="H8" i="11"/>
  <c r="O72" i="3"/>
  <c r="O73" i="3" s="1"/>
  <c r="O74" i="3" s="1"/>
  <c r="G96" i="3"/>
  <c r="D82" i="3"/>
  <c r="D83" i="3" s="1"/>
  <c r="D84" i="3" s="1"/>
  <c r="U72" i="3"/>
  <c r="U73" i="3" s="1"/>
  <c r="U74" i="3" s="1"/>
  <c r="J77" i="3"/>
  <c r="J78" i="3" s="1"/>
  <c r="J79" i="3" s="1"/>
  <c r="F96" i="3"/>
  <c r="G82" i="3"/>
  <c r="G83" i="3" s="1"/>
  <c r="G84" i="3" s="1"/>
  <c r="I72" i="3"/>
  <c r="I73" i="3" s="1"/>
  <c r="I74" i="3"/>
  <c r="D77" i="3"/>
  <c r="D78" i="3" s="1"/>
  <c r="D79" i="3" s="1"/>
  <c r="U107" i="3"/>
  <c r="T107" i="3"/>
  <c r="N87" i="3"/>
  <c r="N88" i="3" s="1"/>
  <c r="N89" i="3" s="1"/>
  <c r="G79" i="3"/>
  <c r="G77" i="3"/>
  <c r="G78" i="3" s="1"/>
  <c r="L77" i="3"/>
  <c r="L78" i="3" s="1"/>
  <c r="L79" i="3" s="1"/>
  <c r="S80" i="3"/>
  <c r="I21" i="11" s="1"/>
  <c r="Q21" i="11" s="1"/>
  <c r="H21" i="11"/>
  <c r="H75" i="3"/>
  <c r="G10" i="11" s="1"/>
  <c r="P10" i="11" s="1"/>
  <c r="F10" i="11"/>
  <c r="D96" i="3"/>
  <c r="I96" i="3"/>
  <c r="D87" i="3"/>
  <c r="D88" i="3" s="1"/>
  <c r="D89" i="3" s="1"/>
  <c r="N72" i="3"/>
  <c r="N73" i="3" s="1"/>
  <c r="N74" i="3" s="1"/>
  <c r="O80" i="3"/>
  <c r="I17" i="11" s="1"/>
  <c r="Q17" i="11" s="1"/>
  <c r="H17" i="11"/>
  <c r="H107" i="3"/>
  <c r="K82" i="3"/>
  <c r="K83" i="3" s="1"/>
  <c r="K84" i="3" s="1"/>
  <c r="R77" i="3"/>
  <c r="R78" i="3" s="1"/>
  <c r="R79" i="3" s="1"/>
  <c r="U80" i="3"/>
  <c r="I23" i="11" s="1"/>
  <c r="Q23" i="11" s="1"/>
  <c r="H23" i="11"/>
  <c r="K80" i="3"/>
  <c r="I13" i="11" s="1"/>
  <c r="Q13" i="11" s="1"/>
  <c r="H13" i="11"/>
  <c r="Q79" i="3"/>
  <c r="Q77" i="3"/>
  <c r="Q78" i="3" s="1"/>
  <c r="O96" i="3"/>
  <c r="F82" i="3"/>
  <c r="F83" i="3" s="1"/>
  <c r="F84" i="3" s="1"/>
  <c r="L75" i="3"/>
  <c r="G14" i="11" s="1"/>
  <c r="P14" i="11" s="1"/>
  <c r="F14" i="11"/>
  <c r="M96" i="3"/>
  <c r="J96" i="3"/>
  <c r="E89" i="3"/>
  <c r="E87" i="3"/>
  <c r="E88" i="3" s="1"/>
  <c r="W72" i="3"/>
  <c r="W73" i="3" s="1"/>
  <c r="W74" i="3" s="1"/>
  <c r="E77" i="3"/>
  <c r="E78" i="3" s="1"/>
  <c r="E79" i="3"/>
  <c r="D75" i="3"/>
  <c r="G6" i="11" s="1"/>
  <c r="P6" i="11" s="1"/>
  <c r="F6" i="11"/>
  <c r="K96" i="3"/>
  <c r="E82" i="3"/>
  <c r="E83" i="3" s="1"/>
  <c r="E84" i="3" s="1"/>
  <c r="K74" i="3"/>
  <c r="K72" i="3"/>
  <c r="K73" i="3" s="1"/>
  <c r="T118" i="3"/>
  <c r="S87" i="3"/>
  <c r="S88" i="3" s="1"/>
  <c r="S89" i="3" s="1"/>
  <c r="T72" i="3"/>
  <c r="T73" i="3" s="1"/>
  <c r="T74" i="3" s="1"/>
  <c r="C118" i="3"/>
  <c r="AA107" i="3"/>
  <c r="E118" i="3"/>
  <c r="O82" i="3"/>
  <c r="O83" i="3" s="1"/>
  <c r="O84" i="3" s="1"/>
  <c r="M118" i="3"/>
  <c r="O118" i="3"/>
  <c r="Q82" i="3"/>
  <c r="Q83" i="3" s="1"/>
  <c r="Q84" i="3" s="1"/>
  <c r="AB107" i="3"/>
  <c r="J107" i="3"/>
  <c r="W82" i="3"/>
  <c r="W83" i="3" s="1"/>
  <c r="W84" i="3" s="1"/>
  <c r="T87" i="3"/>
  <c r="T88" i="3" s="1"/>
  <c r="T89" i="3"/>
  <c r="Q96" i="3"/>
  <c r="G87" i="3"/>
  <c r="G88" i="3" s="1"/>
  <c r="G89" i="3" s="1"/>
  <c r="M107" i="3"/>
  <c r="V96" i="3"/>
  <c r="K107" i="3"/>
  <c r="L82" i="3"/>
  <c r="L83" i="3" s="1"/>
  <c r="L84" i="3" s="1"/>
  <c r="L107" i="3"/>
  <c r="O87" i="3"/>
  <c r="O88" i="3" s="1"/>
  <c r="O89" i="3" s="1"/>
  <c r="P96" i="3"/>
  <c r="E107" i="3"/>
  <c r="J84" i="3"/>
  <c r="J82" i="3"/>
  <c r="J83" i="3" s="1"/>
  <c r="Q75" i="3"/>
  <c r="G19" i="11" s="1"/>
  <c r="P19" i="11" s="1"/>
  <c r="F19" i="11"/>
  <c r="T96" i="3"/>
  <c r="W87" i="3"/>
  <c r="W88" i="3" s="1"/>
  <c r="W89" i="3" s="1"/>
  <c r="L118" i="3"/>
  <c r="Q118" i="3"/>
  <c r="X107" i="3"/>
  <c r="R82" i="3"/>
  <c r="R83" i="3" s="1"/>
  <c r="R84" i="3" s="1"/>
  <c r="D118" i="3"/>
  <c r="V107" i="3"/>
  <c r="P87" i="3"/>
  <c r="M80" i="3"/>
  <c r="I15" i="11" s="1"/>
  <c r="Q15" i="11" s="1"/>
  <c r="H15" i="11"/>
  <c r="F107" i="3"/>
  <c r="D107" i="3"/>
  <c r="Y107" i="3"/>
  <c r="W107" i="3"/>
  <c r="N82" i="3"/>
  <c r="N83" i="3" s="1"/>
  <c r="N84" i="3" s="1"/>
  <c r="U118" i="3"/>
  <c r="Z107" i="3"/>
  <c r="S82" i="3"/>
  <c r="S83" i="3" s="1"/>
  <c r="S84" i="3" s="1"/>
  <c r="T77" i="3"/>
  <c r="T78" i="3" s="1"/>
  <c r="T79" i="3" s="1"/>
  <c r="AB96" i="3"/>
  <c r="G107" i="3"/>
  <c r="J87" i="3"/>
  <c r="J88" i="3" s="1"/>
  <c r="J89" i="3" s="1"/>
  <c r="J118" i="3"/>
  <c r="Q87" i="3"/>
  <c r="Q88" i="3" s="1"/>
  <c r="Q89" i="3" s="1"/>
  <c r="W80" i="3"/>
  <c r="H25" i="11"/>
  <c r="C96" i="3"/>
  <c r="C87" i="3"/>
  <c r="C88" i="3" s="1"/>
  <c r="C89" i="3" s="1"/>
  <c r="N107" i="3"/>
  <c r="K118" i="3"/>
  <c r="I118" i="3"/>
  <c r="R107" i="3"/>
  <c r="G118" i="3"/>
  <c r="P82" i="3"/>
  <c r="V72" i="3"/>
  <c r="V73" i="3" s="1"/>
  <c r="V74" i="3" s="1"/>
  <c r="N96" i="3"/>
  <c r="F87" i="3"/>
  <c r="F88" i="3" s="1"/>
  <c r="F89" i="3" s="1"/>
  <c r="R118" i="3"/>
  <c r="V118" i="3"/>
  <c r="T82" i="3"/>
  <c r="T83" i="3" s="1"/>
  <c r="T84" i="3" s="1"/>
  <c r="S107" i="3"/>
  <c r="M87" i="3"/>
  <c r="M88" i="3" s="1"/>
  <c r="M89" i="3" s="1"/>
  <c r="H118" i="3"/>
  <c r="W118" i="3"/>
  <c r="U87" i="3"/>
  <c r="U88" i="3" s="1"/>
  <c r="U89" i="3" s="1"/>
  <c r="H96" i="3"/>
  <c r="U96" i="3"/>
  <c r="S96" i="3"/>
  <c r="H82" i="3"/>
  <c r="H83" i="3" s="1"/>
  <c r="H84" i="3" s="1"/>
  <c r="E96" i="3"/>
  <c r="C82" i="3"/>
  <c r="C83" i="3" s="1"/>
  <c r="C84" i="3" s="1"/>
  <c r="S118" i="3"/>
  <c r="P118" i="3"/>
  <c r="R87" i="3"/>
  <c r="R88" i="3" s="1"/>
  <c r="R89" i="3" s="1"/>
  <c r="Z80" i="2"/>
  <c r="I28" i="10" s="1"/>
  <c r="Q28" i="10" s="1"/>
  <c r="H28" i="10"/>
  <c r="AD80" i="2"/>
  <c r="I32" i="10" s="1"/>
  <c r="Q32" i="10" s="1"/>
  <c r="H32" i="10"/>
  <c r="S71" i="2"/>
  <c r="E21" i="10"/>
  <c r="R80" i="2"/>
  <c r="I20" i="10" s="1"/>
  <c r="Q20" i="10" s="1"/>
  <c r="H20" i="10"/>
  <c r="R71" i="2"/>
  <c r="E20" i="10"/>
  <c r="W71" i="2"/>
  <c r="E25" i="10"/>
  <c r="U71" i="2"/>
  <c r="E23" i="10"/>
  <c r="L80" i="2"/>
  <c r="I14" i="10" s="1"/>
  <c r="Q14" i="10" s="1"/>
  <c r="H14" i="10"/>
  <c r="L71" i="2"/>
  <c r="E14" i="10"/>
  <c r="AD71" i="2"/>
  <c r="E32" i="10"/>
  <c r="W80" i="2"/>
  <c r="I25" i="10" s="1"/>
  <c r="Q25" i="10" s="1"/>
  <c r="H25" i="10"/>
  <c r="S80" i="2"/>
  <c r="I21" i="10" s="1"/>
  <c r="Q21" i="10" s="1"/>
  <c r="H21" i="10"/>
  <c r="U80" i="2"/>
  <c r="I23" i="10" s="1"/>
  <c r="Q23" i="10" s="1"/>
  <c r="H23" i="10"/>
  <c r="D82" i="8"/>
  <c r="D83" i="8" s="1"/>
  <c r="D84" i="8" s="1"/>
  <c r="D85" i="8" s="1"/>
  <c r="E77" i="8"/>
  <c r="E78" i="8" s="1"/>
  <c r="E79" i="8" s="1"/>
  <c r="E80" i="8" s="1"/>
  <c r="C76" i="8"/>
  <c r="D76" i="8"/>
  <c r="D77" i="8" s="1"/>
  <c r="D78" i="8" s="1"/>
  <c r="D79" i="8" s="1"/>
  <c r="D80" i="8" s="1"/>
  <c r="D71" i="8"/>
  <c r="D86" i="8"/>
  <c r="E86" i="8"/>
  <c r="C86" i="8"/>
  <c r="C71" i="8"/>
  <c r="C72" i="8" s="1"/>
  <c r="C73" i="8" s="1"/>
  <c r="C74" i="8" s="1"/>
  <c r="C75" i="8" s="1"/>
  <c r="X71" i="2"/>
  <c r="Z71" i="2"/>
  <c r="X76" i="2"/>
  <c r="X77" i="2" s="1"/>
  <c r="X78" i="2" s="1"/>
  <c r="X79" i="2" s="1"/>
  <c r="C68" i="7"/>
  <c r="E68" i="7"/>
  <c r="H68" i="4"/>
  <c r="P68" i="4"/>
  <c r="F68" i="7"/>
  <c r="V68" i="7"/>
  <c r="L68" i="4"/>
  <c r="D68" i="7"/>
  <c r="U69" i="7"/>
  <c r="X68" i="7"/>
  <c r="O69" i="7"/>
  <c r="R68" i="4"/>
  <c r="Q108" i="5"/>
  <c r="Q109" i="5" s="1"/>
  <c r="L69" i="7"/>
  <c r="K68" i="7"/>
  <c r="M68" i="7"/>
  <c r="E68" i="8"/>
  <c r="H68" i="7"/>
  <c r="F68" i="4"/>
  <c r="X68" i="4"/>
  <c r="V69" i="2"/>
  <c r="U72" i="2"/>
  <c r="U73" i="2" s="1"/>
  <c r="AC68" i="2"/>
  <c r="R86" i="2"/>
  <c r="S86" i="2"/>
  <c r="D69" i="2"/>
  <c r="AD86" i="2"/>
  <c r="P118" i="2" s="1"/>
  <c r="W69" i="2"/>
  <c r="G68" i="2"/>
  <c r="X81" i="2"/>
  <c r="N68" i="4"/>
  <c r="X69" i="4"/>
  <c r="U69" i="4"/>
  <c r="N69" i="4"/>
  <c r="U68" i="4"/>
  <c r="R69" i="4"/>
  <c r="R69" i="7"/>
  <c r="C69" i="7"/>
  <c r="E69" i="7"/>
  <c r="T68" i="7"/>
  <c r="T69" i="7"/>
  <c r="K69" i="4"/>
  <c r="S69" i="4"/>
  <c r="S68" i="4"/>
  <c r="P69" i="4"/>
  <c r="L69" i="4"/>
  <c r="V68" i="4"/>
  <c r="M68" i="4"/>
  <c r="M69" i="4"/>
  <c r="E68" i="4"/>
  <c r="E69" i="4"/>
  <c r="D69" i="4"/>
  <c r="D68" i="4"/>
  <c r="J68" i="4"/>
  <c r="W68" i="4"/>
  <c r="W69" i="4"/>
  <c r="C69" i="4"/>
  <c r="J69" i="4"/>
  <c r="V69" i="4"/>
  <c r="F69" i="4"/>
  <c r="I68" i="4"/>
  <c r="I69" i="4"/>
  <c r="Q68" i="4"/>
  <c r="L68" i="7"/>
  <c r="J68" i="7"/>
  <c r="U68" i="7"/>
  <c r="J69" i="7"/>
  <c r="H69" i="7"/>
  <c r="V69" i="7"/>
  <c r="X69" i="7"/>
  <c r="W67" i="7"/>
  <c r="K69" i="7"/>
  <c r="R68" i="7"/>
  <c r="P67" i="7"/>
  <c r="I67" i="7"/>
  <c r="C68" i="2"/>
  <c r="K38" i="2" s="1"/>
  <c r="C69" i="2"/>
  <c r="K39" i="2" s="1"/>
  <c r="AC69" i="2"/>
  <c r="S81" i="2"/>
  <c r="J118" i="2" s="1"/>
  <c r="W86" i="2"/>
  <c r="Z81" i="2"/>
  <c r="Z86" i="2"/>
  <c r="S129" i="2" s="1"/>
  <c r="L86" i="2"/>
  <c r="X86" i="2"/>
  <c r="R81" i="2"/>
  <c r="AD81" i="2"/>
  <c r="AB129" i="2" s="1"/>
  <c r="U81" i="2"/>
  <c r="L81" i="2"/>
  <c r="W72" i="2"/>
  <c r="W73" i="2" s="1"/>
  <c r="W74" i="2" s="1"/>
  <c r="W81" i="2"/>
  <c r="G86" i="2"/>
  <c r="U86" i="2"/>
  <c r="P68" i="7"/>
  <c r="G69" i="7"/>
  <c r="G68" i="7"/>
  <c r="Y97" i="5"/>
  <c r="Y98" i="5" s="1"/>
  <c r="E119" i="5"/>
  <c r="E120" i="5" s="1"/>
  <c r="C108" i="5"/>
  <c r="C109" i="5" s="1"/>
  <c r="U119" i="5"/>
  <c r="U120" i="5" s="1"/>
  <c r="W68" i="2"/>
  <c r="U69" i="2"/>
  <c r="U68" i="2"/>
  <c r="T68" i="2"/>
  <c r="T69" i="2"/>
  <c r="G69" i="2"/>
  <c r="AA68" i="2"/>
  <c r="AA69" i="2"/>
  <c r="AB68" i="2"/>
  <c r="AB69" i="2"/>
  <c r="Z68" i="2"/>
  <c r="Z69" i="2"/>
  <c r="S69" i="2"/>
  <c r="S68" i="2"/>
  <c r="V68" i="2"/>
  <c r="V71" i="2" s="1"/>
  <c r="AE69" i="2"/>
  <c r="AE68" i="2"/>
  <c r="Y68" i="2"/>
  <c r="Y69" i="2"/>
  <c r="AD69" i="2"/>
  <c r="AD68" i="2"/>
  <c r="I68" i="2"/>
  <c r="I69" i="2"/>
  <c r="N68" i="2"/>
  <c r="N71" i="2" s="1"/>
  <c r="N69" i="2"/>
  <c r="K68" i="2"/>
  <c r="K69" i="2"/>
  <c r="M69" i="2"/>
  <c r="M68" i="2"/>
  <c r="M71" i="2" s="1"/>
  <c r="P68" i="2"/>
  <c r="P69" i="2"/>
  <c r="F69" i="2"/>
  <c r="F68" i="2"/>
  <c r="E68" i="2"/>
  <c r="E69" i="2"/>
  <c r="H68" i="2"/>
  <c r="H69" i="2"/>
  <c r="Q68" i="2"/>
  <c r="Q69" i="2"/>
  <c r="R69" i="2"/>
  <c r="R68" i="2"/>
  <c r="O68" i="2"/>
  <c r="O69" i="2"/>
  <c r="L68" i="2"/>
  <c r="L69" i="2"/>
  <c r="J68" i="2"/>
  <c r="J69" i="2"/>
  <c r="D68" i="2"/>
  <c r="D71" i="2" s="1"/>
  <c r="P88" i="3" l="1"/>
  <c r="N36" i="3"/>
  <c r="P73" i="3"/>
  <c r="N18" i="3"/>
  <c r="P83" i="3"/>
  <c r="N30" i="3"/>
  <c r="P78" i="3"/>
  <c r="N24" i="3"/>
  <c r="D80" i="3"/>
  <c r="I6" i="11" s="1"/>
  <c r="Q6" i="11" s="1"/>
  <c r="H6" i="11"/>
  <c r="F90" i="3"/>
  <c r="M8" i="11" s="1"/>
  <c r="S8" i="11" s="1"/>
  <c r="L8" i="11"/>
  <c r="T75" i="3"/>
  <c r="G22" i="11" s="1"/>
  <c r="P22" i="11" s="1"/>
  <c r="F22" i="11"/>
  <c r="L90" i="3"/>
  <c r="M14" i="11" s="1"/>
  <c r="S14" i="11" s="1"/>
  <c r="L14" i="11"/>
  <c r="C85" i="3"/>
  <c r="K5" i="11" s="1"/>
  <c r="R5" i="11" s="1"/>
  <c r="J5" i="11"/>
  <c r="N75" i="3"/>
  <c r="G16" i="11" s="1"/>
  <c r="P16" i="11" s="1"/>
  <c r="F16" i="11"/>
  <c r="R80" i="3"/>
  <c r="I20" i="11" s="1"/>
  <c r="Q20" i="11" s="1"/>
  <c r="H20" i="11"/>
  <c r="H80" i="3"/>
  <c r="I10" i="11" s="1"/>
  <c r="Q10" i="11" s="1"/>
  <c r="H10" i="11"/>
  <c r="Q90" i="3"/>
  <c r="M19" i="11" s="1"/>
  <c r="S19" i="11" s="1"/>
  <c r="L19" i="11"/>
  <c r="N80" i="3"/>
  <c r="I16" i="11" s="1"/>
  <c r="Q16" i="11" s="1"/>
  <c r="H16" i="11"/>
  <c r="F75" i="3"/>
  <c r="G8" i="11" s="1"/>
  <c r="P8" i="11" s="1"/>
  <c r="F8" i="11"/>
  <c r="W75" i="3"/>
  <c r="G25" i="11" s="1"/>
  <c r="P25" i="11" s="1"/>
  <c r="F25" i="11"/>
  <c r="J80" i="3"/>
  <c r="I12" i="11" s="1"/>
  <c r="Q12" i="11" s="1"/>
  <c r="H12" i="11"/>
  <c r="E80" i="3"/>
  <c r="I7" i="11" s="1"/>
  <c r="Q7" i="11" s="1"/>
  <c r="H7" i="11"/>
  <c r="R90" i="3"/>
  <c r="M20" i="11" s="1"/>
  <c r="S20" i="11" s="1"/>
  <c r="L20" i="11"/>
  <c r="J90" i="3"/>
  <c r="M12" i="11" s="1"/>
  <c r="S12" i="11" s="1"/>
  <c r="L12" i="11"/>
  <c r="N85" i="3"/>
  <c r="K16" i="11" s="1"/>
  <c r="R16" i="11" s="1"/>
  <c r="J16" i="11"/>
  <c r="C90" i="3"/>
  <c r="M5" i="11" s="1"/>
  <c r="S5" i="11" s="1"/>
  <c r="L5" i="11"/>
  <c r="W90" i="3"/>
  <c r="M25" i="11" s="1"/>
  <c r="S25" i="11" s="1"/>
  <c r="L25" i="11"/>
  <c r="Q85" i="3"/>
  <c r="K19" i="11" s="1"/>
  <c r="R19" i="11" s="1"/>
  <c r="J19" i="11"/>
  <c r="N90" i="3"/>
  <c r="M16" i="11" s="1"/>
  <c r="S16" i="11" s="1"/>
  <c r="L16" i="11"/>
  <c r="J26" i="14"/>
  <c r="J25" i="14"/>
  <c r="R25" i="14" s="1"/>
  <c r="J24" i="14"/>
  <c r="R24" i="14" s="1"/>
  <c r="J23" i="14"/>
  <c r="R23" i="14" s="1"/>
  <c r="J22" i="14"/>
  <c r="R22" i="14" s="1"/>
  <c r="J21" i="14"/>
  <c r="R21" i="14" s="1"/>
  <c r="J20" i="14"/>
  <c r="R20" i="14" s="1"/>
  <c r="J19" i="14"/>
  <c r="R19" i="14" s="1"/>
  <c r="J18" i="14"/>
  <c r="R18" i="14" s="1"/>
  <c r="J17" i="14"/>
  <c r="R17" i="14" s="1"/>
  <c r="J16" i="14"/>
  <c r="R16" i="14" s="1"/>
  <c r="J15" i="14"/>
  <c r="R15" i="14" s="1"/>
  <c r="J14" i="14"/>
  <c r="R14" i="14" s="1"/>
  <c r="J13" i="14"/>
  <c r="R13" i="14" s="1"/>
  <c r="J12" i="14"/>
  <c r="R12" i="14" s="1"/>
  <c r="J11" i="14"/>
  <c r="R11" i="14" s="1"/>
  <c r="J10" i="14"/>
  <c r="R10" i="14" s="1"/>
  <c r="J9" i="14"/>
  <c r="R9" i="14" s="1"/>
  <c r="J8" i="14"/>
  <c r="R8" i="14" s="1"/>
  <c r="J7" i="14"/>
  <c r="R7" i="14" s="1"/>
  <c r="J6" i="14"/>
  <c r="R6" i="14" s="1"/>
  <c r="J5" i="14"/>
  <c r="R5" i="14" s="1"/>
  <c r="I25" i="11"/>
  <c r="Q25" i="11" s="1"/>
  <c r="L85" i="3"/>
  <c r="K14" i="11" s="1"/>
  <c r="R14" i="11" s="1"/>
  <c r="J14" i="11"/>
  <c r="O85" i="3"/>
  <c r="K17" i="11" s="1"/>
  <c r="R17" i="11" s="1"/>
  <c r="J17" i="11"/>
  <c r="U90" i="3"/>
  <c r="M23" i="11" s="1"/>
  <c r="S23" i="11" s="1"/>
  <c r="L23" i="11"/>
  <c r="S90" i="3"/>
  <c r="M21" i="11" s="1"/>
  <c r="S21" i="11" s="1"/>
  <c r="L21" i="11"/>
  <c r="S75" i="3"/>
  <c r="G21" i="11" s="1"/>
  <c r="P21" i="11" s="1"/>
  <c r="F21" i="11"/>
  <c r="S85" i="3"/>
  <c r="K21" i="11" s="1"/>
  <c r="R21" i="11" s="1"/>
  <c r="J21" i="11"/>
  <c r="R85" i="3"/>
  <c r="K20" i="11" s="1"/>
  <c r="R20" i="11" s="1"/>
  <c r="J20" i="11"/>
  <c r="F85" i="3"/>
  <c r="K8" i="11" s="1"/>
  <c r="R8" i="11" s="1"/>
  <c r="J8" i="11"/>
  <c r="V90" i="3"/>
  <c r="M24" i="11" s="1"/>
  <c r="S24" i="11" s="1"/>
  <c r="L24" i="11"/>
  <c r="I85" i="3"/>
  <c r="K11" i="11" s="1"/>
  <c r="R11" i="11" s="1"/>
  <c r="J11" i="11"/>
  <c r="T85" i="3"/>
  <c r="K22" i="11" s="1"/>
  <c r="R22" i="11" s="1"/>
  <c r="J22" i="11"/>
  <c r="V75" i="3"/>
  <c r="G24" i="11" s="1"/>
  <c r="P24" i="11" s="1"/>
  <c r="F24" i="11"/>
  <c r="H90" i="3"/>
  <c r="M10" i="11" s="1"/>
  <c r="S10" i="11" s="1"/>
  <c r="L10" i="11"/>
  <c r="I80" i="3"/>
  <c r="I11" i="11" s="1"/>
  <c r="Q11" i="11" s="1"/>
  <c r="H11" i="11"/>
  <c r="J85" i="3"/>
  <c r="K12" i="11" s="1"/>
  <c r="R12" i="11" s="1"/>
  <c r="J12" i="11"/>
  <c r="W85" i="3"/>
  <c r="K25" i="11" s="1"/>
  <c r="R25" i="11" s="1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J25" i="11"/>
  <c r="K75" i="3"/>
  <c r="G13" i="11" s="1"/>
  <c r="P13" i="11" s="1"/>
  <c r="F13" i="11"/>
  <c r="D90" i="3"/>
  <c r="M6" i="11" s="1"/>
  <c r="S6" i="11" s="1"/>
  <c r="L6" i="11"/>
  <c r="L80" i="3"/>
  <c r="I14" i="11" s="1"/>
  <c r="Q14" i="11" s="1"/>
  <c r="H14" i="11"/>
  <c r="I75" i="3"/>
  <c r="G11" i="11" s="1"/>
  <c r="P11" i="11" s="1"/>
  <c r="F11" i="11"/>
  <c r="U75" i="3"/>
  <c r="G23" i="11" s="1"/>
  <c r="P23" i="11" s="1"/>
  <c r="F23" i="11"/>
  <c r="M85" i="3"/>
  <c r="K15" i="11" s="1"/>
  <c r="R15" i="11" s="1"/>
  <c r="J15" i="11"/>
  <c r="O90" i="3"/>
  <c r="M17" i="11" s="1"/>
  <c r="S17" i="11" s="1"/>
  <c r="L17" i="11"/>
  <c r="T90" i="3"/>
  <c r="M22" i="11" s="1"/>
  <c r="S22" i="11" s="1"/>
  <c r="L22" i="11"/>
  <c r="T80" i="3"/>
  <c r="I22" i="11" s="1"/>
  <c r="Q22" i="11" s="1"/>
  <c r="H22" i="11"/>
  <c r="O75" i="3"/>
  <c r="G17" i="11" s="1"/>
  <c r="P17" i="11" s="1"/>
  <c r="F17" i="11"/>
  <c r="R75" i="3"/>
  <c r="G20" i="11" s="1"/>
  <c r="P20" i="11" s="1"/>
  <c r="F20" i="11"/>
  <c r="H85" i="3"/>
  <c r="K10" i="11" s="1"/>
  <c r="R10" i="11" s="1"/>
  <c r="J10" i="11"/>
  <c r="E85" i="3"/>
  <c r="K7" i="11" s="1"/>
  <c r="R7" i="11" s="1"/>
  <c r="J7" i="11"/>
  <c r="K85" i="3"/>
  <c r="K13" i="11" s="1"/>
  <c r="R13" i="11" s="1"/>
  <c r="J13" i="11"/>
  <c r="D85" i="3"/>
  <c r="K6" i="11" s="1"/>
  <c r="R6" i="11" s="1"/>
  <c r="J6" i="11"/>
  <c r="I90" i="3"/>
  <c r="M11" i="11" s="1"/>
  <c r="S11" i="11" s="1"/>
  <c r="L11" i="11"/>
  <c r="V85" i="3"/>
  <c r="K24" i="11" s="1"/>
  <c r="R24" i="11" s="1"/>
  <c r="J24" i="11"/>
  <c r="U85" i="3"/>
  <c r="K23" i="11" s="1"/>
  <c r="R23" i="11" s="1"/>
  <c r="J23" i="11"/>
  <c r="M90" i="3"/>
  <c r="M15" i="11" s="1"/>
  <c r="S15" i="11" s="1"/>
  <c r="L15" i="11"/>
  <c r="G90" i="3"/>
  <c r="M9" i="11" s="1"/>
  <c r="S9" i="11" s="1"/>
  <c r="L9" i="11"/>
  <c r="E90" i="3"/>
  <c r="M7" i="11" s="1"/>
  <c r="S7" i="11" s="1"/>
  <c r="L7" i="11"/>
  <c r="Q80" i="3"/>
  <c r="I19" i="11" s="1"/>
  <c r="Q19" i="11" s="1"/>
  <c r="H19" i="11"/>
  <c r="G80" i="3"/>
  <c r="I9" i="11" s="1"/>
  <c r="Q9" i="11" s="1"/>
  <c r="H9" i="11"/>
  <c r="G85" i="3"/>
  <c r="K9" i="11" s="1"/>
  <c r="R9" i="11" s="1"/>
  <c r="J9" i="11"/>
  <c r="K90" i="3"/>
  <c r="M13" i="11" s="1"/>
  <c r="S13" i="11" s="1"/>
  <c r="L13" i="11"/>
  <c r="W75" i="2"/>
  <c r="G25" i="10" s="1"/>
  <c r="P25" i="10" s="1"/>
  <c r="F25" i="10"/>
  <c r="G87" i="2"/>
  <c r="G88" i="2" s="1"/>
  <c r="G89" i="2" s="1"/>
  <c r="U96" i="2"/>
  <c r="F107" i="2"/>
  <c r="K107" i="2"/>
  <c r="W82" i="2"/>
  <c r="W83" i="2" s="1"/>
  <c r="W84" i="2" s="1"/>
  <c r="E129" i="2"/>
  <c r="C129" i="2"/>
  <c r="W87" i="2"/>
  <c r="W88" i="2" s="1"/>
  <c r="W89" i="2" s="1"/>
  <c r="G129" i="2"/>
  <c r="AB118" i="2"/>
  <c r="M118" i="2"/>
  <c r="P107" i="2"/>
  <c r="X82" i="2"/>
  <c r="X83" i="2" s="1"/>
  <c r="X84" i="2" s="1"/>
  <c r="F129" i="2"/>
  <c r="K129" i="2"/>
  <c r="O118" i="2"/>
  <c r="R107" i="2"/>
  <c r="V96" i="2"/>
  <c r="M107" i="2"/>
  <c r="P96" i="2"/>
  <c r="O107" i="2"/>
  <c r="H118" i="2"/>
  <c r="I118" i="2"/>
  <c r="K118" i="2"/>
  <c r="X80" i="2"/>
  <c r="I26" i="10" s="1"/>
  <c r="Q26" i="10" s="1"/>
  <c r="H26" i="10"/>
  <c r="AA118" i="2"/>
  <c r="AF107" i="2"/>
  <c r="AB107" i="2"/>
  <c r="AC118" i="2"/>
  <c r="T118" i="2"/>
  <c r="Y118" i="2"/>
  <c r="AB71" i="2"/>
  <c r="U87" i="2"/>
  <c r="U88" i="2" s="1"/>
  <c r="U89" i="2" s="1"/>
  <c r="X107" i="2"/>
  <c r="I129" i="2"/>
  <c r="AD118" i="2"/>
  <c r="D118" i="2"/>
  <c r="U129" i="2"/>
  <c r="H129" i="2"/>
  <c r="R118" i="2"/>
  <c r="D87" i="8"/>
  <c r="D88" i="8" s="1"/>
  <c r="D89" i="8" s="1"/>
  <c r="D72" i="8"/>
  <c r="D73" i="8" s="1"/>
  <c r="D74" i="8" s="1"/>
  <c r="D75" i="8" s="1"/>
  <c r="C77" i="8"/>
  <c r="C78" i="8" s="1"/>
  <c r="C87" i="8"/>
  <c r="C88" i="8" s="1"/>
  <c r="C89" i="8" s="1"/>
  <c r="E87" i="8"/>
  <c r="E88" i="8" s="1"/>
  <c r="E89" i="8"/>
  <c r="W97" i="6"/>
  <c r="W98" i="6" s="1"/>
  <c r="W99" i="6" s="1"/>
  <c r="W100" i="6" s="1"/>
  <c r="W101" i="6" s="1"/>
  <c r="W102" i="6" s="1"/>
  <c r="E108" i="6"/>
  <c r="E109" i="6" s="1"/>
  <c r="I108" i="6"/>
  <c r="I109" i="6" s="1"/>
  <c r="O108" i="5"/>
  <c r="O109" i="5" s="1"/>
  <c r="O110" i="5" s="1"/>
  <c r="O111" i="5" s="1"/>
  <c r="O112" i="5" s="1"/>
  <c r="O113" i="5" s="1"/>
  <c r="I97" i="5"/>
  <c r="I98" i="5" s="1"/>
  <c r="I99" i="5" s="1"/>
  <c r="I100" i="5" s="1"/>
  <c r="I101" i="5" s="1"/>
  <c r="I102" i="5" s="1"/>
  <c r="E71" i="2"/>
  <c r="K71" i="2"/>
  <c r="Y71" i="2"/>
  <c r="O71" i="2"/>
  <c r="AC71" i="2"/>
  <c r="AC72" i="2" s="1"/>
  <c r="AC73" i="2" s="1"/>
  <c r="AA76" i="2"/>
  <c r="AA77" i="2" s="1"/>
  <c r="AA78" i="2" s="1"/>
  <c r="AA79" i="2" s="1"/>
  <c r="AA71" i="2"/>
  <c r="P76" i="2"/>
  <c r="P77" i="2" s="1"/>
  <c r="P78" i="2" s="1"/>
  <c r="P79" i="2" s="1"/>
  <c r="P71" i="2"/>
  <c r="I76" i="2"/>
  <c r="I77" i="2" s="1"/>
  <c r="I78" i="2" s="1"/>
  <c r="I79" i="2" s="1"/>
  <c r="I71" i="2"/>
  <c r="I72" i="2" s="1"/>
  <c r="I73" i="2" s="1"/>
  <c r="Q76" i="2"/>
  <c r="Q77" i="2" s="1"/>
  <c r="Q78" i="2" s="1"/>
  <c r="Q79" i="2" s="1"/>
  <c r="Q71" i="2"/>
  <c r="T71" i="2"/>
  <c r="G71" i="2"/>
  <c r="H76" i="2"/>
  <c r="H77" i="2" s="1"/>
  <c r="H78" i="2" s="1"/>
  <c r="H79" i="2" s="1"/>
  <c r="H71" i="2"/>
  <c r="J76" i="2"/>
  <c r="J77" i="2" s="1"/>
  <c r="J78" i="2" s="1"/>
  <c r="J79" i="2" s="1"/>
  <c r="J71" i="2"/>
  <c r="F76" i="2"/>
  <c r="F77" i="2" s="1"/>
  <c r="F78" i="2" s="1"/>
  <c r="F79" i="2" s="1"/>
  <c r="F71" i="2"/>
  <c r="AE71" i="2"/>
  <c r="AC76" i="2"/>
  <c r="AC77" i="2" s="1"/>
  <c r="AC78" i="2" s="1"/>
  <c r="AC79" i="2" s="1"/>
  <c r="AE76" i="2"/>
  <c r="AE77" i="2" s="1"/>
  <c r="AE78" i="2" s="1"/>
  <c r="AE79" i="2" s="1"/>
  <c r="AB76" i="2"/>
  <c r="AB77" i="2" s="1"/>
  <c r="AB78" i="2" s="1"/>
  <c r="AB79" i="2" s="1"/>
  <c r="O76" i="2"/>
  <c r="Y76" i="2"/>
  <c r="Y77" i="2" s="1"/>
  <c r="Y78" i="2" s="1"/>
  <c r="Y79" i="2" s="1"/>
  <c r="G76" i="2"/>
  <c r="G77" i="2" s="1"/>
  <c r="G78" i="2" s="1"/>
  <c r="G79" i="2" s="1"/>
  <c r="M76" i="2"/>
  <c r="M77" i="2" s="1"/>
  <c r="M78" i="2" s="1"/>
  <c r="M79" i="2" s="1"/>
  <c r="T76" i="2"/>
  <c r="C76" i="2"/>
  <c r="E76" i="2"/>
  <c r="E77" i="2" s="1"/>
  <c r="E78" i="2" s="1"/>
  <c r="E79" i="2" s="1"/>
  <c r="K76" i="2"/>
  <c r="K77" i="2" s="1"/>
  <c r="K78" i="2" s="1"/>
  <c r="K79" i="2" s="1"/>
  <c r="D76" i="2"/>
  <c r="D77" i="2" s="1"/>
  <c r="D78" i="2" s="1"/>
  <c r="D79" i="2" s="1"/>
  <c r="N76" i="2"/>
  <c r="N77" i="2" s="1"/>
  <c r="N78" i="2" s="1"/>
  <c r="N79" i="2" s="1"/>
  <c r="V76" i="2"/>
  <c r="V77" i="2" s="1"/>
  <c r="V78" i="2" s="1"/>
  <c r="V79" i="2" s="1"/>
  <c r="C71" i="2"/>
  <c r="N17" i="2" s="1"/>
  <c r="I69" i="7"/>
  <c r="Q97" i="5"/>
  <c r="Q98" i="5" s="1"/>
  <c r="Q99" i="5" s="1"/>
  <c r="Q100" i="5" s="1"/>
  <c r="Q101" i="5" s="1"/>
  <c r="Q102" i="5" s="1"/>
  <c r="O108" i="6"/>
  <c r="O109" i="6" s="1"/>
  <c r="O77" i="2"/>
  <c r="O78" i="2" s="1"/>
  <c r="O79" i="2" s="1"/>
  <c r="AC81" i="2"/>
  <c r="T77" i="2"/>
  <c r="T78" i="2" s="1"/>
  <c r="T79" i="2" s="1"/>
  <c r="G81" i="2"/>
  <c r="K97" i="5"/>
  <c r="K98" i="5" s="1"/>
  <c r="K99" i="5" s="1"/>
  <c r="K100" i="5" s="1"/>
  <c r="K101" i="5" s="1"/>
  <c r="K102" i="5" s="1"/>
  <c r="W108" i="5"/>
  <c r="W109" i="5" s="1"/>
  <c r="W110" i="5" s="1"/>
  <c r="W111" i="5" s="1"/>
  <c r="W112" i="5" s="1"/>
  <c r="W113" i="5" s="1"/>
  <c r="K108" i="5"/>
  <c r="K109" i="5" s="1"/>
  <c r="K110" i="5" s="1"/>
  <c r="K111" i="5" s="1"/>
  <c r="K112" i="5" s="1"/>
  <c r="K113" i="5" s="1"/>
  <c r="AC86" i="2"/>
  <c r="U108" i="5"/>
  <c r="U109" i="5" s="1"/>
  <c r="U110" i="5" s="1"/>
  <c r="U111" i="5" s="1"/>
  <c r="U112" i="5" s="1"/>
  <c r="U113" i="5" s="1"/>
  <c r="S119" i="4"/>
  <c r="S120" i="4" s="1"/>
  <c r="F62" i="14" s="1"/>
  <c r="M108" i="5"/>
  <c r="M109" i="5" s="1"/>
  <c r="M110" i="5" s="1"/>
  <c r="M111" i="5" s="1"/>
  <c r="M112" i="5" s="1"/>
  <c r="M113" i="5" s="1"/>
  <c r="P69" i="7"/>
  <c r="W68" i="7"/>
  <c r="W69" i="7"/>
  <c r="I108" i="5"/>
  <c r="I109" i="5" s="1"/>
  <c r="I110" i="5" s="1"/>
  <c r="I111" i="5" s="1"/>
  <c r="I112" i="5" s="1"/>
  <c r="I113" i="5" s="1"/>
  <c r="S108" i="5"/>
  <c r="S109" i="5" s="1"/>
  <c r="S110" i="5" s="1"/>
  <c r="S111" i="5" s="1"/>
  <c r="S112" i="5" s="1"/>
  <c r="S113" i="5" s="1"/>
  <c r="Y108" i="5"/>
  <c r="Y109" i="5" s="1"/>
  <c r="Y110" i="5" s="1"/>
  <c r="Y111" i="5" s="1"/>
  <c r="Y112" i="5" s="1"/>
  <c r="Y113" i="5" s="1"/>
  <c r="G119" i="5"/>
  <c r="G120" i="5" s="1"/>
  <c r="G121" i="5" s="1"/>
  <c r="G122" i="5" s="1"/>
  <c r="G123" i="5" s="1"/>
  <c r="G124" i="5" s="1"/>
  <c r="K119" i="5"/>
  <c r="K120" i="5" s="1"/>
  <c r="K121" i="5" s="1"/>
  <c r="K122" i="5" s="1"/>
  <c r="K123" i="5" s="1"/>
  <c r="K124" i="5" s="1"/>
  <c r="U119" i="4"/>
  <c r="U120" i="4" s="1"/>
  <c r="M97" i="4"/>
  <c r="M98" i="4" s="1"/>
  <c r="Q119" i="4"/>
  <c r="Q120" i="4" s="1"/>
  <c r="F61" i="14" s="1"/>
  <c r="W97" i="5"/>
  <c r="W98" i="5" s="1"/>
  <c r="W99" i="5" s="1"/>
  <c r="W100" i="5" s="1"/>
  <c r="W101" i="5" s="1"/>
  <c r="W102" i="5" s="1"/>
  <c r="S119" i="6"/>
  <c r="S120" i="6" s="1"/>
  <c r="S121" i="6" s="1"/>
  <c r="S122" i="6" s="1"/>
  <c r="S123" i="6" s="1"/>
  <c r="S124" i="6" s="1"/>
  <c r="I68" i="7"/>
  <c r="G97" i="5"/>
  <c r="G98" i="5" s="1"/>
  <c r="G99" i="5" s="1"/>
  <c r="G100" i="5" s="1"/>
  <c r="G101" i="5" s="1"/>
  <c r="G102" i="5" s="1"/>
  <c r="E97" i="5"/>
  <c r="E98" i="5" s="1"/>
  <c r="E99" i="5" s="1"/>
  <c r="E100" i="5" s="1"/>
  <c r="E101" i="5" s="1"/>
  <c r="E102" i="5" s="1"/>
  <c r="C97" i="5"/>
  <c r="C98" i="5" s="1"/>
  <c r="C99" i="5" s="1"/>
  <c r="C100" i="5" s="1"/>
  <c r="C101" i="5" s="1"/>
  <c r="C102" i="5" s="1"/>
  <c r="M97" i="5"/>
  <c r="M98" i="5" s="1"/>
  <c r="M99" i="5" s="1"/>
  <c r="M100" i="5" s="1"/>
  <c r="M101" i="5" s="1"/>
  <c r="M102" i="5" s="1"/>
  <c r="S119" i="5"/>
  <c r="S120" i="5" s="1"/>
  <c r="S121" i="5" s="1"/>
  <c r="S122" i="5" s="1"/>
  <c r="S123" i="5" s="1"/>
  <c r="S124" i="5" s="1"/>
  <c r="O97" i="5"/>
  <c r="O98" i="5" s="1"/>
  <c r="O99" i="5" s="1"/>
  <c r="O100" i="5" s="1"/>
  <c r="O101" i="5" s="1"/>
  <c r="O102" i="5" s="1"/>
  <c r="I119" i="5"/>
  <c r="I120" i="5" s="1"/>
  <c r="I121" i="5" s="1"/>
  <c r="I122" i="5" s="1"/>
  <c r="I123" i="5" s="1"/>
  <c r="I124" i="5" s="1"/>
  <c r="O81" i="2"/>
  <c r="O86" i="2"/>
  <c r="P81" i="2"/>
  <c r="P86" i="2"/>
  <c r="M81" i="2"/>
  <c r="L107" i="2" s="1"/>
  <c r="M86" i="2"/>
  <c r="V86" i="2"/>
  <c r="V81" i="2"/>
  <c r="V118" i="2" s="1"/>
  <c r="AB81" i="2"/>
  <c r="AB86" i="2"/>
  <c r="N129" i="2" s="1"/>
  <c r="J81" i="2"/>
  <c r="J86" i="2"/>
  <c r="Q81" i="2"/>
  <c r="Q86" i="2"/>
  <c r="E81" i="2"/>
  <c r="M96" i="2" s="1"/>
  <c r="E86" i="2"/>
  <c r="K86" i="2"/>
  <c r="K81" i="2"/>
  <c r="I81" i="2"/>
  <c r="Y96" i="2" s="1"/>
  <c r="I86" i="2"/>
  <c r="C86" i="2"/>
  <c r="N35" i="2" s="1"/>
  <c r="C81" i="2"/>
  <c r="N29" i="2" s="1"/>
  <c r="T86" i="2"/>
  <c r="T81" i="2"/>
  <c r="F86" i="2"/>
  <c r="F81" i="2"/>
  <c r="O96" i="2" s="1"/>
  <c r="D86" i="2"/>
  <c r="D81" i="2"/>
  <c r="I96" i="2" s="1"/>
  <c r="H81" i="2"/>
  <c r="T96" i="2" s="1"/>
  <c r="H86" i="2"/>
  <c r="W96" i="2" s="1"/>
  <c r="N86" i="2"/>
  <c r="N81" i="2"/>
  <c r="Y81" i="2"/>
  <c r="Y86" i="2"/>
  <c r="AE81" i="2"/>
  <c r="AE86" i="2"/>
  <c r="AA81" i="2"/>
  <c r="AA86" i="2"/>
  <c r="J129" i="2" s="1"/>
  <c r="C97" i="8"/>
  <c r="C98" i="8" s="1"/>
  <c r="U97" i="6"/>
  <c r="U98" i="6" s="1"/>
  <c r="U99" i="6" s="1"/>
  <c r="U100" i="6" s="1"/>
  <c r="U101" i="6" s="1"/>
  <c r="U102" i="6" s="1"/>
  <c r="S97" i="6"/>
  <c r="S98" i="6" s="1"/>
  <c r="S99" i="6" s="1"/>
  <c r="S100" i="6" s="1"/>
  <c r="S101" i="6" s="1"/>
  <c r="S102" i="6" s="1"/>
  <c r="Y97" i="6"/>
  <c r="Y98" i="6" s="1"/>
  <c r="Y99" i="6" s="1"/>
  <c r="Y100" i="6" s="1"/>
  <c r="Y101" i="6" s="1"/>
  <c r="Y102" i="6" s="1"/>
  <c r="I97" i="6"/>
  <c r="I98" i="6" s="1"/>
  <c r="I99" i="6" s="1"/>
  <c r="I100" i="6" s="1"/>
  <c r="I101" i="6" s="1"/>
  <c r="I102" i="6" s="1"/>
  <c r="Q119" i="6"/>
  <c r="Q120" i="6" s="1"/>
  <c r="Q121" i="6" s="1"/>
  <c r="Q122" i="6" s="1"/>
  <c r="Q123" i="6" s="1"/>
  <c r="Q124" i="6" s="1"/>
  <c r="Y108" i="6"/>
  <c r="Y109" i="6" s="1"/>
  <c r="Y110" i="6" s="1"/>
  <c r="Y111" i="6" s="1"/>
  <c r="Y112" i="6" s="1"/>
  <c r="Y113" i="6" s="1"/>
  <c r="I110" i="6"/>
  <c r="I111" i="6" s="1"/>
  <c r="I112" i="6" s="1"/>
  <c r="I113" i="6" s="1"/>
  <c r="C119" i="6"/>
  <c r="C120" i="6" s="1"/>
  <c r="E110" i="6"/>
  <c r="E111" i="6" s="1"/>
  <c r="E112" i="6" s="1"/>
  <c r="E113" i="6" s="1"/>
  <c r="O97" i="6"/>
  <c r="O98" i="6" s="1"/>
  <c r="Q97" i="6"/>
  <c r="Q98" i="6" s="1"/>
  <c r="E119" i="6"/>
  <c r="E120" i="6" s="1"/>
  <c r="C108" i="6"/>
  <c r="C109" i="6" s="1"/>
  <c r="S108" i="6"/>
  <c r="S109" i="6" s="1"/>
  <c r="G119" i="6"/>
  <c r="G120" i="6" s="1"/>
  <c r="G108" i="6"/>
  <c r="G109" i="6" s="1"/>
  <c r="U108" i="6"/>
  <c r="U109" i="6" s="1"/>
  <c r="G97" i="6"/>
  <c r="G98" i="6" s="1"/>
  <c r="M97" i="6"/>
  <c r="M98" i="6" s="1"/>
  <c r="K97" i="6"/>
  <c r="K98" i="6" s="1"/>
  <c r="G108" i="5"/>
  <c r="G109" i="5" s="1"/>
  <c r="G110" i="5" s="1"/>
  <c r="G111" i="5" s="1"/>
  <c r="G112" i="5" s="1"/>
  <c r="G113" i="5" s="1"/>
  <c r="M119" i="5"/>
  <c r="M120" i="5" s="1"/>
  <c r="M121" i="5" s="1"/>
  <c r="M122" i="5" s="1"/>
  <c r="M123" i="5" s="1"/>
  <c r="M124" i="5" s="1"/>
  <c r="E108" i="5"/>
  <c r="E109" i="5" s="1"/>
  <c r="E110" i="5" s="1"/>
  <c r="E111" i="5" s="1"/>
  <c r="E112" i="5" s="1"/>
  <c r="E113" i="5" s="1"/>
  <c r="V72" i="2"/>
  <c r="V73" i="2" s="1"/>
  <c r="V74" i="2" s="1"/>
  <c r="U74" i="2"/>
  <c r="O119" i="5"/>
  <c r="O120" i="5" s="1"/>
  <c r="O121" i="5" s="1"/>
  <c r="O122" i="5" s="1"/>
  <c r="O123" i="5" s="1"/>
  <c r="O124" i="5" s="1"/>
  <c r="Q119" i="5"/>
  <c r="Q120" i="5" s="1"/>
  <c r="Q121" i="5" s="1"/>
  <c r="Q122" i="5" s="1"/>
  <c r="Q123" i="5" s="1"/>
  <c r="Q124" i="5" s="1"/>
  <c r="Y99" i="5"/>
  <c r="Y100" i="5" s="1"/>
  <c r="Y101" i="5" s="1"/>
  <c r="Y102" i="5" s="1"/>
  <c r="U121" i="5"/>
  <c r="U122" i="5" s="1"/>
  <c r="U123" i="5" s="1"/>
  <c r="U124" i="5" s="1"/>
  <c r="C110" i="5"/>
  <c r="C111" i="5" s="1"/>
  <c r="C112" i="5" s="1"/>
  <c r="C113" i="5" s="1"/>
  <c r="Q110" i="5"/>
  <c r="Q111" i="5" s="1"/>
  <c r="Q112" i="5" s="1"/>
  <c r="Q113" i="5" s="1"/>
  <c r="E121" i="5"/>
  <c r="E122" i="5" s="1"/>
  <c r="E123" i="5" s="1"/>
  <c r="E124" i="5" s="1"/>
  <c r="K108" i="4"/>
  <c r="K109" i="4" s="1"/>
  <c r="F46" i="14" s="1"/>
  <c r="E119" i="4"/>
  <c r="E120" i="4" s="1"/>
  <c r="X87" i="2"/>
  <c r="X88" i="2" s="1"/>
  <c r="X89" i="2" s="1"/>
  <c r="Z82" i="2"/>
  <c r="Z83" i="2" s="1"/>
  <c r="Z84" i="2" s="1"/>
  <c r="S82" i="2"/>
  <c r="S83" i="2" s="1"/>
  <c r="S84" i="2" s="1"/>
  <c r="R82" i="2"/>
  <c r="R83" i="2" s="1"/>
  <c r="R84" i="2" s="1"/>
  <c r="X72" i="2"/>
  <c r="X73" i="2" s="1"/>
  <c r="U82" i="2"/>
  <c r="U83" i="2" s="1"/>
  <c r="U84" i="2" s="1"/>
  <c r="AD72" i="2"/>
  <c r="AD73" i="2" s="1"/>
  <c r="AD82" i="2"/>
  <c r="AD83" i="2" s="1"/>
  <c r="AD84" i="2" s="1"/>
  <c r="S87" i="2"/>
  <c r="S88" i="2" s="1"/>
  <c r="S89" i="2" s="1"/>
  <c r="AD87" i="2"/>
  <c r="AD88" i="2" s="1"/>
  <c r="AD89" i="2" s="1"/>
  <c r="S72" i="2"/>
  <c r="S73" i="2" s="1"/>
  <c r="Z87" i="2"/>
  <c r="Z88" i="2" s="1"/>
  <c r="Z89" i="2" s="1"/>
  <c r="L82" i="2"/>
  <c r="L83" i="2" s="1"/>
  <c r="L84" i="2" s="1"/>
  <c r="L87" i="2"/>
  <c r="L88" i="2" s="1"/>
  <c r="L89" i="2" s="1"/>
  <c r="Z72" i="2"/>
  <c r="Z73" i="2" s="1"/>
  <c r="L72" i="2"/>
  <c r="L73" i="2" s="1"/>
  <c r="R72" i="2"/>
  <c r="R73" i="2" s="1"/>
  <c r="R87" i="2"/>
  <c r="R88" i="2" s="1"/>
  <c r="R89" i="2" s="1"/>
  <c r="P79" i="3" l="1"/>
  <c r="N25" i="3"/>
  <c r="P84" i="3"/>
  <c r="N31" i="3"/>
  <c r="P74" i="3"/>
  <c r="N19" i="3"/>
  <c r="P89" i="3"/>
  <c r="N37" i="3"/>
  <c r="C77" i="2"/>
  <c r="N23" i="2"/>
  <c r="Y80" i="2"/>
  <c r="I27" i="10" s="1"/>
  <c r="Q27" i="10" s="1"/>
  <c r="H27" i="10"/>
  <c r="J80" i="2"/>
  <c r="I12" i="10" s="1"/>
  <c r="Q12" i="10" s="1"/>
  <c r="H12" i="10"/>
  <c r="AB80" i="2"/>
  <c r="I30" i="10" s="1"/>
  <c r="Q30" i="10" s="1"/>
  <c r="H30" i="10"/>
  <c r="N80" i="2"/>
  <c r="I16" i="10" s="1"/>
  <c r="Q16" i="10" s="1"/>
  <c r="H16" i="10"/>
  <c r="E107" i="2"/>
  <c r="AF96" i="2"/>
  <c r="U85" i="2"/>
  <c r="K23" i="10" s="1"/>
  <c r="R23" i="10" s="1"/>
  <c r="J23" i="10"/>
  <c r="Q80" i="2"/>
  <c r="I19" i="10" s="1"/>
  <c r="Q19" i="10" s="1"/>
  <c r="H19" i="10"/>
  <c r="S90" i="2"/>
  <c r="M21" i="10" s="1"/>
  <c r="S21" i="10" s="1"/>
  <c r="L21" i="10"/>
  <c r="AD85" i="2"/>
  <c r="K32" i="10" s="1"/>
  <c r="R32" i="10" s="1"/>
  <c r="J32" i="10"/>
  <c r="L129" i="2"/>
  <c r="O129" i="2"/>
  <c r="L118" i="2"/>
  <c r="K119" i="2" s="1"/>
  <c r="K120" i="2" s="1"/>
  <c r="E71" i="10" s="1"/>
  <c r="Q96" i="2"/>
  <c r="L96" i="2"/>
  <c r="I107" i="2"/>
  <c r="N96" i="2"/>
  <c r="G107" i="2"/>
  <c r="V107" i="2"/>
  <c r="Y107" i="2"/>
  <c r="O80" i="2"/>
  <c r="I17" i="10" s="1"/>
  <c r="Q17" i="10" s="1"/>
  <c r="H17" i="10"/>
  <c r="D80" i="2"/>
  <c r="I6" i="10" s="1"/>
  <c r="Q6" i="10" s="1"/>
  <c r="H6" i="10"/>
  <c r="R129" i="2"/>
  <c r="N118" i="2"/>
  <c r="AE118" i="2"/>
  <c r="Z118" i="2"/>
  <c r="AC80" i="2"/>
  <c r="I31" i="10" s="1"/>
  <c r="Q31" i="10" s="1"/>
  <c r="H31" i="10"/>
  <c r="W85" i="2"/>
  <c r="K25" i="10" s="1"/>
  <c r="R25" i="10" s="1"/>
  <c r="J25" i="10"/>
  <c r="W118" i="2"/>
  <c r="U118" i="2"/>
  <c r="AE80" i="2"/>
  <c r="I33" i="10" s="1"/>
  <c r="Q33" i="10" s="1"/>
  <c r="H33" i="10"/>
  <c r="P80" i="2"/>
  <c r="I18" i="10" s="1"/>
  <c r="Q18" i="10" s="1"/>
  <c r="H18" i="10"/>
  <c r="L85" i="2"/>
  <c r="K14" i="10" s="1"/>
  <c r="R14" i="10" s="1"/>
  <c r="J14" i="10"/>
  <c r="C82" i="2"/>
  <c r="E96" i="2"/>
  <c r="Z90" i="2"/>
  <c r="M28" i="10" s="1"/>
  <c r="S28" i="10" s="1"/>
  <c r="L28" i="10"/>
  <c r="R85" i="2"/>
  <c r="K20" i="10" s="1"/>
  <c r="R20" i="10" s="1"/>
  <c r="J20" i="10"/>
  <c r="T129" i="2"/>
  <c r="W129" i="2"/>
  <c r="C87" i="2"/>
  <c r="C96" i="2"/>
  <c r="AD107" i="2"/>
  <c r="G118" i="2"/>
  <c r="C118" i="2"/>
  <c r="Q107" i="2"/>
  <c r="X96" i="2"/>
  <c r="T80" i="2"/>
  <c r="I22" i="10" s="1"/>
  <c r="Q22" i="10" s="1"/>
  <c r="H22" i="10"/>
  <c r="AA80" i="2"/>
  <c r="I29" i="10" s="1"/>
  <c r="Q29" i="10" s="1"/>
  <c r="H29" i="10"/>
  <c r="U90" i="2"/>
  <c r="M23" i="10" s="1"/>
  <c r="S23" i="10" s="1"/>
  <c r="L23" i="10"/>
  <c r="U75" i="2"/>
  <c r="G23" i="10" s="1"/>
  <c r="P23" i="10" s="1"/>
  <c r="F23" i="10"/>
  <c r="T107" i="2"/>
  <c r="S118" i="2"/>
  <c r="Q118" i="2"/>
  <c r="D107" i="2"/>
  <c r="AA107" i="2"/>
  <c r="AA108" i="2" s="1"/>
  <c r="AA109" i="2" s="1"/>
  <c r="E64" i="10" s="1"/>
  <c r="K80" i="2"/>
  <c r="I13" i="10" s="1"/>
  <c r="Q13" i="10" s="1"/>
  <c r="H13" i="10"/>
  <c r="L90" i="2"/>
  <c r="M14" i="10" s="1"/>
  <c r="S14" i="10" s="1"/>
  <c r="L14" i="10"/>
  <c r="E80" i="2"/>
  <c r="I7" i="10" s="1"/>
  <c r="Q7" i="10" s="1"/>
  <c r="H7" i="10"/>
  <c r="S85" i="2"/>
  <c r="K21" i="10" s="1"/>
  <c r="R21" i="10" s="1"/>
  <c r="J21" i="10"/>
  <c r="X118" i="2"/>
  <c r="D129" i="2"/>
  <c r="N107" i="2"/>
  <c r="E118" i="2"/>
  <c r="J107" i="2"/>
  <c r="M80" i="2"/>
  <c r="I15" i="10" s="1"/>
  <c r="Q15" i="10" s="1"/>
  <c r="H15" i="10"/>
  <c r="G90" i="2"/>
  <c r="M9" i="10" s="1"/>
  <c r="S9" i="10" s="1"/>
  <c r="L9" i="10"/>
  <c r="V75" i="2"/>
  <c r="G24" i="10" s="1"/>
  <c r="P24" i="10" s="1"/>
  <c r="F24" i="10"/>
  <c r="K96" i="2"/>
  <c r="H96" i="2"/>
  <c r="R90" i="2"/>
  <c r="M20" i="10" s="1"/>
  <c r="S20" i="10" s="1"/>
  <c r="L20" i="10"/>
  <c r="AD90" i="2"/>
  <c r="M32" i="10" s="1"/>
  <c r="S32" i="10" s="1"/>
  <c r="L32" i="10"/>
  <c r="Z85" i="2"/>
  <c r="K28" i="10" s="1"/>
  <c r="R28" i="10" s="1"/>
  <c r="J28" i="10"/>
  <c r="AF118" i="2"/>
  <c r="V129" i="2"/>
  <c r="D96" i="2"/>
  <c r="G96" i="2"/>
  <c r="AA96" i="2"/>
  <c r="F96" i="2"/>
  <c r="Z96" i="2"/>
  <c r="AE96" i="2"/>
  <c r="AC107" i="2"/>
  <c r="Z107" i="2"/>
  <c r="G80" i="2"/>
  <c r="I9" i="10" s="1"/>
  <c r="Q9" i="10" s="1"/>
  <c r="H9" i="10"/>
  <c r="V80" i="2"/>
  <c r="I24" i="10" s="1"/>
  <c r="Q24" i="10" s="1"/>
  <c r="H24" i="10"/>
  <c r="F80" i="2"/>
  <c r="I8" i="10" s="1"/>
  <c r="Q8" i="10" s="1"/>
  <c r="H8" i="10"/>
  <c r="W90" i="2"/>
  <c r="M25" i="10" s="1"/>
  <c r="S25" i="10" s="1"/>
  <c r="L25" i="10"/>
  <c r="S107" i="2"/>
  <c r="AD96" i="2"/>
  <c r="AB96" i="2"/>
  <c r="Y129" i="2"/>
  <c r="X129" i="2"/>
  <c r="W130" i="2" s="1"/>
  <c r="W131" i="2" s="1"/>
  <c r="E92" i="10" s="1"/>
  <c r="I80" i="2"/>
  <c r="I11" i="10" s="1"/>
  <c r="Q11" i="10" s="1"/>
  <c r="H11" i="10"/>
  <c r="X85" i="2"/>
  <c r="K26" i="10" s="1"/>
  <c r="R26" i="10" s="1"/>
  <c r="J26" i="10"/>
  <c r="U107" i="2"/>
  <c r="W107" i="2"/>
  <c r="H80" i="2"/>
  <c r="I10" i="10" s="1"/>
  <c r="Q10" i="10" s="1"/>
  <c r="H10" i="10"/>
  <c r="X90" i="2"/>
  <c r="M26" i="10" s="1"/>
  <c r="S26" i="10" s="1"/>
  <c r="L26" i="10"/>
  <c r="Q129" i="2"/>
  <c r="F118" i="2"/>
  <c r="M129" i="2"/>
  <c r="J96" i="2"/>
  <c r="C107" i="2"/>
  <c r="AC96" i="2"/>
  <c r="AE107" i="2"/>
  <c r="AE108" i="2" s="1"/>
  <c r="AE109" i="2" s="1"/>
  <c r="E66" i="10" s="1"/>
  <c r="H107" i="2"/>
  <c r="S96" i="2"/>
  <c r="R96" i="2"/>
  <c r="Z129" i="2"/>
  <c r="P129" i="2"/>
  <c r="AA129" i="2"/>
  <c r="AA130" i="2" s="1"/>
  <c r="AA131" i="2" s="1"/>
  <c r="E94" i="10" s="1"/>
  <c r="C90" i="8"/>
  <c r="D90" i="8"/>
  <c r="C79" i="8"/>
  <c r="E90" i="8"/>
  <c r="Y97" i="7"/>
  <c r="Y98" i="7" s="1"/>
  <c r="Y119" i="7"/>
  <c r="Y120" i="7" s="1"/>
  <c r="S97" i="7"/>
  <c r="S98" i="7" s="1"/>
  <c r="AA119" i="7"/>
  <c r="AA120" i="7" s="1"/>
  <c r="Q119" i="7"/>
  <c r="Q120" i="7" s="1"/>
  <c r="I97" i="7"/>
  <c r="I98" i="7" s="1"/>
  <c r="O97" i="7"/>
  <c r="O98" i="7" s="1"/>
  <c r="Q97" i="7"/>
  <c r="Q98" i="7" s="1"/>
  <c r="S108" i="7"/>
  <c r="S109" i="7" s="1"/>
  <c r="C97" i="7"/>
  <c r="C98" i="7" s="1"/>
  <c r="E30" i="15" s="1"/>
  <c r="S119" i="7"/>
  <c r="S120" i="7" s="1"/>
  <c r="G97" i="7"/>
  <c r="G98" i="7" s="1"/>
  <c r="M119" i="6"/>
  <c r="M120" i="6" s="1"/>
  <c r="Q108" i="6"/>
  <c r="Q109" i="6" s="1"/>
  <c r="Q110" i="6" s="1"/>
  <c r="Q111" i="6" s="1"/>
  <c r="Q112" i="6" s="1"/>
  <c r="Q113" i="6" s="1"/>
  <c r="M108" i="6"/>
  <c r="M109" i="6" s="1"/>
  <c r="K108" i="6"/>
  <c r="K109" i="6" s="1"/>
  <c r="U119" i="6"/>
  <c r="U120" i="6" s="1"/>
  <c r="U121" i="6" s="1"/>
  <c r="U122" i="6" s="1"/>
  <c r="U123" i="6" s="1"/>
  <c r="U124" i="6" s="1"/>
  <c r="C119" i="5"/>
  <c r="C120" i="5" s="1"/>
  <c r="C121" i="5" s="1"/>
  <c r="C122" i="5" s="1"/>
  <c r="C123" i="5" s="1"/>
  <c r="C124" i="5" s="1"/>
  <c r="U97" i="5"/>
  <c r="U98" i="5" s="1"/>
  <c r="U99" i="5" s="1"/>
  <c r="U100" i="5" s="1"/>
  <c r="U101" i="5" s="1"/>
  <c r="U102" i="5" s="1"/>
  <c r="S97" i="5"/>
  <c r="S98" i="5" s="1"/>
  <c r="S99" i="5" s="1"/>
  <c r="S100" i="5" s="1"/>
  <c r="S101" i="5" s="1"/>
  <c r="S102" i="5" s="1"/>
  <c r="Q108" i="4"/>
  <c r="Q109" i="4" s="1"/>
  <c r="Q110" i="4" s="1"/>
  <c r="Q111" i="4" s="1"/>
  <c r="Q112" i="4" s="1"/>
  <c r="Q113" i="4" s="1"/>
  <c r="K119" i="4"/>
  <c r="K120" i="4" s="1"/>
  <c r="S108" i="4"/>
  <c r="S109" i="4" s="1"/>
  <c r="S110" i="4" s="1"/>
  <c r="S111" i="4" s="1"/>
  <c r="S112" i="4" s="1"/>
  <c r="S113" i="4" s="1"/>
  <c r="C108" i="4"/>
  <c r="C109" i="4" s="1"/>
  <c r="C110" i="4" s="1"/>
  <c r="C111" i="4" s="1"/>
  <c r="C112" i="4" s="1"/>
  <c r="C113" i="4" s="1"/>
  <c r="Q108" i="3"/>
  <c r="Q109" i="3" s="1"/>
  <c r="Q110" i="3" s="1"/>
  <c r="Q111" i="3" s="1"/>
  <c r="Q112" i="3" s="1"/>
  <c r="Q113" i="3" s="1"/>
  <c r="I119" i="3"/>
  <c r="I120" i="3" s="1"/>
  <c r="I121" i="3" s="1"/>
  <c r="I122" i="3" s="1"/>
  <c r="I123" i="3" s="1"/>
  <c r="I124" i="3" s="1"/>
  <c r="O119" i="2"/>
  <c r="O120" i="2" s="1"/>
  <c r="E73" i="10" s="1"/>
  <c r="AC74" i="2"/>
  <c r="W108" i="7"/>
  <c r="W109" i="7" s="1"/>
  <c r="E52" i="15" s="1"/>
  <c r="AB87" i="2"/>
  <c r="AB88" i="2" s="1"/>
  <c r="AB89" i="2" s="1"/>
  <c r="O97" i="4"/>
  <c r="O98" i="4" s="1"/>
  <c r="E108" i="4"/>
  <c r="E109" i="4" s="1"/>
  <c r="E110" i="4" s="1"/>
  <c r="E111" i="4" s="1"/>
  <c r="E112" i="4" s="1"/>
  <c r="E113" i="4" s="1"/>
  <c r="G82" i="2"/>
  <c r="G83" i="2" s="1"/>
  <c r="G84" i="2" s="1"/>
  <c r="E130" i="2"/>
  <c r="E131" i="2" s="1"/>
  <c r="E83" i="10" s="1"/>
  <c r="V82" i="2"/>
  <c r="V83" i="2" s="1"/>
  <c r="V84" i="2" s="1"/>
  <c r="AC82" i="2"/>
  <c r="AC83" i="2" s="1"/>
  <c r="AC84" i="2" s="1"/>
  <c r="J31" i="10" s="1"/>
  <c r="K119" i="6"/>
  <c r="K120" i="6" s="1"/>
  <c r="K121" i="6" s="1"/>
  <c r="K122" i="6" s="1"/>
  <c r="K123" i="6" s="1"/>
  <c r="K124" i="6" s="1"/>
  <c r="I108" i="7"/>
  <c r="I109" i="7" s="1"/>
  <c r="E45" i="15" s="1"/>
  <c r="W97" i="4"/>
  <c r="W98" i="4" s="1"/>
  <c r="W99" i="4" s="1"/>
  <c r="W100" i="4" s="1"/>
  <c r="W101" i="4" s="1"/>
  <c r="W102" i="4" s="1"/>
  <c r="AC87" i="2"/>
  <c r="AC88" i="2" s="1"/>
  <c r="AC89" i="2" s="1"/>
  <c r="I28" i="18"/>
  <c r="AA119" i="2"/>
  <c r="AA120" i="2" s="1"/>
  <c r="E79" i="10" s="1"/>
  <c r="AB82" i="2"/>
  <c r="AB83" i="2" s="1"/>
  <c r="AB84" i="2" s="1"/>
  <c r="G130" i="2"/>
  <c r="G131" i="2" s="1"/>
  <c r="E84" i="10" s="1"/>
  <c r="M99" i="4"/>
  <c r="M100" i="4" s="1"/>
  <c r="M101" i="4" s="1"/>
  <c r="M102" i="4" s="1"/>
  <c r="F35" i="14"/>
  <c r="U121" i="4"/>
  <c r="U122" i="4" s="1"/>
  <c r="U123" i="4" s="1"/>
  <c r="U124" i="4" s="1"/>
  <c r="F63" i="14"/>
  <c r="S110" i="7"/>
  <c r="S111" i="7" s="1"/>
  <c r="S112" i="7" s="1"/>
  <c r="S113" i="7" s="1"/>
  <c r="E50" i="15"/>
  <c r="E121" i="4"/>
  <c r="E122" i="4" s="1"/>
  <c r="E123" i="4" s="1"/>
  <c r="E124" i="4" s="1"/>
  <c r="F55" i="14"/>
  <c r="I119" i="7"/>
  <c r="I120" i="7" s="1"/>
  <c r="Q108" i="7"/>
  <c r="Q109" i="7" s="1"/>
  <c r="M119" i="4"/>
  <c r="M120" i="4" s="1"/>
  <c r="F59" i="14" s="1"/>
  <c r="I119" i="4"/>
  <c r="I120" i="4" s="1"/>
  <c r="Q97" i="4"/>
  <c r="Q98" i="4" s="1"/>
  <c r="F37" i="14" s="1"/>
  <c r="Y108" i="4"/>
  <c r="Y109" i="4" s="1"/>
  <c r="F53" i="14" s="1"/>
  <c r="I119" i="6"/>
  <c r="I120" i="6" s="1"/>
  <c r="I121" i="6" s="1"/>
  <c r="I122" i="6" s="1"/>
  <c r="I123" i="6" s="1"/>
  <c r="I124" i="6" s="1"/>
  <c r="U119" i="7"/>
  <c r="U120" i="7" s="1"/>
  <c r="E63" i="15" s="1"/>
  <c r="G72" i="2"/>
  <c r="G73" i="2" s="1"/>
  <c r="G74" i="2" s="1"/>
  <c r="D72" i="2"/>
  <c r="D73" i="2" s="1"/>
  <c r="D74" i="2" s="1"/>
  <c r="C72" i="2"/>
  <c r="C99" i="8"/>
  <c r="C100" i="8" s="1"/>
  <c r="C101" i="8" s="1"/>
  <c r="C102" i="8" s="1"/>
  <c r="O108" i="7"/>
  <c r="O109" i="7" s="1"/>
  <c r="E97" i="7"/>
  <c r="E98" i="7" s="1"/>
  <c r="O119" i="6"/>
  <c r="O120" i="6" s="1"/>
  <c r="O121" i="6" s="1"/>
  <c r="O122" i="6" s="1"/>
  <c r="O123" i="6" s="1"/>
  <c r="O124" i="6" s="1"/>
  <c r="E97" i="6"/>
  <c r="E98" i="6" s="1"/>
  <c r="E99" i="6" s="1"/>
  <c r="E100" i="6" s="1"/>
  <c r="E101" i="6" s="1"/>
  <c r="E102" i="6" s="1"/>
  <c r="C121" i="6"/>
  <c r="C122" i="6" s="1"/>
  <c r="C123" i="6" s="1"/>
  <c r="C124" i="6" s="1"/>
  <c r="M110" i="6"/>
  <c r="M111" i="6" s="1"/>
  <c r="M112" i="6" s="1"/>
  <c r="M113" i="6" s="1"/>
  <c r="G121" i="6"/>
  <c r="G122" i="6" s="1"/>
  <c r="G123" i="6" s="1"/>
  <c r="G124" i="6" s="1"/>
  <c r="G99" i="6"/>
  <c r="G100" i="6" s="1"/>
  <c r="G101" i="6" s="1"/>
  <c r="G102" i="6" s="1"/>
  <c r="S110" i="6"/>
  <c r="S111" i="6" s="1"/>
  <c r="S112" i="6" s="1"/>
  <c r="S113" i="6" s="1"/>
  <c r="K99" i="6"/>
  <c r="K100" i="6" s="1"/>
  <c r="K101" i="6" s="1"/>
  <c r="K102" i="6" s="1"/>
  <c r="E121" i="6"/>
  <c r="E122" i="6" s="1"/>
  <c r="E123" i="6" s="1"/>
  <c r="E124" i="6" s="1"/>
  <c r="M99" i="6"/>
  <c r="M100" i="6" s="1"/>
  <c r="M101" i="6" s="1"/>
  <c r="M102" i="6" s="1"/>
  <c r="W108" i="6"/>
  <c r="W109" i="6" s="1"/>
  <c r="O99" i="6"/>
  <c r="O100" i="6" s="1"/>
  <c r="O101" i="6" s="1"/>
  <c r="O102" i="6" s="1"/>
  <c r="G110" i="6"/>
  <c r="G111" i="6" s="1"/>
  <c r="G112" i="6" s="1"/>
  <c r="G113" i="6" s="1"/>
  <c r="C110" i="6"/>
  <c r="C111" i="6" s="1"/>
  <c r="C112" i="6" s="1"/>
  <c r="C113" i="6" s="1"/>
  <c r="M121" i="6"/>
  <c r="M122" i="6" s="1"/>
  <c r="M123" i="6" s="1"/>
  <c r="M124" i="6" s="1"/>
  <c r="K110" i="6"/>
  <c r="K111" i="6" s="1"/>
  <c r="K112" i="6" s="1"/>
  <c r="K113" i="6" s="1"/>
  <c r="C97" i="6"/>
  <c r="C98" i="6" s="1"/>
  <c r="U110" i="6"/>
  <c r="U111" i="6" s="1"/>
  <c r="U112" i="6" s="1"/>
  <c r="U113" i="6" s="1"/>
  <c r="O110" i="6"/>
  <c r="O111" i="6" s="1"/>
  <c r="O112" i="6" s="1"/>
  <c r="O113" i="6" s="1"/>
  <c r="Q99" i="6"/>
  <c r="Q100" i="6" s="1"/>
  <c r="Q101" i="6" s="1"/>
  <c r="Q102" i="6" s="1"/>
  <c r="V87" i="2"/>
  <c r="V88" i="2" s="1"/>
  <c r="V89" i="2" s="1"/>
  <c r="Y119" i="2"/>
  <c r="Y120" i="2" s="1"/>
  <c r="E78" i="10" s="1"/>
  <c r="AC119" i="2"/>
  <c r="AC120" i="2" s="1"/>
  <c r="E80" i="10" s="1"/>
  <c r="Q121" i="4"/>
  <c r="Q122" i="4" s="1"/>
  <c r="Q123" i="4" s="1"/>
  <c r="Q124" i="4" s="1"/>
  <c r="K110" i="4"/>
  <c r="K111" i="4" s="1"/>
  <c r="K112" i="4" s="1"/>
  <c r="K113" i="4" s="1"/>
  <c r="S121" i="4"/>
  <c r="S122" i="4" s="1"/>
  <c r="S123" i="4" s="1"/>
  <c r="S124" i="4" s="1"/>
  <c r="AA82" i="2"/>
  <c r="AA83" i="2" s="1"/>
  <c r="AA84" i="2" s="1"/>
  <c r="S130" i="2"/>
  <c r="S131" i="2" s="1"/>
  <c r="E90" i="10" s="1"/>
  <c r="O108" i="2"/>
  <c r="O109" i="2" s="1"/>
  <c r="E58" i="10" s="1"/>
  <c r="K130" i="2"/>
  <c r="K131" i="2" s="1"/>
  <c r="E86" i="10" s="1"/>
  <c r="I119" i="2"/>
  <c r="I120" i="2" s="1"/>
  <c r="E70" i="10" s="1"/>
  <c r="AA87" i="2"/>
  <c r="AA88" i="2" s="1"/>
  <c r="AA89" i="2" s="1"/>
  <c r="AE82" i="2"/>
  <c r="AE83" i="2" s="1"/>
  <c r="AE84" i="2" s="1"/>
  <c r="U130" i="2"/>
  <c r="U131" i="2" s="1"/>
  <c r="E91" i="10" s="1"/>
  <c r="S119" i="2"/>
  <c r="S120" i="2" s="1"/>
  <c r="E75" i="10" s="1"/>
  <c r="Q119" i="2"/>
  <c r="Q120" i="2" s="1"/>
  <c r="E74" i="10" s="1"/>
  <c r="AE87" i="2"/>
  <c r="AE88" i="2" s="1"/>
  <c r="AE89" i="2" s="1"/>
  <c r="X74" i="2"/>
  <c r="AD74" i="2"/>
  <c r="P82" i="2"/>
  <c r="P83" i="2" s="1"/>
  <c r="P84" i="2" s="1"/>
  <c r="Q87" i="2"/>
  <c r="Q88" i="2" s="1"/>
  <c r="Q89" i="2" s="1"/>
  <c r="N87" i="2"/>
  <c r="N88" i="2" s="1"/>
  <c r="N89" i="2" s="1"/>
  <c r="F87" i="2"/>
  <c r="F88" i="2" s="1"/>
  <c r="F89" i="2" s="1"/>
  <c r="O87" i="2"/>
  <c r="O88" i="2" s="1"/>
  <c r="O89" i="2" s="1"/>
  <c r="D82" i="2"/>
  <c r="D83" i="2" s="1"/>
  <c r="D84" i="2" s="1"/>
  <c r="T87" i="2"/>
  <c r="T88" i="2" s="1"/>
  <c r="T89" i="2" s="1"/>
  <c r="AA72" i="2"/>
  <c r="AA73" i="2" s="1"/>
  <c r="Y87" i="2"/>
  <c r="Y88" i="2" s="1"/>
  <c r="Y89" i="2" s="1"/>
  <c r="S97" i="2"/>
  <c r="S98" i="2" s="1"/>
  <c r="E45" i="10" s="1"/>
  <c r="AB72" i="2"/>
  <c r="AB73" i="2" s="1"/>
  <c r="Q82" i="2"/>
  <c r="Q83" i="2" s="1"/>
  <c r="Q84" i="2" s="1"/>
  <c r="M108" i="2"/>
  <c r="M109" i="2" s="1"/>
  <c r="E57" i="10" s="1"/>
  <c r="J82" i="2"/>
  <c r="J83" i="2" s="1"/>
  <c r="J84" i="2" s="1"/>
  <c r="O82" i="2"/>
  <c r="O83" i="2" s="1"/>
  <c r="O84" i="2" s="1"/>
  <c r="D87" i="2"/>
  <c r="D88" i="2" s="1"/>
  <c r="D89" i="2" s="1"/>
  <c r="Z74" i="2"/>
  <c r="I82" i="2"/>
  <c r="I83" i="2" s="1"/>
  <c r="I84" i="2" s="1"/>
  <c r="M87" i="2"/>
  <c r="M88" i="2" s="1"/>
  <c r="M89" i="2" s="1"/>
  <c r="F82" i="2"/>
  <c r="F83" i="2" s="1"/>
  <c r="F84" i="2" s="1"/>
  <c r="O97" i="2"/>
  <c r="O98" i="2" s="1"/>
  <c r="E43" i="10" s="1"/>
  <c r="T82" i="2"/>
  <c r="T83" i="2" s="1"/>
  <c r="T84" i="2" s="1"/>
  <c r="Y82" i="2"/>
  <c r="Y83" i="2" s="1"/>
  <c r="Y84" i="2" s="1"/>
  <c r="AE72" i="2"/>
  <c r="AE73" i="2" s="1"/>
  <c r="K82" i="2"/>
  <c r="K83" i="2" s="1"/>
  <c r="K84" i="2" s="1"/>
  <c r="P87" i="2"/>
  <c r="P88" i="2" s="1"/>
  <c r="P89" i="2" s="1"/>
  <c r="E87" i="2"/>
  <c r="E88" i="2" s="1"/>
  <c r="E89" i="2" s="1"/>
  <c r="I87" i="2"/>
  <c r="I88" i="2" s="1"/>
  <c r="I89" i="2" s="1"/>
  <c r="E82" i="2"/>
  <c r="E83" i="2" s="1"/>
  <c r="E84" i="2" s="1"/>
  <c r="J87" i="2"/>
  <c r="J88" i="2" s="1"/>
  <c r="J89" i="2" s="1"/>
  <c r="M82" i="2"/>
  <c r="M83" i="2" s="1"/>
  <c r="M84" i="2" s="1"/>
  <c r="T72" i="2"/>
  <c r="T73" i="2" s="1"/>
  <c r="S74" i="2"/>
  <c r="Y72" i="2"/>
  <c r="Y73" i="2" s="1"/>
  <c r="L74" i="2"/>
  <c r="Q72" i="2"/>
  <c r="Q73" i="2" s="1"/>
  <c r="Q74" i="2" s="1"/>
  <c r="I74" i="2"/>
  <c r="J72" i="2"/>
  <c r="J73" i="2" s="1"/>
  <c r="J74" i="2" s="1"/>
  <c r="E72" i="2"/>
  <c r="E73" i="2" s="1"/>
  <c r="N82" i="2"/>
  <c r="N83" i="2" s="1"/>
  <c r="N84" i="2" s="1"/>
  <c r="H82" i="2"/>
  <c r="H83" i="2" s="1"/>
  <c r="H84" i="2" s="1"/>
  <c r="F72" i="2"/>
  <c r="F73" i="2" s="1"/>
  <c r="F74" i="2" s="1"/>
  <c r="K87" i="2"/>
  <c r="K88" i="2" s="1"/>
  <c r="K89" i="2" s="1"/>
  <c r="O72" i="2"/>
  <c r="O73" i="2" s="1"/>
  <c r="K72" i="2"/>
  <c r="K73" i="2" s="1"/>
  <c r="K74" i="2" s="1"/>
  <c r="P72" i="2"/>
  <c r="P73" i="2" s="1"/>
  <c r="N72" i="2"/>
  <c r="N73" i="2" s="1"/>
  <c r="H72" i="2"/>
  <c r="H73" i="2" s="1"/>
  <c r="R74" i="2"/>
  <c r="H87" i="2"/>
  <c r="H88" i="2" s="1"/>
  <c r="H89" i="2" s="1"/>
  <c r="M72" i="2"/>
  <c r="M73" i="2" s="1"/>
  <c r="N38" i="3" l="1"/>
  <c r="P90" i="3"/>
  <c r="L18" i="11"/>
  <c r="N20" i="3"/>
  <c r="P75" i="3"/>
  <c r="F18" i="11"/>
  <c r="N32" i="3"/>
  <c r="P85" i="3"/>
  <c r="J18" i="11"/>
  <c r="N26" i="3"/>
  <c r="P80" i="3"/>
  <c r="H18" i="11"/>
  <c r="C88" i="2"/>
  <c r="N36" i="2"/>
  <c r="C83" i="2"/>
  <c r="N30" i="2"/>
  <c r="C73" i="2"/>
  <c r="N18" i="2"/>
  <c r="C78" i="2"/>
  <c r="N24" i="2"/>
  <c r="E49" i="11"/>
  <c r="AC75" i="2"/>
  <c r="G31" i="10" s="1"/>
  <c r="P31" i="10" s="1"/>
  <c r="F31" i="10"/>
  <c r="M85" i="2"/>
  <c r="K15" i="10" s="1"/>
  <c r="R15" i="10" s="1"/>
  <c r="J15" i="10"/>
  <c r="AA90" i="2"/>
  <c r="M29" i="10" s="1"/>
  <c r="S29" i="10" s="1"/>
  <c r="L29" i="10"/>
  <c r="J75" i="2"/>
  <c r="G12" i="10" s="1"/>
  <c r="P12" i="10" s="1"/>
  <c r="F12" i="10"/>
  <c r="J90" i="2"/>
  <c r="M12" i="10" s="1"/>
  <c r="S12" i="10" s="1"/>
  <c r="L12" i="10"/>
  <c r="T85" i="2"/>
  <c r="J22" i="10"/>
  <c r="O85" i="2"/>
  <c r="K17" i="10" s="1"/>
  <c r="R17" i="10" s="1"/>
  <c r="J17" i="10"/>
  <c r="T90" i="2"/>
  <c r="M22" i="10" s="1"/>
  <c r="S22" i="10" s="1"/>
  <c r="L22" i="10"/>
  <c r="AD75" i="2"/>
  <c r="G32" i="10" s="1"/>
  <c r="P32" i="10" s="1"/>
  <c r="F32" i="10"/>
  <c r="I75" i="2"/>
  <c r="G11" i="10" s="1"/>
  <c r="P11" i="10" s="1"/>
  <c r="F11" i="10"/>
  <c r="I90" i="2"/>
  <c r="M11" i="10" s="1"/>
  <c r="S11" i="10" s="1"/>
  <c r="L11" i="10"/>
  <c r="E90" i="2"/>
  <c r="M7" i="10" s="1"/>
  <c r="S7" i="10" s="1"/>
  <c r="L7" i="10"/>
  <c r="E85" i="2"/>
  <c r="K7" i="10" s="1"/>
  <c r="R7" i="10" s="1"/>
  <c r="J7" i="10"/>
  <c r="J85" i="2"/>
  <c r="K12" i="10" s="1"/>
  <c r="R12" i="10" s="1"/>
  <c r="J12" i="10"/>
  <c r="X75" i="2"/>
  <c r="G26" i="10" s="1"/>
  <c r="P26" i="10" s="1"/>
  <c r="F26" i="10"/>
  <c r="AB85" i="2"/>
  <c r="K30" i="10" s="1"/>
  <c r="R30" i="10" s="1"/>
  <c r="J30" i="10"/>
  <c r="V90" i="2"/>
  <c r="M24" i="10" s="1"/>
  <c r="S24" i="10" s="1"/>
  <c r="L24" i="10"/>
  <c r="AC90" i="2"/>
  <c r="M31" i="10" s="1"/>
  <c r="S31" i="10" s="1"/>
  <c r="L31" i="10"/>
  <c r="G85" i="2"/>
  <c r="K9" i="10" s="1"/>
  <c r="R9" i="10" s="1"/>
  <c r="J9" i="10"/>
  <c r="F75" i="2"/>
  <c r="G8" i="10" s="1"/>
  <c r="P8" i="10" s="1"/>
  <c r="F8" i="10"/>
  <c r="I85" i="2"/>
  <c r="K11" i="10" s="1"/>
  <c r="R11" i="10" s="1"/>
  <c r="J11" i="10"/>
  <c r="D75" i="2"/>
  <c r="G6" i="10" s="1"/>
  <c r="P6" i="10" s="1"/>
  <c r="F6" i="10"/>
  <c r="Q75" i="2"/>
  <c r="G19" i="10" s="1"/>
  <c r="P19" i="10" s="1"/>
  <c r="F19" i="10"/>
  <c r="F85" i="2"/>
  <c r="K8" i="10" s="1"/>
  <c r="R8" i="10" s="1"/>
  <c r="J8" i="10"/>
  <c r="O90" i="2"/>
  <c r="M17" i="10" s="1"/>
  <c r="S17" i="10" s="1"/>
  <c r="L17" i="10"/>
  <c r="AE90" i="2"/>
  <c r="M33" i="10" s="1"/>
  <c r="S33" i="10" s="1"/>
  <c r="L33" i="10"/>
  <c r="K90" i="2"/>
  <c r="M13" i="10" s="1"/>
  <c r="S13" i="10" s="1"/>
  <c r="L13" i="10"/>
  <c r="L75" i="2"/>
  <c r="G14" i="10" s="1"/>
  <c r="P14" i="10" s="1"/>
  <c r="F14" i="10"/>
  <c r="M90" i="2"/>
  <c r="M15" i="10" s="1"/>
  <c r="S15" i="10" s="1"/>
  <c r="L15" i="10"/>
  <c r="Q85" i="2"/>
  <c r="J19" i="10"/>
  <c r="F90" i="2"/>
  <c r="M8" i="10" s="1"/>
  <c r="S8" i="10" s="1"/>
  <c r="L8" i="10"/>
  <c r="H90" i="2"/>
  <c r="M10" i="10" s="1"/>
  <c r="S10" i="10" s="1"/>
  <c r="L10" i="10"/>
  <c r="P90" i="2"/>
  <c r="M18" i="10" s="1"/>
  <c r="S18" i="10" s="1"/>
  <c r="L18" i="10"/>
  <c r="N90" i="2"/>
  <c r="M16" i="10" s="1"/>
  <c r="S16" i="10" s="1"/>
  <c r="L16" i="10"/>
  <c r="R75" i="2"/>
  <c r="G20" i="10" s="1"/>
  <c r="P20" i="10" s="1"/>
  <c r="F20" i="10"/>
  <c r="H85" i="2"/>
  <c r="K10" i="10" s="1"/>
  <c r="R10" i="10" s="1"/>
  <c r="J10" i="10"/>
  <c r="S75" i="2"/>
  <c r="G21" i="10" s="1"/>
  <c r="P21" i="10" s="1"/>
  <c r="F21" i="10"/>
  <c r="K85" i="2"/>
  <c r="J13" i="10"/>
  <c r="Z75" i="2"/>
  <c r="G28" i="10" s="1"/>
  <c r="P28" i="10" s="1"/>
  <c r="F28" i="10"/>
  <c r="Q90" i="2"/>
  <c r="M19" i="10" s="1"/>
  <c r="S19" i="10" s="1"/>
  <c r="L19" i="10"/>
  <c r="N85" i="2"/>
  <c r="K16" i="10" s="1"/>
  <c r="R16" i="10" s="1"/>
  <c r="J16" i="10"/>
  <c r="D90" i="2"/>
  <c r="M6" i="10" s="1"/>
  <c r="S6" i="10" s="1"/>
  <c r="L6" i="10"/>
  <c r="Y90" i="2"/>
  <c r="M27" i="10" s="1"/>
  <c r="S27" i="10" s="1"/>
  <c r="L27" i="10"/>
  <c r="AE85" i="2"/>
  <c r="J33" i="10"/>
  <c r="AA85" i="2"/>
  <c r="J29" i="10"/>
  <c r="G75" i="2"/>
  <c r="G9" i="10" s="1"/>
  <c r="P9" i="10" s="1"/>
  <c r="F9" i="10"/>
  <c r="K75" i="2"/>
  <c r="G13" i="10" s="1"/>
  <c r="P13" i="10" s="1"/>
  <c r="F13" i="10"/>
  <c r="D85" i="2"/>
  <c r="K6" i="10" s="1"/>
  <c r="R6" i="10" s="1"/>
  <c r="J6" i="10"/>
  <c r="V85" i="2"/>
  <c r="K24" i="10" s="1"/>
  <c r="R24" i="10" s="1"/>
  <c r="J24" i="10"/>
  <c r="Y85" i="2"/>
  <c r="K27" i="10" s="1"/>
  <c r="R27" i="10" s="1"/>
  <c r="J27" i="10"/>
  <c r="P85" i="2"/>
  <c r="K18" i="10" s="1"/>
  <c r="R18" i="10" s="1"/>
  <c r="J18" i="10"/>
  <c r="AB90" i="2"/>
  <c r="M30" i="10" s="1"/>
  <c r="S30" i="10" s="1"/>
  <c r="L30" i="10"/>
  <c r="C80" i="8"/>
  <c r="K97" i="7"/>
  <c r="K98" i="7" s="1"/>
  <c r="G108" i="7"/>
  <c r="G109" i="7" s="1"/>
  <c r="C99" i="7"/>
  <c r="C100" i="7" s="1"/>
  <c r="C101" i="7" s="1"/>
  <c r="C102" i="7" s="1"/>
  <c r="G30" i="15" s="1"/>
  <c r="O119" i="7"/>
  <c r="O120" i="7" s="1"/>
  <c r="W119" i="7"/>
  <c r="W120" i="7" s="1"/>
  <c r="G119" i="7"/>
  <c r="G120" i="7" s="1"/>
  <c r="E41" i="15"/>
  <c r="Y99" i="7"/>
  <c r="Y100" i="7" s="1"/>
  <c r="Y101" i="7" s="1"/>
  <c r="Y102" i="7" s="1"/>
  <c r="E61" i="15"/>
  <c r="Q121" i="7"/>
  <c r="Q122" i="7" s="1"/>
  <c r="Q123" i="7" s="1"/>
  <c r="F61" i="15" s="1"/>
  <c r="E38" i="15"/>
  <c r="S99" i="7"/>
  <c r="S100" i="7" s="1"/>
  <c r="S101" i="7" s="1"/>
  <c r="S102" i="7" s="1"/>
  <c r="E34" i="15"/>
  <c r="K99" i="7"/>
  <c r="K100" i="7" s="1"/>
  <c r="K101" i="7" s="1"/>
  <c r="K102" i="7" s="1"/>
  <c r="AA121" i="7"/>
  <c r="AA122" i="7" s="1"/>
  <c r="AA123" i="7" s="1"/>
  <c r="AA124" i="7" s="1"/>
  <c r="E66" i="15"/>
  <c r="G99" i="7"/>
  <c r="G100" i="7" s="1"/>
  <c r="G101" i="7" s="1"/>
  <c r="G102" i="7" s="1"/>
  <c r="E32" i="15"/>
  <c r="E36" i="15"/>
  <c r="O99" i="7"/>
  <c r="O100" i="7" s="1"/>
  <c r="O101" i="7" s="1"/>
  <c r="O102" i="7" s="1"/>
  <c r="G36" i="15" s="1"/>
  <c r="I99" i="7"/>
  <c r="I100" i="7" s="1"/>
  <c r="I101" i="7" s="1"/>
  <c r="I102" i="7" s="1"/>
  <c r="E33" i="15"/>
  <c r="E65" i="15"/>
  <c r="Y121" i="7"/>
  <c r="Y122" i="7" s="1"/>
  <c r="Y123" i="7" s="1"/>
  <c r="Y124" i="7" s="1"/>
  <c r="G65" i="15" s="1"/>
  <c r="Q99" i="7"/>
  <c r="Q100" i="7" s="1"/>
  <c r="Q101" i="7" s="1"/>
  <c r="Q102" i="7" s="1"/>
  <c r="G37" i="15" s="1"/>
  <c r="E37" i="15"/>
  <c r="M97" i="7"/>
  <c r="M98" i="7" s="1"/>
  <c r="E62" i="15"/>
  <c r="S121" i="7"/>
  <c r="S122" i="7" s="1"/>
  <c r="S123" i="7" s="1"/>
  <c r="U97" i="7"/>
  <c r="U98" i="7" s="1"/>
  <c r="AC119" i="7"/>
  <c r="AC120" i="7" s="1"/>
  <c r="E119" i="7"/>
  <c r="E120" i="7" s="1"/>
  <c r="C108" i="7"/>
  <c r="C109" i="7" s="1"/>
  <c r="E108" i="7"/>
  <c r="E109" i="7" s="1"/>
  <c r="F49" i="14"/>
  <c r="F50" i="14"/>
  <c r="C119" i="4"/>
  <c r="C120" i="4" s="1"/>
  <c r="F42" i="14"/>
  <c r="K121" i="4"/>
  <c r="K122" i="4" s="1"/>
  <c r="K123" i="4" s="1"/>
  <c r="K124" i="4" s="1"/>
  <c r="F58" i="14"/>
  <c r="U97" i="4"/>
  <c r="U98" i="4" s="1"/>
  <c r="S97" i="4"/>
  <c r="S98" i="4" s="1"/>
  <c r="S99" i="4" s="1"/>
  <c r="S100" i="4" s="1"/>
  <c r="S101" i="4" s="1"/>
  <c r="S102" i="4" s="1"/>
  <c r="Y97" i="4"/>
  <c r="Y98" i="4" s="1"/>
  <c r="I108" i="4"/>
  <c r="I109" i="4" s="1"/>
  <c r="I110" i="4" s="1"/>
  <c r="I111" i="4" s="1"/>
  <c r="I112" i="4" s="1"/>
  <c r="I113" i="4" s="1"/>
  <c r="U108" i="4"/>
  <c r="U109" i="4" s="1"/>
  <c r="M108" i="4"/>
  <c r="M109" i="4" s="1"/>
  <c r="W108" i="4"/>
  <c r="W109" i="4" s="1"/>
  <c r="W110" i="4" s="1"/>
  <c r="W111" i="4" s="1"/>
  <c r="W112" i="4" s="1"/>
  <c r="W113" i="4" s="1"/>
  <c r="G119" i="4"/>
  <c r="G120" i="4" s="1"/>
  <c r="O119" i="4"/>
  <c r="O120" i="4" s="1"/>
  <c r="O108" i="4"/>
  <c r="O109" i="4" s="1"/>
  <c r="O121" i="2"/>
  <c r="O122" i="2" s="1"/>
  <c r="O123" i="2" s="1"/>
  <c r="O124" i="2" s="1"/>
  <c r="G73" i="10" s="1"/>
  <c r="I73" i="10" s="1"/>
  <c r="E58" i="11"/>
  <c r="G108" i="3"/>
  <c r="G109" i="3" s="1"/>
  <c r="E44" i="11" s="1"/>
  <c r="I108" i="2"/>
  <c r="I109" i="2" s="1"/>
  <c r="E55" i="10" s="1"/>
  <c r="Y108" i="2"/>
  <c r="Y109" i="2" s="1"/>
  <c r="E63" i="10" s="1"/>
  <c r="K108" i="2"/>
  <c r="K109" i="2" s="1"/>
  <c r="E56" i="10" s="1"/>
  <c r="Y97" i="2"/>
  <c r="Y98" i="2" s="1"/>
  <c r="E48" i="10" s="1"/>
  <c r="M130" i="2"/>
  <c r="M131" i="2" s="1"/>
  <c r="W97" i="2"/>
  <c r="W98" i="2" s="1"/>
  <c r="E47" i="10" s="1"/>
  <c r="Q108" i="2"/>
  <c r="Q109" i="2" s="1"/>
  <c r="E59" i="10" s="1"/>
  <c r="W108" i="2"/>
  <c r="W109" i="2" s="1"/>
  <c r="E62" i="10" s="1"/>
  <c r="AE97" i="2"/>
  <c r="AE98" i="2" s="1"/>
  <c r="E51" i="10" s="1"/>
  <c r="C119" i="2"/>
  <c r="C120" i="2" s="1"/>
  <c r="E67" i="10" s="1"/>
  <c r="U97" i="2"/>
  <c r="U98" i="2" s="1"/>
  <c r="E46" i="10" s="1"/>
  <c r="AA132" i="2"/>
  <c r="AA133" i="2" s="1"/>
  <c r="AA134" i="2" s="1"/>
  <c r="AA135" i="2" s="1"/>
  <c r="G94" i="10" s="1"/>
  <c r="I94" i="10" s="1"/>
  <c r="W110" i="7"/>
  <c r="W111" i="7" s="1"/>
  <c r="W112" i="7" s="1"/>
  <c r="W113" i="7" s="1"/>
  <c r="E132" i="2"/>
  <c r="E133" i="2" s="1"/>
  <c r="E134" i="2" s="1"/>
  <c r="E135" i="2" s="1"/>
  <c r="G83" i="10" s="1"/>
  <c r="I83" i="10" s="1"/>
  <c r="F43" i="14"/>
  <c r="F38" i="14"/>
  <c r="Y130" i="2"/>
  <c r="Y131" i="2" s="1"/>
  <c r="E93" i="10" s="1"/>
  <c r="F30" i="15"/>
  <c r="I110" i="7"/>
  <c r="I111" i="7" s="1"/>
  <c r="I112" i="7" s="1"/>
  <c r="I113" i="7" s="1"/>
  <c r="Q97" i="2"/>
  <c r="Q98" i="2" s="1"/>
  <c r="E44" i="10" s="1"/>
  <c r="O130" i="2"/>
  <c r="O131" i="2" s="1"/>
  <c r="E88" i="10" s="1"/>
  <c r="AC85" i="2"/>
  <c r="K31" i="10" s="1"/>
  <c r="R31" i="10" s="1"/>
  <c r="F40" i="14"/>
  <c r="M121" i="4"/>
  <c r="M122" i="4" s="1"/>
  <c r="M123" i="4" s="1"/>
  <c r="M124" i="4" s="1"/>
  <c r="Y110" i="4"/>
  <c r="Y111" i="4" s="1"/>
  <c r="Y112" i="4" s="1"/>
  <c r="Y113" i="4" s="1"/>
  <c r="Q99" i="4"/>
  <c r="Q100" i="4" s="1"/>
  <c r="Q101" i="4" s="1"/>
  <c r="Q102" i="4" s="1"/>
  <c r="F73" i="10"/>
  <c r="AA121" i="2"/>
  <c r="AA122" i="2" s="1"/>
  <c r="AA123" i="2" s="1"/>
  <c r="AA124" i="2" s="1"/>
  <c r="G132" i="2"/>
  <c r="G133" i="2" s="1"/>
  <c r="G134" i="2" s="1"/>
  <c r="G135" i="2" s="1"/>
  <c r="C97" i="2"/>
  <c r="C98" i="2" s="1"/>
  <c r="E37" i="10" s="1"/>
  <c r="U121" i="7"/>
  <c r="U122" i="7" s="1"/>
  <c r="U123" i="7" s="1"/>
  <c r="U124" i="7" s="1"/>
  <c r="G46" i="14"/>
  <c r="O121" i="7"/>
  <c r="O122" i="7" s="1"/>
  <c r="O123" i="7" s="1"/>
  <c r="O124" i="7" s="1"/>
  <c r="E60" i="15"/>
  <c r="C121" i="4"/>
  <c r="C122" i="4" s="1"/>
  <c r="C123" i="4" s="1"/>
  <c r="C124" i="4" s="1"/>
  <c r="F54" i="14"/>
  <c r="I121" i="7"/>
  <c r="I122" i="7" s="1"/>
  <c r="I123" i="7" s="1"/>
  <c r="I124" i="7" s="1"/>
  <c r="E57" i="15"/>
  <c r="G63" i="14"/>
  <c r="F34" i="15"/>
  <c r="G61" i="14"/>
  <c r="E99" i="7"/>
  <c r="E100" i="7" s="1"/>
  <c r="E101" i="7" s="1"/>
  <c r="E102" i="7" s="1"/>
  <c r="E31" i="15"/>
  <c r="G121" i="7"/>
  <c r="G122" i="7" s="1"/>
  <c r="G123" i="7" s="1"/>
  <c r="G124" i="7" s="1"/>
  <c r="E56" i="15"/>
  <c r="G43" i="14"/>
  <c r="F41" i="15"/>
  <c r="F32" i="15"/>
  <c r="G66" i="15"/>
  <c r="G55" i="14"/>
  <c r="G50" i="14"/>
  <c r="O110" i="7"/>
  <c r="O111" i="7" s="1"/>
  <c r="O112" i="7" s="1"/>
  <c r="O113" i="7" s="1"/>
  <c r="E48" i="15"/>
  <c r="F52" i="14"/>
  <c r="G58" i="14"/>
  <c r="O99" i="4"/>
  <c r="O100" i="4" s="1"/>
  <c r="O101" i="4" s="1"/>
  <c r="O102" i="4" s="1"/>
  <c r="F36" i="14"/>
  <c r="G40" i="14"/>
  <c r="G49" i="14"/>
  <c r="G42" i="14"/>
  <c r="G58" i="11"/>
  <c r="I58" i="11" s="1"/>
  <c r="F58" i="11"/>
  <c r="G49" i="11"/>
  <c r="I49" i="11" s="1"/>
  <c r="F49" i="11"/>
  <c r="G62" i="14"/>
  <c r="I121" i="4"/>
  <c r="I122" i="4" s="1"/>
  <c r="I123" i="4" s="1"/>
  <c r="I124" i="4" s="1"/>
  <c r="F57" i="14"/>
  <c r="Q110" i="7"/>
  <c r="Q111" i="7" s="1"/>
  <c r="Q112" i="7" s="1"/>
  <c r="Q113" i="7" s="1"/>
  <c r="E49" i="15"/>
  <c r="G38" i="14"/>
  <c r="F50" i="15"/>
  <c r="G35" i="14"/>
  <c r="G119" i="3"/>
  <c r="G120" i="3" s="1"/>
  <c r="C119" i="3"/>
  <c r="C120" i="3" s="1"/>
  <c r="AA108" i="3"/>
  <c r="AA109" i="3" s="1"/>
  <c r="K119" i="3"/>
  <c r="K120" i="3" s="1"/>
  <c r="U119" i="3"/>
  <c r="U120" i="3" s="1"/>
  <c r="Y97" i="3"/>
  <c r="Y98" i="3" s="1"/>
  <c r="K97" i="3"/>
  <c r="K98" i="3" s="1"/>
  <c r="O97" i="3"/>
  <c r="O98" i="3" s="1"/>
  <c r="S97" i="3"/>
  <c r="S98" i="3" s="1"/>
  <c r="G97" i="3"/>
  <c r="G98" i="3" s="1"/>
  <c r="M108" i="3"/>
  <c r="M109" i="3" s="1"/>
  <c r="U108" i="7"/>
  <c r="U109" i="7" s="1"/>
  <c r="S121" i="2"/>
  <c r="S122" i="2" s="1"/>
  <c r="S123" i="2" s="1"/>
  <c r="S124" i="2" s="1"/>
  <c r="W132" i="2"/>
  <c r="W133" i="2" s="1"/>
  <c r="W134" i="2" s="1"/>
  <c r="W135" i="2" s="1"/>
  <c r="S132" i="2"/>
  <c r="S133" i="2" s="1"/>
  <c r="S134" i="2" s="1"/>
  <c r="S135" i="2" s="1"/>
  <c r="I121" i="2"/>
  <c r="I122" i="2" s="1"/>
  <c r="I123" i="2" s="1"/>
  <c r="I124" i="2" s="1"/>
  <c r="AE110" i="2"/>
  <c r="AE111" i="2" s="1"/>
  <c r="AE112" i="2" s="1"/>
  <c r="AE113" i="2" s="1"/>
  <c r="AC121" i="2"/>
  <c r="AC122" i="2" s="1"/>
  <c r="AC123" i="2" s="1"/>
  <c r="AC124" i="2" s="1"/>
  <c r="M110" i="2"/>
  <c r="M111" i="2" s="1"/>
  <c r="M112" i="2" s="1"/>
  <c r="M113" i="2" s="1"/>
  <c r="K132" i="2"/>
  <c r="K133" i="2" s="1"/>
  <c r="K134" i="2" s="1"/>
  <c r="K135" i="2" s="1"/>
  <c r="K121" i="2"/>
  <c r="K122" i="2" s="1"/>
  <c r="K123" i="2" s="1"/>
  <c r="K124" i="2" s="1"/>
  <c r="Y121" i="2"/>
  <c r="Y122" i="2" s="1"/>
  <c r="Y123" i="2" s="1"/>
  <c r="Y124" i="2" s="1"/>
  <c r="U132" i="2"/>
  <c r="U133" i="2" s="1"/>
  <c r="U134" i="2" s="1"/>
  <c r="U135" i="2" s="1"/>
  <c r="AA110" i="2"/>
  <c r="AA111" i="2" s="1"/>
  <c r="AA112" i="2" s="1"/>
  <c r="AA113" i="2" s="1"/>
  <c r="O99" i="2"/>
  <c r="O100" i="2" s="1"/>
  <c r="O101" i="2" s="1"/>
  <c r="O102" i="2" s="1"/>
  <c r="S99" i="2"/>
  <c r="S100" i="2" s="1"/>
  <c r="S101" i="2" s="1"/>
  <c r="S102" i="2" s="1"/>
  <c r="Q121" i="2"/>
  <c r="Q122" i="2" s="1"/>
  <c r="Q123" i="2" s="1"/>
  <c r="Q124" i="2" s="1"/>
  <c r="O110" i="2"/>
  <c r="O111" i="2" s="1"/>
  <c r="O112" i="2" s="1"/>
  <c r="O113" i="2" s="1"/>
  <c r="E97" i="2"/>
  <c r="E98" i="2" s="1"/>
  <c r="E38" i="10" s="1"/>
  <c r="C99" i="6"/>
  <c r="C100" i="6" s="1"/>
  <c r="C101" i="6" s="1"/>
  <c r="C102" i="6" s="1"/>
  <c r="W110" i="6"/>
  <c r="W111" i="6" s="1"/>
  <c r="W112" i="6" s="1"/>
  <c r="W113" i="6" s="1"/>
  <c r="AE119" i="2"/>
  <c r="AE120" i="2" s="1"/>
  <c r="E81" i="10" s="1"/>
  <c r="E119" i="2"/>
  <c r="E120" i="2" s="1"/>
  <c r="E68" i="10" s="1"/>
  <c r="S108" i="2"/>
  <c r="S109" i="2" s="1"/>
  <c r="E60" i="10" s="1"/>
  <c r="AC108" i="2"/>
  <c r="AC109" i="2" s="1"/>
  <c r="E65" i="10" s="1"/>
  <c r="AB74" i="2"/>
  <c r="G108" i="2"/>
  <c r="G109" i="2" s="1"/>
  <c r="E54" i="10" s="1"/>
  <c r="H74" i="2"/>
  <c r="M97" i="2"/>
  <c r="M98" i="2" s="1"/>
  <c r="E42" i="10" s="1"/>
  <c r="AA97" i="2"/>
  <c r="AA98" i="2" s="1"/>
  <c r="E49" i="10" s="1"/>
  <c r="I110" i="2"/>
  <c r="I111" i="2" s="1"/>
  <c r="I112" i="2" s="1"/>
  <c r="I113" i="2" s="1"/>
  <c r="P74" i="2"/>
  <c r="G97" i="2"/>
  <c r="G98" i="2" s="1"/>
  <c r="E39" i="10" s="1"/>
  <c r="U108" i="2"/>
  <c r="U109" i="2" s="1"/>
  <c r="E61" i="10" s="1"/>
  <c r="O74" i="2"/>
  <c r="C108" i="2"/>
  <c r="C109" i="2" s="1"/>
  <c r="E52" i="10" s="1"/>
  <c r="Y74" i="2"/>
  <c r="T74" i="2"/>
  <c r="AA74" i="2"/>
  <c r="AC97" i="2"/>
  <c r="AC98" i="2" s="1"/>
  <c r="E50" i="10" s="1"/>
  <c r="I97" i="2"/>
  <c r="I98" i="2" s="1"/>
  <c r="E40" i="10" s="1"/>
  <c r="AE74" i="2"/>
  <c r="E74" i="2"/>
  <c r="N74" i="2"/>
  <c r="M74" i="2"/>
  <c r="K18" i="11" l="1"/>
  <c r="R18" i="11" s="1"/>
  <c r="N33" i="3"/>
  <c r="G18" i="11"/>
  <c r="P18" i="11" s="1"/>
  <c r="N21" i="3"/>
  <c r="I18" i="11"/>
  <c r="Q18" i="11" s="1"/>
  <c r="N27" i="3"/>
  <c r="M18" i="11"/>
  <c r="S18" i="11" s="1"/>
  <c r="N39" i="3"/>
  <c r="C79" i="2"/>
  <c r="N25" i="2"/>
  <c r="C74" i="2"/>
  <c r="N19" i="2"/>
  <c r="C84" i="2"/>
  <c r="N31" i="2"/>
  <c r="C89" i="2"/>
  <c r="N37" i="2"/>
  <c r="AA75" i="2"/>
  <c r="G29" i="10" s="1"/>
  <c r="P29" i="10" s="1"/>
  <c r="F29" i="10"/>
  <c r="N75" i="2"/>
  <c r="G16" i="10" s="1"/>
  <c r="P16" i="10" s="1"/>
  <c r="F16" i="10"/>
  <c r="H75" i="2"/>
  <c r="G10" i="10" s="1"/>
  <c r="P10" i="10" s="1"/>
  <c r="F10" i="10"/>
  <c r="I130" i="2"/>
  <c r="I131" i="2" s="1"/>
  <c r="K29" i="10"/>
  <c r="R29" i="10" s="1"/>
  <c r="C130" i="2"/>
  <c r="C131" i="2" s="1"/>
  <c r="K33" i="10"/>
  <c r="R33" i="10" s="1"/>
  <c r="P75" i="2"/>
  <c r="G18" i="10" s="1"/>
  <c r="P18" i="10" s="1"/>
  <c r="F18" i="10"/>
  <c r="U119" i="2"/>
  <c r="U120" i="2" s="1"/>
  <c r="K22" i="10"/>
  <c r="R22" i="10" s="1"/>
  <c r="AE75" i="2"/>
  <c r="G33" i="10" s="1"/>
  <c r="P33" i="10" s="1"/>
  <c r="F33" i="10"/>
  <c r="AB75" i="2"/>
  <c r="G30" i="10" s="1"/>
  <c r="P30" i="10" s="1"/>
  <c r="F30" i="10"/>
  <c r="T75" i="2"/>
  <c r="G22" i="10" s="1"/>
  <c r="P22" i="10" s="1"/>
  <c r="F22" i="10"/>
  <c r="K110" i="2"/>
  <c r="K111" i="2" s="1"/>
  <c r="K112" i="2" s="1"/>
  <c r="K113" i="2" s="1"/>
  <c r="E75" i="2"/>
  <c r="G7" i="10" s="1"/>
  <c r="P7" i="10" s="1"/>
  <c r="F7" i="10"/>
  <c r="O75" i="2"/>
  <c r="G17" i="10" s="1"/>
  <c r="P17" i="10" s="1"/>
  <c r="F17" i="10"/>
  <c r="M75" i="2"/>
  <c r="G15" i="10" s="1"/>
  <c r="P15" i="10" s="1"/>
  <c r="F15" i="10"/>
  <c r="Y75" i="2"/>
  <c r="G27" i="10" s="1"/>
  <c r="P27" i="10" s="1"/>
  <c r="F27" i="10"/>
  <c r="E108" i="2"/>
  <c r="E109" i="2" s="1"/>
  <c r="K13" i="10"/>
  <c r="R13" i="10" s="1"/>
  <c r="G119" i="2"/>
  <c r="G120" i="2" s="1"/>
  <c r="K19" i="10"/>
  <c r="R19" i="10" s="1"/>
  <c r="Q124" i="7"/>
  <c r="G61" i="15" s="1"/>
  <c r="F37" i="15"/>
  <c r="F65" i="15"/>
  <c r="W121" i="7"/>
  <c r="W122" i="7" s="1"/>
  <c r="W123" i="7" s="1"/>
  <c r="W124" i="7" s="1"/>
  <c r="E64" i="15"/>
  <c r="E44" i="15"/>
  <c r="G110" i="7"/>
  <c r="G111" i="7" s="1"/>
  <c r="G112" i="7" s="1"/>
  <c r="G113" i="7" s="1"/>
  <c r="F66" i="15"/>
  <c r="F33" i="15"/>
  <c r="F52" i="15"/>
  <c r="W97" i="7"/>
  <c r="W98" i="7" s="1"/>
  <c r="E40" i="15" s="1"/>
  <c r="F36" i="15"/>
  <c r="F38" i="15"/>
  <c r="E67" i="15"/>
  <c r="AC121" i="7"/>
  <c r="AC122" i="7" s="1"/>
  <c r="AC123" i="7" s="1"/>
  <c r="E55" i="15"/>
  <c r="E121" i="7"/>
  <c r="E122" i="7" s="1"/>
  <c r="E123" i="7" s="1"/>
  <c r="E42" i="15"/>
  <c r="C110" i="7"/>
  <c r="C111" i="7" s="1"/>
  <c r="C112" i="7" s="1"/>
  <c r="S124" i="7"/>
  <c r="F62" i="15"/>
  <c r="M119" i="7"/>
  <c r="M120" i="7" s="1"/>
  <c r="K119" i="7"/>
  <c r="K120" i="7" s="1"/>
  <c r="M99" i="7"/>
  <c r="M100" i="7" s="1"/>
  <c r="M101" i="7" s="1"/>
  <c r="E35" i="15"/>
  <c r="M108" i="7"/>
  <c r="M109" i="7" s="1"/>
  <c r="K108" i="7"/>
  <c r="K109" i="7" s="1"/>
  <c r="U99" i="7"/>
  <c r="U100" i="7" s="1"/>
  <c r="U101" i="7" s="1"/>
  <c r="E39" i="15"/>
  <c r="E110" i="7"/>
  <c r="E111" i="7" s="1"/>
  <c r="E112" i="7" s="1"/>
  <c r="E43" i="15"/>
  <c r="F45" i="14"/>
  <c r="G108" i="4"/>
  <c r="G109" i="4" s="1"/>
  <c r="U110" i="4"/>
  <c r="U111" i="4" s="1"/>
  <c r="U112" i="4" s="1"/>
  <c r="F51" i="14"/>
  <c r="O110" i="4"/>
  <c r="O111" i="4" s="1"/>
  <c r="O112" i="4" s="1"/>
  <c r="F48" i="14"/>
  <c r="F60" i="14"/>
  <c r="O121" i="4"/>
  <c r="O122" i="4" s="1"/>
  <c r="O123" i="4" s="1"/>
  <c r="Y99" i="4"/>
  <c r="Y100" i="4" s="1"/>
  <c r="Y101" i="4" s="1"/>
  <c r="F41" i="14"/>
  <c r="G121" i="4"/>
  <c r="G122" i="4" s="1"/>
  <c r="G123" i="4" s="1"/>
  <c r="F56" i="14"/>
  <c r="F39" i="14"/>
  <c r="U99" i="4"/>
  <c r="U100" i="4" s="1"/>
  <c r="U101" i="4" s="1"/>
  <c r="M110" i="4"/>
  <c r="M111" i="4" s="1"/>
  <c r="M112" i="4" s="1"/>
  <c r="F47" i="14"/>
  <c r="W110" i="2"/>
  <c r="W111" i="2" s="1"/>
  <c r="W112" i="2" s="1"/>
  <c r="W113" i="2" s="1"/>
  <c r="W99" i="2"/>
  <c r="W100" i="2" s="1"/>
  <c r="W101" i="2" s="1"/>
  <c r="W102" i="2" s="1"/>
  <c r="G47" i="10" s="1"/>
  <c r="I47" i="10" s="1"/>
  <c r="Q119" i="3"/>
  <c r="Q120" i="3" s="1"/>
  <c r="Q121" i="3" s="1"/>
  <c r="Q122" i="3" s="1"/>
  <c r="Q123" i="3" s="1"/>
  <c r="Q124" i="3" s="1"/>
  <c r="G110" i="3"/>
  <c r="G111" i="3" s="1"/>
  <c r="G112" i="3" s="1"/>
  <c r="F44" i="11" s="1"/>
  <c r="K97" i="2"/>
  <c r="K98" i="2" s="1"/>
  <c r="E41" i="10" s="1"/>
  <c r="C121" i="2"/>
  <c r="C122" i="2" s="1"/>
  <c r="C123" i="2" s="1"/>
  <c r="C124" i="2" s="1"/>
  <c r="G67" i="10" s="1"/>
  <c r="I67" i="10" s="1"/>
  <c r="W119" i="2"/>
  <c r="W120" i="2" s="1"/>
  <c r="E77" i="10" s="1"/>
  <c r="U99" i="2"/>
  <c r="U100" i="2" s="1"/>
  <c r="U101" i="2" s="1"/>
  <c r="U102" i="2" s="1"/>
  <c r="G46" i="10" s="1"/>
  <c r="I46" i="10" s="1"/>
  <c r="Q110" i="2"/>
  <c r="Q111" i="2" s="1"/>
  <c r="Q112" i="2" s="1"/>
  <c r="Q113" i="2" s="1"/>
  <c r="F83" i="10"/>
  <c r="E87" i="10"/>
  <c r="M132" i="2"/>
  <c r="M133" i="2" s="1"/>
  <c r="M134" i="2" s="1"/>
  <c r="M135" i="2" s="1"/>
  <c r="G87" i="10" s="1"/>
  <c r="I87" i="10" s="1"/>
  <c r="F94" i="10"/>
  <c r="Q130" i="2"/>
  <c r="Q131" i="2" s="1"/>
  <c r="Q132" i="2" s="1"/>
  <c r="Q133" i="2" s="1"/>
  <c r="Q134" i="2" s="1"/>
  <c r="Q135" i="2" s="1"/>
  <c r="M119" i="2"/>
  <c r="M120" i="2" s="1"/>
  <c r="Y132" i="2"/>
  <c r="Y133" i="2" s="1"/>
  <c r="Y134" i="2" s="1"/>
  <c r="Y135" i="2" s="1"/>
  <c r="G93" i="10" s="1"/>
  <c r="I93" i="10" s="1"/>
  <c r="F45" i="15"/>
  <c r="O132" i="2"/>
  <c r="O133" i="2" s="1"/>
  <c r="O134" i="2" s="1"/>
  <c r="O135" i="2" s="1"/>
  <c r="E89" i="10"/>
  <c r="Q99" i="2"/>
  <c r="Q100" i="2" s="1"/>
  <c r="Q101" i="2" s="1"/>
  <c r="Q102" i="2" s="1"/>
  <c r="G44" i="10" s="1"/>
  <c r="I44" i="10" s="1"/>
  <c r="G37" i="14"/>
  <c r="G53" i="14"/>
  <c r="G59" i="14"/>
  <c r="W119" i="3"/>
  <c r="W120" i="3" s="1"/>
  <c r="E65" i="11" s="1"/>
  <c r="F63" i="15"/>
  <c r="C99" i="2"/>
  <c r="C100" i="2" s="1"/>
  <c r="C101" i="2" s="1"/>
  <c r="F45" i="10"/>
  <c r="G45" i="10"/>
  <c r="I45" i="10" s="1"/>
  <c r="F55" i="10"/>
  <c r="G55" i="10"/>
  <c r="I55" i="10" s="1"/>
  <c r="F58" i="10"/>
  <c r="G58" i="10"/>
  <c r="I58" i="10" s="1"/>
  <c r="F64" i="10"/>
  <c r="F57" i="10"/>
  <c r="G59" i="10"/>
  <c r="I59" i="10" s="1"/>
  <c r="F74" i="10"/>
  <c r="G74" i="10"/>
  <c r="I74" i="10" s="1"/>
  <c r="F66" i="10"/>
  <c r="G66" i="10"/>
  <c r="I66" i="10" s="1"/>
  <c r="F46" i="10"/>
  <c r="F78" i="10"/>
  <c r="G78" i="10"/>
  <c r="I78" i="10" s="1"/>
  <c r="F47" i="10"/>
  <c r="F92" i="10"/>
  <c r="G92" i="10"/>
  <c r="I92" i="10" s="1"/>
  <c r="F71" i="10"/>
  <c r="G71" i="10"/>
  <c r="I71" i="10" s="1"/>
  <c r="F80" i="10"/>
  <c r="G80" i="10"/>
  <c r="I80" i="10" s="1"/>
  <c r="F70" i="10"/>
  <c r="G70" i="10"/>
  <c r="I70" i="10" s="1"/>
  <c r="F75" i="10"/>
  <c r="G75" i="10"/>
  <c r="I75" i="10" s="1"/>
  <c r="F84" i="10"/>
  <c r="G84" i="10"/>
  <c r="I84" i="10" s="1"/>
  <c r="F79" i="10"/>
  <c r="G79" i="10"/>
  <c r="I79" i="10" s="1"/>
  <c r="F91" i="10"/>
  <c r="G91" i="10"/>
  <c r="I91" i="10" s="1"/>
  <c r="F43" i="10"/>
  <c r="G43" i="10"/>
  <c r="I43" i="10" s="1"/>
  <c r="F56" i="10"/>
  <c r="G56" i="10"/>
  <c r="I56" i="10" s="1"/>
  <c r="F90" i="10"/>
  <c r="G90" i="10"/>
  <c r="I90" i="10" s="1"/>
  <c r="F93" i="10"/>
  <c r="F86" i="10"/>
  <c r="G86" i="10"/>
  <c r="I86" i="10" s="1"/>
  <c r="F62" i="10"/>
  <c r="G62" i="10"/>
  <c r="I62" i="10" s="1"/>
  <c r="C121" i="3"/>
  <c r="C122" i="3" s="1"/>
  <c r="C123" i="3" s="1"/>
  <c r="C124" i="3" s="1"/>
  <c r="E55" i="11"/>
  <c r="F49" i="15"/>
  <c r="H40" i="14"/>
  <c r="H58" i="14"/>
  <c r="F48" i="15"/>
  <c r="G34" i="15"/>
  <c r="F57" i="15"/>
  <c r="G41" i="15"/>
  <c r="F56" i="15"/>
  <c r="G38" i="15"/>
  <c r="G64" i="15"/>
  <c r="F64" i="15"/>
  <c r="H35" i="14"/>
  <c r="G50" i="15"/>
  <c r="F44" i="15"/>
  <c r="H62" i="14"/>
  <c r="G36" i="14"/>
  <c r="G52" i="14"/>
  <c r="H63" i="14"/>
  <c r="M110" i="3"/>
  <c r="M111" i="3" s="1"/>
  <c r="M112" i="3" s="1"/>
  <c r="M113" i="3" s="1"/>
  <c r="E47" i="11"/>
  <c r="G52" i="15"/>
  <c r="H55" i="14"/>
  <c r="H43" i="14"/>
  <c r="F31" i="15"/>
  <c r="G63" i="15"/>
  <c r="U121" i="3"/>
  <c r="U122" i="3" s="1"/>
  <c r="U123" i="3" s="1"/>
  <c r="U124" i="3" s="1"/>
  <c r="E64" i="11"/>
  <c r="U110" i="7"/>
  <c r="U111" i="7" s="1"/>
  <c r="U112" i="7" s="1"/>
  <c r="U113" i="7" s="1"/>
  <c r="E51" i="15"/>
  <c r="H38" i="14"/>
  <c r="H42" i="14"/>
  <c r="J42" i="14" s="1"/>
  <c r="H53" i="14"/>
  <c r="G45" i="15"/>
  <c r="K121" i="3"/>
  <c r="K122" i="3" s="1"/>
  <c r="K123" i="3" s="1"/>
  <c r="K124" i="3" s="1"/>
  <c r="E59" i="11"/>
  <c r="AA110" i="3"/>
  <c r="AA111" i="3" s="1"/>
  <c r="AA112" i="3" s="1"/>
  <c r="AA113" i="3" s="1"/>
  <c r="E54" i="11"/>
  <c r="G57" i="14"/>
  <c r="H59" i="14"/>
  <c r="G54" i="14"/>
  <c r="E62" i="11"/>
  <c r="H49" i="14"/>
  <c r="H61" i="14"/>
  <c r="G33" i="15"/>
  <c r="G121" i="3"/>
  <c r="G122" i="3" s="1"/>
  <c r="G123" i="3" s="1"/>
  <c r="G124" i="3" s="1"/>
  <c r="E57" i="11"/>
  <c r="H37" i="14"/>
  <c r="H50" i="14"/>
  <c r="G32" i="15"/>
  <c r="G45" i="14"/>
  <c r="F60" i="15"/>
  <c r="H46" i="14"/>
  <c r="K99" i="3"/>
  <c r="K100" i="3" s="1"/>
  <c r="K101" i="3" s="1"/>
  <c r="K102" i="3" s="1"/>
  <c r="E33" i="11"/>
  <c r="G99" i="3"/>
  <c r="G100" i="3" s="1"/>
  <c r="G101" i="3" s="1"/>
  <c r="G102" i="3" s="1"/>
  <c r="E31" i="11"/>
  <c r="S99" i="3"/>
  <c r="S100" i="3" s="1"/>
  <c r="S101" i="3" s="1"/>
  <c r="S102" i="3" s="1"/>
  <c r="E37" i="11"/>
  <c r="O99" i="3"/>
  <c r="O100" i="3" s="1"/>
  <c r="O101" i="3" s="1"/>
  <c r="O102" i="3" s="1"/>
  <c r="E35" i="11"/>
  <c r="Y99" i="3"/>
  <c r="Y100" i="3" s="1"/>
  <c r="Y101" i="3" s="1"/>
  <c r="Y102" i="3" s="1"/>
  <c r="E40" i="11"/>
  <c r="E119" i="3"/>
  <c r="E120" i="3" s="1"/>
  <c r="U97" i="3"/>
  <c r="U98" i="3" s="1"/>
  <c r="C110" i="2"/>
  <c r="C111" i="2" s="1"/>
  <c r="C112" i="2" s="1"/>
  <c r="C113" i="2" s="1"/>
  <c r="I99" i="2"/>
  <c r="I100" i="2" s="1"/>
  <c r="I101" i="2" s="1"/>
  <c r="I102" i="2" s="1"/>
  <c r="Y110" i="2"/>
  <c r="Y111" i="2" s="1"/>
  <c r="Y112" i="2" s="1"/>
  <c r="Y113" i="2" s="1"/>
  <c r="M99" i="2"/>
  <c r="M100" i="2" s="1"/>
  <c r="M101" i="2" s="1"/>
  <c r="M102" i="2" s="1"/>
  <c r="AE121" i="2"/>
  <c r="AE122" i="2" s="1"/>
  <c r="AE123" i="2" s="1"/>
  <c r="AE124" i="2" s="1"/>
  <c r="Y99" i="2"/>
  <c r="Y100" i="2" s="1"/>
  <c r="Y101" i="2" s="1"/>
  <c r="Y102" i="2" s="1"/>
  <c r="AC110" i="2"/>
  <c r="AC111" i="2" s="1"/>
  <c r="AC112" i="2" s="1"/>
  <c r="AC113" i="2" s="1"/>
  <c r="S110" i="2"/>
  <c r="S111" i="2" s="1"/>
  <c r="S112" i="2" s="1"/>
  <c r="S113" i="2" s="1"/>
  <c r="E121" i="2"/>
  <c r="E122" i="2" s="1"/>
  <c r="E123" i="2" s="1"/>
  <c r="E124" i="2" s="1"/>
  <c r="AA99" i="2"/>
  <c r="AA100" i="2" s="1"/>
  <c r="AA101" i="2" s="1"/>
  <c r="AA102" i="2" s="1"/>
  <c r="G64" i="10"/>
  <c r="I64" i="10" s="1"/>
  <c r="U110" i="2"/>
  <c r="U111" i="2" s="1"/>
  <c r="U112" i="2" s="1"/>
  <c r="U113" i="2" s="1"/>
  <c r="G110" i="2"/>
  <c r="G111" i="2" s="1"/>
  <c r="G112" i="2" s="1"/>
  <c r="G113" i="2" s="1"/>
  <c r="E99" i="2"/>
  <c r="E100" i="2" s="1"/>
  <c r="E101" i="2" s="1"/>
  <c r="E102" i="2" s="1"/>
  <c r="G57" i="10"/>
  <c r="I57" i="10" s="1"/>
  <c r="AC99" i="2"/>
  <c r="AC100" i="2" s="1"/>
  <c r="AC101" i="2" s="1"/>
  <c r="AC102" i="2" s="1"/>
  <c r="AE99" i="2"/>
  <c r="AE100" i="2" s="1"/>
  <c r="AE101" i="2" s="1"/>
  <c r="AE102" i="2" s="1"/>
  <c r="G99" i="2"/>
  <c r="G100" i="2" s="1"/>
  <c r="G101" i="2" s="1"/>
  <c r="G102" i="2" s="1"/>
  <c r="N32" i="2" l="1"/>
  <c r="C85" i="2"/>
  <c r="J5" i="10"/>
  <c r="N38" i="2"/>
  <c r="L5" i="10"/>
  <c r="C90" i="2"/>
  <c r="N20" i="2"/>
  <c r="C75" i="2"/>
  <c r="F5" i="10"/>
  <c r="N26" i="2"/>
  <c r="C80" i="2"/>
  <c r="H5" i="10"/>
  <c r="W121" i="2"/>
  <c r="W122" i="2" s="1"/>
  <c r="W123" i="2" s="1"/>
  <c r="W124" i="2" s="1"/>
  <c r="E69" i="10"/>
  <c r="G121" i="2"/>
  <c r="G122" i="2" s="1"/>
  <c r="G123" i="2" s="1"/>
  <c r="F59" i="10"/>
  <c r="E76" i="10"/>
  <c r="U121" i="2"/>
  <c r="U122" i="2" s="1"/>
  <c r="U123" i="2" s="1"/>
  <c r="E85" i="10"/>
  <c r="I132" i="2"/>
  <c r="I133" i="2" s="1"/>
  <c r="I134" i="2" s="1"/>
  <c r="E53" i="10"/>
  <c r="E110" i="2"/>
  <c r="E111" i="2" s="1"/>
  <c r="E112" i="2" s="1"/>
  <c r="E82" i="10"/>
  <c r="C132" i="2"/>
  <c r="C133" i="2" s="1"/>
  <c r="C134" i="2" s="1"/>
  <c r="W99" i="7"/>
  <c r="W100" i="7" s="1"/>
  <c r="W101" i="7" s="1"/>
  <c r="W102" i="7" s="1"/>
  <c r="E46" i="15"/>
  <c r="K110" i="7"/>
  <c r="K111" i="7" s="1"/>
  <c r="K112" i="7" s="1"/>
  <c r="E47" i="15"/>
  <c r="M110" i="7"/>
  <c r="M111" i="7" s="1"/>
  <c r="M112" i="7" s="1"/>
  <c r="G62" i="15"/>
  <c r="C113" i="7"/>
  <c r="F42" i="15"/>
  <c r="E113" i="7"/>
  <c r="F43" i="15"/>
  <c r="M102" i="7"/>
  <c r="F35" i="15"/>
  <c r="E124" i="7"/>
  <c r="F55" i="15"/>
  <c r="U102" i="7"/>
  <c r="G39" i="15" s="1"/>
  <c r="F39" i="15"/>
  <c r="K121" i="7"/>
  <c r="K122" i="7" s="1"/>
  <c r="K123" i="7" s="1"/>
  <c r="E58" i="15"/>
  <c r="C119" i="7"/>
  <c r="C120" i="7" s="1"/>
  <c r="Y108" i="7"/>
  <c r="Y109" i="7" s="1"/>
  <c r="E59" i="15"/>
  <c r="M121" i="7"/>
  <c r="M122" i="7" s="1"/>
  <c r="M123" i="7" s="1"/>
  <c r="AC124" i="7"/>
  <c r="G67" i="15" s="1"/>
  <c r="F67" i="15"/>
  <c r="F44" i="14"/>
  <c r="G110" i="4"/>
  <c r="G111" i="4" s="1"/>
  <c r="G112" i="4" s="1"/>
  <c r="Y102" i="4"/>
  <c r="G41" i="14"/>
  <c r="O124" i="4"/>
  <c r="G60" i="14"/>
  <c r="M113" i="4"/>
  <c r="G47" i="14"/>
  <c r="U102" i="4"/>
  <c r="G39" i="14"/>
  <c r="O113" i="4"/>
  <c r="G48" i="14"/>
  <c r="G124" i="4"/>
  <c r="G56" i="14"/>
  <c r="U113" i="4"/>
  <c r="G51" i="14"/>
  <c r="G113" i="3"/>
  <c r="G44" i="11" s="1"/>
  <c r="I44" i="11" s="1"/>
  <c r="K99" i="2"/>
  <c r="K100" i="2" s="1"/>
  <c r="K101" i="2" s="1"/>
  <c r="K102" i="2" s="1"/>
  <c r="O119" i="3"/>
  <c r="O120" i="3" s="1"/>
  <c r="I108" i="3"/>
  <c r="I109" i="3" s="1"/>
  <c r="M119" i="3"/>
  <c r="M120" i="3" s="1"/>
  <c r="K108" i="3"/>
  <c r="K109" i="3" s="1"/>
  <c r="K110" i="3" s="1"/>
  <c r="K111" i="3" s="1"/>
  <c r="K112" i="3" s="1"/>
  <c r="K113" i="3" s="1"/>
  <c r="G46" i="11" s="1"/>
  <c r="I46" i="11" s="1"/>
  <c r="U108" i="3"/>
  <c r="U109" i="3" s="1"/>
  <c r="S108" i="3"/>
  <c r="S109" i="3" s="1"/>
  <c r="AA97" i="3"/>
  <c r="AA98" i="3" s="1"/>
  <c r="I97" i="3"/>
  <c r="I98" i="3" s="1"/>
  <c r="F67" i="10"/>
  <c r="F87" i="10"/>
  <c r="M121" i="2"/>
  <c r="M122" i="2" s="1"/>
  <c r="M123" i="2" s="1"/>
  <c r="E72" i="10"/>
  <c r="F88" i="10"/>
  <c r="F89" i="10"/>
  <c r="W121" i="3"/>
  <c r="W122" i="3" s="1"/>
  <c r="W123" i="3" s="1"/>
  <c r="W124" i="3" s="1"/>
  <c r="G65" i="11" s="1"/>
  <c r="I65" i="11" s="1"/>
  <c r="F44" i="10"/>
  <c r="F37" i="10"/>
  <c r="C102" i="2"/>
  <c r="G37" i="10" s="1"/>
  <c r="I37" i="10" s="1"/>
  <c r="F49" i="10"/>
  <c r="G49" i="10"/>
  <c r="I49" i="10" s="1"/>
  <c r="F42" i="10"/>
  <c r="G42" i="10"/>
  <c r="I42" i="10" s="1"/>
  <c r="F60" i="10"/>
  <c r="G60" i="10"/>
  <c r="I60" i="10" s="1"/>
  <c r="F39" i="10"/>
  <c r="G39" i="10"/>
  <c r="I39" i="10" s="1"/>
  <c r="F65" i="10"/>
  <c r="G65" i="10"/>
  <c r="I65" i="10" s="1"/>
  <c r="F63" i="10"/>
  <c r="G63" i="10"/>
  <c r="I63" i="10" s="1"/>
  <c r="F52" i="10"/>
  <c r="G52" i="10"/>
  <c r="I52" i="10" s="1"/>
  <c r="F51" i="10"/>
  <c r="G51" i="10"/>
  <c r="I51" i="10" s="1"/>
  <c r="F81" i="10"/>
  <c r="G81" i="10"/>
  <c r="I81" i="10" s="1"/>
  <c r="F50" i="10"/>
  <c r="G50" i="10"/>
  <c r="I50" i="10" s="1"/>
  <c r="F54" i="10"/>
  <c r="G54" i="10"/>
  <c r="I54" i="10" s="1"/>
  <c r="F68" i="10"/>
  <c r="G68" i="10"/>
  <c r="I68" i="10" s="1"/>
  <c r="F61" i="10"/>
  <c r="G61" i="10"/>
  <c r="I61" i="10" s="1"/>
  <c r="F38" i="10"/>
  <c r="G38" i="10"/>
  <c r="I38" i="10" s="1"/>
  <c r="F40" i="10"/>
  <c r="G40" i="10"/>
  <c r="I40" i="10" s="1"/>
  <c r="F77" i="10"/>
  <c r="G77" i="10"/>
  <c r="I77" i="10" s="1"/>
  <c r="F41" i="10"/>
  <c r="G41" i="10"/>
  <c r="I41" i="10" s="1"/>
  <c r="F48" i="10"/>
  <c r="G48" i="10"/>
  <c r="I48" i="10" s="1"/>
  <c r="H57" i="14"/>
  <c r="G64" i="11"/>
  <c r="I64" i="11" s="1"/>
  <c r="F64" i="11"/>
  <c r="H36" i="14"/>
  <c r="G57" i="15"/>
  <c r="G62" i="11"/>
  <c r="I62" i="11" s="1"/>
  <c r="F62" i="11"/>
  <c r="G89" i="10"/>
  <c r="I89" i="10" s="1"/>
  <c r="G88" i="10"/>
  <c r="I88" i="10" s="1"/>
  <c r="E121" i="3"/>
  <c r="E122" i="3" s="1"/>
  <c r="E123" i="3" s="1"/>
  <c r="E124" i="3" s="1"/>
  <c r="E56" i="11"/>
  <c r="G57" i="11"/>
  <c r="I57" i="11" s="1"/>
  <c r="F57" i="11"/>
  <c r="G49" i="15"/>
  <c r="G54" i="11"/>
  <c r="I54" i="11" s="1"/>
  <c r="F54" i="11"/>
  <c r="H52" i="14"/>
  <c r="G44" i="15"/>
  <c r="G48" i="15"/>
  <c r="G60" i="15"/>
  <c r="G47" i="11"/>
  <c r="I47" i="11" s="1"/>
  <c r="F47" i="11"/>
  <c r="G59" i="11"/>
  <c r="I59" i="11" s="1"/>
  <c r="F59" i="11"/>
  <c r="F51" i="15"/>
  <c r="G31" i="15"/>
  <c r="G56" i="15"/>
  <c r="H45" i="14"/>
  <c r="H54" i="14"/>
  <c r="G55" i="11"/>
  <c r="I55" i="11" s="1"/>
  <c r="F55" i="11"/>
  <c r="U99" i="3"/>
  <c r="U100" i="3" s="1"/>
  <c r="U101" i="3" s="1"/>
  <c r="U102" i="3" s="1"/>
  <c r="E38" i="11"/>
  <c r="G35" i="11"/>
  <c r="I35" i="11" s="1"/>
  <c r="F35" i="11"/>
  <c r="G37" i="11"/>
  <c r="I37" i="11" s="1"/>
  <c r="F37" i="11"/>
  <c r="G40" i="11"/>
  <c r="I40" i="11" s="1"/>
  <c r="F40" i="11"/>
  <c r="G31" i="11"/>
  <c r="I31" i="11" s="1"/>
  <c r="F31" i="11"/>
  <c r="G33" i="11"/>
  <c r="I33" i="11" s="1"/>
  <c r="F33" i="11"/>
  <c r="G5" i="10" l="1"/>
  <c r="P5" i="10" s="1"/>
  <c r="N21" i="2"/>
  <c r="I5" i="10"/>
  <c r="Q5" i="10" s="1"/>
  <c r="N27" i="2"/>
  <c r="M5" i="10"/>
  <c r="S5" i="10" s="1"/>
  <c r="N39" i="2"/>
  <c r="K5" i="10"/>
  <c r="R5" i="10" s="1"/>
  <c r="N33" i="2"/>
  <c r="I135" i="2"/>
  <c r="G85" i="10" s="1"/>
  <c r="I85" i="10" s="1"/>
  <c r="F85" i="10"/>
  <c r="U124" i="2"/>
  <c r="G76" i="10" s="1"/>
  <c r="I76" i="10" s="1"/>
  <c r="F76" i="10"/>
  <c r="C135" i="2"/>
  <c r="G82" i="10" s="1"/>
  <c r="I82" i="10" s="1"/>
  <c r="F82" i="10"/>
  <c r="G124" i="2"/>
  <c r="G69" i="10" s="1"/>
  <c r="I69" i="10" s="1"/>
  <c r="F69" i="10"/>
  <c r="E113" i="2"/>
  <c r="G53" i="10" s="1"/>
  <c r="I53" i="10" s="1"/>
  <c r="F53" i="10"/>
  <c r="F40" i="15"/>
  <c r="G42" i="15"/>
  <c r="I42" i="15" s="1"/>
  <c r="G40" i="15"/>
  <c r="Y110" i="7"/>
  <c r="Y111" i="7" s="1"/>
  <c r="Y112" i="7" s="1"/>
  <c r="E53" i="15"/>
  <c r="G55" i="15"/>
  <c r="E54" i="15"/>
  <c r="C121" i="7"/>
  <c r="C122" i="7" s="1"/>
  <c r="C123" i="7" s="1"/>
  <c r="M113" i="7"/>
  <c r="G47" i="15" s="1"/>
  <c r="F47" i="15"/>
  <c r="G35" i="15"/>
  <c r="K113" i="7"/>
  <c r="F46" i="15"/>
  <c r="M124" i="7"/>
  <c r="F59" i="15"/>
  <c r="K124" i="7"/>
  <c r="F58" i="15"/>
  <c r="G43" i="15"/>
  <c r="G113" i="4"/>
  <c r="G44" i="14"/>
  <c r="H39" i="14"/>
  <c r="H51" i="14"/>
  <c r="H47" i="14"/>
  <c r="H56" i="14"/>
  <c r="H60" i="14"/>
  <c r="H48" i="14"/>
  <c r="H41" i="14"/>
  <c r="F46" i="11"/>
  <c r="M97" i="3"/>
  <c r="M98" i="3" s="1"/>
  <c r="M99" i="3" s="1"/>
  <c r="M100" i="3" s="1"/>
  <c r="M101" i="3" s="1"/>
  <c r="E46" i="11"/>
  <c r="S119" i="3"/>
  <c r="S120" i="3" s="1"/>
  <c r="W97" i="3"/>
  <c r="W98" i="3" s="1"/>
  <c r="Q97" i="3"/>
  <c r="Q98" i="3" s="1"/>
  <c r="E41" i="11"/>
  <c r="AA99" i="3"/>
  <c r="AA100" i="3" s="1"/>
  <c r="AA101" i="3" s="1"/>
  <c r="O108" i="3"/>
  <c r="O109" i="3" s="1"/>
  <c r="W108" i="3"/>
  <c r="W109" i="3" s="1"/>
  <c r="Y108" i="3"/>
  <c r="Y109" i="3" s="1"/>
  <c r="E108" i="3"/>
  <c r="E109" i="3" s="1"/>
  <c r="C108" i="3"/>
  <c r="C109" i="3" s="1"/>
  <c r="M121" i="3"/>
  <c r="M122" i="3" s="1"/>
  <c r="M123" i="3" s="1"/>
  <c r="E60" i="11"/>
  <c r="I110" i="3"/>
  <c r="I111" i="3" s="1"/>
  <c r="I112" i="3" s="1"/>
  <c r="E45" i="11"/>
  <c r="S110" i="3"/>
  <c r="S111" i="3" s="1"/>
  <c r="S112" i="3" s="1"/>
  <c r="E50" i="11"/>
  <c r="E51" i="11"/>
  <c r="U110" i="3"/>
  <c r="U111" i="3" s="1"/>
  <c r="U112" i="3" s="1"/>
  <c r="O121" i="3"/>
  <c r="O122" i="3" s="1"/>
  <c r="O123" i="3" s="1"/>
  <c r="E61" i="11"/>
  <c r="E32" i="11"/>
  <c r="I99" i="3"/>
  <c r="I100" i="3" s="1"/>
  <c r="I101" i="3" s="1"/>
  <c r="F72" i="10"/>
  <c r="M124" i="2"/>
  <c r="G72" i="10" s="1"/>
  <c r="I72" i="10" s="1"/>
  <c r="F65" i="11"/>
  <c r="G56" i="11"/>
  <c r="I56" i="11" s="1"/>
  <c r="F56" i="11"/>
  <c r="G51" i="15"/>
  <c r="G38" i="11"/>
  <c r="I38" i="11" s="1"/>
  <c r="F38" i="11"/>
  <c r="G59" i="15" l="1"/>
  <c r="G46" i="15"/>
  <c r="Y113" i="7"/>
  <c r="F53" i="15"/>
  <c r="G58" i="15"/>
  <c r="C124" i="7"/>
  <c r="F54" i="15"/>
  <c r="H44" i="14"/>
  <c r="E34" i="11"/>
  <c r="S121" i="3"/>
  <c r="S122" i="3" s="1"/>
  <c r="S123" i="3" s="1"/>
  <c r="E63" i="11"/>
  <c r="E36" i="11"/>
  <c r="Q99" i="3"/>
  <c r="Q100" i="3" s="1"/>
  <c r="Q101" i="3" s="1"/>
  <c r="W99" i="3"/>
  <c r="W100" i="3" s="1"/>
  <c r="W101" i="3" s="1"/>
  <c r="E39" i="11"/>
  <c r="Y110" i="3"/>
  <c r="Y111" i="3" s="1"/>
  <c r="Y112" i="3" s="1"/>
  <c r="E53" i="11"/>
  <c r="M102" i="3"/>
  <c r="G34" i="11" s="1"/>
  <c r="I34" i="11" s="1"/>
  <c r="F34" i="11"/>
  <c r="S113" i="3"/>
  <c r="G50" i="11" s="1"/>
  <c r="I50" i="11" s="1"/>
  <c r="F50" i="11"/>
  <c r="E52" i="11"/>
  <c r="W110" i="3"/>
  <c r="W111" i="3" s="1"/>
  <c r="W112" i="3" s="1"/>
  <c r="I102" i="3"/>
  <c r="G32" i="11" s="1"/>
  <c r="I32" i="11" s="1"/>
  <c r="F32" i="11"/>
  <c r="I113" i="3"/>
  <c r="G45" i="11" s="1"/>
  <c r="I45" i="11" s="1"/>
  <c r="F45" i="11"/>
  <c r="O110" i="3"/>
  <c r="O111" i="3" s="1"/>
  <c r="O112" i="3" s="1"/>
  <c r="E48" i="11"/>
  <c r="O124" i="3"/>
  <c r="G61" i="11" s="1"/>
  <c r="I61" i="11" s="1"/>
  <c r="F61" i="11"/>
  <c r="M124" i="3"/>
  <c r="G60" i="11" s="1"/>
  <c r="I60" i="11" s="1"/>
  <c r="F60" i="11"/>
  <c r="C110" i="3"/>
  <c r="C111" i="3" s="1"/>
  <c r="C112" i="3" s="1"/>
  <c r="E42" i="11"/>
  <c r="AA102" i="3"/>
  <c r="G41" i="11" s="1"/>
  <c r="I41" i="11" s="1"/>
  <c r="F41" i="11"/>
  <c r="U113" i="3"/>
  <c r="G51" i="11" s="1"/>
  <c r="I51" i="11" s="1"/>
  <c r="F51" i="11"/>
  <c r="E43" i="11"/>
  <c r="E110" i="3"/>
  <c r="E111" i="3" s="1"/>
  <c r="E112" i="3" s="1"/>
  <c r="G53" i="15" l="1"/>
  <c r="G54" i="15"/>
  <c r="S124" i="3"/>
  <c r="G63" i="11" s="1"/>
  <c r="I63" i="11" s="1"/>
  <c r="F63" i="11"/>
  <c r="W102" i="3"/>
  <c r="G39" i="11" s="1"/>
  <c r="I39" i="11" s="1"/>
  <c r="F39" i="11"/>
  <c r="Q102" i="3"/>
  <c r="G36" i="11" s="1"/>
  <c r="I36" i="11" s="1"/>
  <c r="F36" i="11"/>
  <c r="W113" i="3"/>
  <c r="G52" i="11" s="1"/>
  <c r="I52" i="11" s="1"/>
  <c r="F52" i="11"/>
  <c r="E113" i="3"/>
  <c r="G43" i="11" s="1"/>
  <c r="I43" i="11" s="1"/>
  <c r="F43" i="11"/>
  <c r="O113" i="3"/>
  <c r="G48" i="11" s="1"/>
  <c r="I48" i="11" s="1"/>
  <c r="F48" i="11"/>
  <c r="C113" i="3"/>
  <c r="G42" i="11" s="1"/>
  <c r="I42" i="11" s="1"/>
  <c r="F42" i="11"/>
  <c r="Y113" i="3"/>
  <c r="G53" i="11" s="1"/>
  <c r="I53" i="11" s="1"/>
  <c r="F53" i="11"/>
  <c r="C97" i="3"/>
  <c r="C98" i="3" s="1"/>
  <c r="C50" i="3"/>
  <c r="E97" i="3"/>
  <c r="E98" i="3" s="1"/>
  <c r="C99" i="3" l="1"/>
  <c r="C100" i="3" s="1"/>
  <c r="C101" i="3" s="1"/>
  <c r="E29" i="11"/>
  <c r="E30" i="11"/>
  <c r="E99" i="3"/>
  <c r="E100" i="3" s="1"/>
  <c r="E101" i="3" s="1"/>
  <c r="F29" i="11" l="1"/>
  <c r="C102" i="3"/>
  <c r="G29" i="11" s="1"/>
  <c r="I29" i="11" s="1"/>
  <c r="E102" i="3"/>
  <c r="G30" i="11" s="1"/>
  <c r="I30" i="11" s="1"/>
  <c r="F30" i="11"/>
  <c r="I96" i="4"/>
  <c r="I97" i="4"/>
  <c r="I98" i="4"/>
  <c r="G96" i="4"/>
  <c r="G97" i="4"/>
  <c r="G98" i="4" s="1"/>
  <c r="C71" i="4"/>
  <c r="C76" i="4"/>
  <c r="C77" i="4"/>
  <c r="C78" i="4" s="1"/>
  <c r="C79" i="4" s="1"/>
  <c r="C80" i="4" s="1"/>
  <c r="K96" i="4"/>
  <c r="K97" i="4" s="1"/>
  <c r="K98" i="4" s="1"/>
  <c r="C96" i="4"/>
  <c r="C97" i="4" s="1"/>
  <c r="C98" i="4" s="1"/>
  <c r="C81" i="4"/>
  <c r="C82" i="4" s="1"/>
  <c r="C83" i="4" s="1"/>
  <c r="C84" i="4" s="1"/>
  <c r="C85" i="4" s="1"/>
  <c r="E96" i="4"/>
  <c r="E97" i="4" s="1"/>
  <c r="E98" i="4" s="1"/>
  <c r="C50" i="4"/>
  <c r="C86" i="4"/>
  <c r="C87" i="4"/>
  <c r="C88" i="4" s="1"/>
  <c r="C89" i="4" s="1"/>
  <c r="C90" i="4" s="1"/>
  <c r="I101" i="4" l="1"/>
  <c r="K99" i="4"/>
  <c r="K100" i="4" s="1"/>
  <c r="K101" i="4" s="1"/>
  <c r="F34" i="14"/>
  <c r="F30" i="14"/>
  <c r="C99" i="4"/>
  <c r="C100" i="4" s="1"/>
  <c r="C101" i="4" s="1"/>
  <c r="F31" i="14"/>
  <c r="E99" i="4"/>
  <c r="E100" i="4" s="1"/>
  <c r="E101" i="4" s="1"/>
  <c r="G99" i="4"/>
  <c r="G100" i="4" s="1"/>
  <c r="G101" i="4" s="1"/>
  <c r="F32" i="14"/>
  <c r="C72" i="4"/>
  <c r="C73" i="4" s="1"/>
  <c r="C74" i="4" s="1"/>
  <c r="C75" i="4" s="1"/>
  <c r="I99" i="4"/>
  <c r="I100" i="4" s="1"/>
  <c r="F33" i="14"/>
  <c r="G30" i="14" l="1"/>
  <c r="C102" i="4"/>
  <c r="G102" i="4"/>
  <c r="G32" i="14"/>
  <c r="G31" i="14"/>
  <c r="E102" i="4"/>
  <c r="G34" i="14"/>
  <c r="K102" i="4"/>
  <c r="I102" i="4"/>
  <c r="G33" i="14"/>
  <c r="H34" i="14" l="1"/>
  <c r="H31" i="14"/>
  <c r="H30" i="14"/>
  <c r="H32" i="14"/>
  <c r="H3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1" authorId="0" shapeId="0" xr:uid="{9AEFCDE6-E585-48E9-9DA0-6274B3EEB25A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6" authorId="0" shapeId="0" xr:uid="{6475F54B-E01F-4EA3-AC1A-6824C5CA6527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1" authorId="0" shapeId="0" xr:uid="{1C77A2F5-67A3-4C2D-95FD-D9CD019D2789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6" authorId="0" shapeId="0" xr:uid="{5EFA158D-A61B-4F06-93FE-254706AFA883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1" authorId="0" shapeId="0" xr:uid="{3E303B13-A6C1-4BB7-B461-EB0C2A2DD088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6" authorId="0" shapeId="0" xr:uid="{51D0571F-7F5B-4427-A863-3B243500B4BE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1" authorId="0" shapeId="0" xr:uid="{678EF6D8-758B-4751-902C-79BC9D5BC932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6" authorId="0" shapeId="0" xr:uid="{B767A8AA-A1CC-403A-98FD-8704AF8B4764}">
      <text>
        <r>
          <rPr>
            <b/>
            <sz val="9"/>
            <color indexed="81"/>
            <rFont val="Tahoma"/>
            <family val="2"/>
          </rPr>
          <t>Momento negativo lado largo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1" authorId="0" shapeId="0" xr:uid="{A8B8C284-8AB3-4414-9EF8-C73BE183463C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6" authorId="0" shapeId="0" xr:uid="{EAE4B066-6C94-4703-86E0-3EF126FE0FB9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1" authorId="0" shapeId="0" xr:uid="{3E594379-F64D-4EA8-982A-BD80A8FAAB13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6" authorId="0" shapeId="0" xr:uid="{7771CCDC-C5B0-4B56-8B62-E0F623F74CBF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1" authorId="0" shapeId="0" xr:uid="{790EA216-4ED3-48E3-B4B4-3934A147DBE2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6" authorId="0" shapeId="0" xr:uid="{515DBABC-6DBF-4141-8CCC-54BCE66DADA2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1" authorId="0" shapeId="0" xr:uid="{9B66ADC6-3ABE-48C3-842F-82DDFFA975E8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6" authorId="0" shapeId="0" xr:uid="{BC9424A9-8799-4AB5-BA40-D2108E261681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1" authorId="0" shapeId="0" xr:uid="{993B6573-7305-48A1-B5E5-C5C97B7BE741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6" authorId="0" shapeId="0" xr:uid="{C88DEBFE-24C4-43FF-94F8-92F49D917694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1" authorId="0" shapeId="0" xr:uid="{C55E62B5-728E-40D7-99FC-943984DC0BB7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6" authorId="0" shapeId="0" xr:uid="{25ACE69A-19FA-49A5-97CE-87CDA0DDF91B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1" authorId="0" shapeId="0" xr:uid="{FAE3D23C-BC8D-4A08-9096-8EF92BF99C1A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6" authorId="0" shapeId="0" xr:uid="{9259DB04-EEAB-4956-8385-4D5B8610DCA2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1" authorId="0" shapeId="0" xr:uid="{8AB4D803-07E6-45A8-9F6C-AFD36C84A0E9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6" authorId="0" shapeId="0" xr:uid="{48029FE0-BDBE-4F8F-BE5E-4E1D7CB47806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71" authorId="0" shapeId="0" xr:uid="{EFE6D758-B0D7-43B6-BBB9-4323587A2782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76" authorId="0" shapeId="0" xr:uid="{FF6C9D4F-DC7B-4751-B500-AAA95F7C2D93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81" authorId="0" shapeId="0" xr:uid="{13D6B80D-E921-49B6-9C4B-DB08D64BFAD5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86" authorId="0" shapeId="0" xr:uid="{E3D42ABD-A5AF-41ED-A3D9-25D45B79C673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elba valenzuela</author>
  </authors>
  <commentList>
    <comment ref="B43" authorId="0" shapeId="0" xr:uid="{51BCBF67-B987-4A78-ABE7-E5601031F034}">
      <text>
        <r>
          <rPr>
            <b/>
            <sz val="9"/>
            <color indexed="81"/>
            <rFont val="Tahoma"/>
            <family val="2"/>
          </rPr>
          <t xml:space="preserve">Momento positivo lado corto
</t>
        </r>
      </text>
    </comment>
    <comment ref="B48" authorId="0" shapeId="0" xr:uid="{FFD83DC2-02D9-4B31-BC1D-551D205DFA04}">
      <text>
        <r>
          <rPr>
            <b/>
            <sz val="9"/>
            <color indexed="81"/>
            <rFont val="Tahoma"/>
            <family val="2"/>
          </rPr>
          <t>Momento positivo lado largo</t>
        </r>
      </text>
    </comment>
    <comment ref="B53" authorId="0" shapeId="0" xr:uid="{9889F1F6-1BC5-448E-A38F-1AD3ADF8DCEE}">
      <text>
        <r>
          <rPr>
            <b/>
            <sz val="9"/>
            <color indexed="81"/>
            <rFont val="Tahoma"/>
            <family val="2"/>
          </rPr>
          <t>Momento negativo lado corto</t>
        </r>
      </text>
    </comment>
    <comment ref="B58" authorId="0" shapeId="0" xr:uid="{C5BD8772-71AB-43B4-BA02-242A2F31E750}">
      <text>
        <r>
          <rPr>
            <b/>
            <sz val="9"/>
            <color indexed="81"/>
            <rFont val="Tahoma"/>
            <family val="2"/>
          </rPr>
          <t xml:space="preserve">Momento negativo lado </t>
        </r>
      </text>
    </comment>
  </commentList>
</comments>
</file>

<file path=xl/sharedStrings.xml><?xml version="1.0" encoding="utf-8"?>
<sst xmlns="http://schemas.openxmlformats.org/spreadsheetml/2006/main" count="2711" uniqueCount="339">
  <si>
    <t>Caso</t>
  </si>
  <si>
    <t>ɛ</t>
  </si>
  <si>
    <t>Δx</t>
  </si>
  <si>
    <t>Δy</t>
  </si>
  <si>
    <t>mx</t>
  </si>
  <si>
    <t>my</t>
  </si>
  <si>
    <t>mex</t>
  </si>
  <si>
    <t>mey</t>
  </si>
  <si>
    <t>2a</t>
  </si>
  <si>
    <t>5a</t>
  </si>
  <si>
    <t>5b</t>
  </si>
  <si>
    <t>k</t>
  </si>
  <si>
    <t>2b</t>
  </si>
  <si>
    <t>3a</t>
  </si>
  <si>
    <t>3b</t>
  </si>
  <si>
    <t>As [cm2/m]</t>
  </si>
  <si>
    <t>φ [mm]</t>
  </si>
  <si>
    <t>s [cm]</t>
  </si>
  <si>
    <t>Nivel -1</t>
  </si>
  <si>
    <t>e [cm]</t>
  </si>
  <si>
    <t>rec [cm]</t>
  </si>
  <si>
    <t>s_max [cm]</t>
  </si>
  <si>
    <t>d [cm]</t>
  </si>
  <si>
    <t>Habitacional</t>
  </si>
  <si>
    <t>Balcones</t>
  </si>
  <si>
    <t>Autos</t>
  </si>
  <si>
    <t>Techo</t>
  </si>
  <si>
    <t>Á. com. y esc.</t>
  </si>
  <si>
    <t>Tabique</t>
  </si>
  <si>
    <t>Sobrecargas [kgf/m2]</t>
  </si>
  <si>
    <t>Peso Propio [kgf/m2]</t>
  </si>
  <si>
    <t>Yeso</t>
  </si>
  <si>
    <t>e_yeso [cm]</t>
  </si>
  <si>
    <t>e_sl [cm]</t>
  </si>
  <si>
    <t>γ_yeso [kgf/m2*cm]</t>
  </si>
  <si>
    <t>γ_sl [kgf/m2*cm]</t>
  </si>
  <si>
    <t>Sobrelosa</t>
  </si>
  <si>
    <t xml:space="preserve">PP_adic </t>
  </si>
  <si>
    <t>γ_h [kgf/m3]</t>
  </si>
  <si>
    <t>Materiales</t>
  </si>
  <si>
    <t>Hormigón</t>
  </si>
  <si>
    <t>G35</t>
  </si>
  <si>
    <t>A63-42H</t>
  </si>
  <si>
    <t>N° Losa</t>
  </si>
  <si>
    <t>Lx (m)</t>
  </si>
  <si>
    <t>Ly (m)</t>
  </si>
  <si>
    <t>e (cm)</t>
  </si>
  <si>
    <t>SC</t>
  </si>
  <si>
    <t>Tipo H.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</si>
  <si>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</si>
  <si>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</si>
  <si>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</si>
  <si>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</si>
  <si>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</si>
  <si>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</si>
  <si>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</si>
  <si>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</si>
  <si>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</si>
  <si>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</si>
  <si>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</si>
  <si>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</si>
  <si>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</si>
  <si>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</si>
  <si>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</si>
  <si>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</si>
  <si>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</si>
  <si>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</si>
  <si>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</si>
  <si>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</si>
  <si>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</si>
  <si>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</si>
  <si>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</si>
  <si>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</si>
  <si>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</si>
  <si>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</si>
  <si>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</si>
  <si>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</si>
  <si>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</si>
  <si>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G36</t>
  </si>
  <si>
    <t>f'c [tonf/cm2]</t>
  </si>
  <si>
    <t>fy [tonf/cm2]</t>
  </si>
  <si>
    <t>Lx [m]</t>
  </si>
  <si>
    <t>Ly [m]</t>
  </si>
  <si>
    <t>SC [kgf/m2]</t>
  </si>
  <si>
    <t>ε</t>
  </si>
  <si>
    <t>λ</t>
  </si>
  <si>
    <t>e_min [cm]</t>
  </si>
  <si>
    <t>Cargas</t>
  </si>
  <si>
    <t>As_min [cm2/m]</t>
  </si>
  <si>
    <t>PP_losa [kgf/m2]</t>
  </si>
  <si>
    <t>PP_t [kgf/m2]</t>
  </si>
  <si>
    <t>q_u [kgf/m2]</t>
  </si>
  <si>
    <t>Ku [kgf*m/m]</t>
  </si>
  <si>
    <t>α</t>
  </si>
  <si>
    <t>Parámetros</t>
  </si>
  <si>
    <t>Dimensiones Losa</t>
  </si>
  <si>
    <t>Momentos últimos</t>
  </si>
  <si>
    <t>Mx [kgf*m/m]</t>
  </si>
  <si>
    <t>a [cm/m]</t>
  </si>
  <si>
    <t xml:space="preserve">As_min </t>
  </si>
  <si>
    <t>Fs</t>
  </si>
  <si>
    <t>Fi</t>
  </si>
  <si>
    <t>My [kgf*m/m]</t>
  </si>
  <si>
    <t>Mex [kgf*m/m]</t>
  </si>
  <si>
    <t>Mey [kgf*m/m]</t>
  </si>
  <si>
    <t>F'+</t>
  </si>
  <si>
    <t>F'-</t>
  </si>
  <si>
    <t>Interacciones entre losas</t>
  </si>
  <si>
    <t>x</t>
  </si>
  <si>
    <t>y</t>
  </si>
  <si>
    <t>Me [kgf*m/m]</t>
  </si>
  <si>
    <t>Dif [%]</t>
  </si>
  <si>
    <t>Mu [kgf*m/m]</t>
  </si>
  <si>
    <t>F'</t>
  </si>
  <si>
    <t>Ejes</t>
  </si>
  <si>
    <t>SC (kgf/m2)</t>
  </si>
  <si>
    <t>f'c (tonf/m2)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</si>
  <si>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</si>
  <si>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</si>
  <si>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</si>
  <si>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</si>
  <si>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</si>
  <si>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</si>
  <si>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</si>
  <si>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</si>
  <si>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</si>
  <si>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</si>
  <si>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</si>
  <si>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</si>
  <si>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</si>
  <si>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</si>
  <si>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</si>
  <si>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</si>
  <si>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</si>
  <si>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</si>
  <si>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</si>
  <si>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</si>
  <si>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Nivel 1</t>
  </si>
  <si>
    <t>121</t>
  </si>
  <si>
    <t>201</t>
  </si>
  <si>
    <t>Nivel 2 a 7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</si>
  <si>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</si>
  <si>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</si>
  <si>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</si>
  <si>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</si>
  <si>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</si>
  <si>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</si>
  <si>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</si>
  <si>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</si>
  <si>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</si>
  <si>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</si>
  <si>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</si>
  <si>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</si>
  <si>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</si>
  <si>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</si>
  <si>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</si>
  <si>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</si>
  <si>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</si>
  <si>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</si>
  <si>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</si>
  <si>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</si>
  <si>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</si>
  <si>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Nivel 8 a 13</t>
  </si>
  <si>
    <t>801</t>
  </si>
  <si>
    <t>G30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</si>
  <si>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</si>
  <si>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</si>
  <si>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</si>
  <si>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</si>
  <si>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</si>
  <si>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</si>
  <si>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</si>
  <si>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</si>
  <si>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</si>
  <si>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</si>
  <si>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</si>
  <si>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</si>
  <si>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</si>
  <si>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</si>
  <si>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</si>
  <si>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</si>
  <si>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</si>
  <si>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</si>
  <si>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</si>
  <si>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</si>
  <si>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</si>
  <si>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1401</t>
  </si>
  <si>
    <t>G20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</si>
  <si>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</si>
  <si>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</si>
  <si>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</si>
  <si>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</si>
  <si>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</si>
  <si>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</si>
  <si>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</si>
  <si>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</si>
  <si>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</si>
  <si>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</si>
  <si>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</si>
  <si>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</si>
  <si>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</si>
  <si>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</si>
  <si>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</si>
  <si>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</si>
  <si>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</si>
  <si>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</si>
  <si>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</si>
  <si>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</si>
  <si>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</si>
  <si>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Nivel 23</t>
  </si>
  <si>
    <t>Nivel 14 a 22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</si>
  <si>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</si>
  <si>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</si>
  <si>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</si>
  <si>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</si>
  <si>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</si>
  <si>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</si>
  <si>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</si>
  <si>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</si>
  <si>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</si>
  <si>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</si>
  <si>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</si>
  <si>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</si>
  <si>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</si>
  <si>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</si>
  <si>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</si>
  <si>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</si>
  <si>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</si>
  <si>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</si>
  <si>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</si>
  <si>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</si>
  <si>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</si>
  <si>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</si>
  <si>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Nivel 24</t>
  </si>
  <si>
    <t>2401</t>
  </si>
  <si>
    <t>2402</t>
  </si>
  <si>
    <t>2403</t>
  </si>
  <si>
    <t>Nivel Cubierta</t>
  </si>
  <si>
    <t>CU</t>
  </si>
  <si>
    <t>Acero ref.</t>
  </si>
  <si>
    <t>$F_{s}$</t>
  </si>
  <si>
    <t>$F_{i}$</t>
  </si>
  <si>
    <t>Enfierradura</t>
  </si>
  <si>
    <t>Losa del nivel -1</t>
  </si>
  <si>
    <t>$q_{u} \quad (kgf/m^2)$</t>
  </si>
  <si>
    <t>$As \quad (cm^{2}/m)$</t>
  </si>
  <si>
    <t xml:space="preserve">$Ag_{min} \quad (cm^{2}/m)$ </t>
  </si>
  <si>
    <t>$F'_{s}$</t>
  </si>
  <si>
    <t>$F'_{i}$</t>
  </si>
  <si>
    <t>Losa del nivel 1</t>
  </si>
  <si>
    <t>Losa del nivel 2 al 22</t>
  </si>
  <si>
    <t>(2-22)01</t>
  </si>
  <si>
    <t>(2-22)02</t>
  </si>
  <si>
    <t>(2-22)03</t>
  </si>
  <si>
    <t>(2-22)04</t>
  </si>
  <si>
    <t>(2-22)05</t>
  </si>
  <si>
    <t>(2-22)06</t>
  </si>
  <si>
    <t>(2-22)07</t>
  </si>
  <si>
    <t>(2-22)08</t>
  </si>
  <si>
    <t>(2-22)09</t>
  </si>
  <si>
    <t>(2-22)10</t>
  </si>
  <si>
    <t>(2-22)11</t>
  </si>
  <si>
    <t>(2-22)12</t>
  </si>
  <si>
    <t>(2-22)13</t>
  </si>
  <si>
    <t>(2-22)14</t>
  </si>
  <si>
    <t>(2-22)15</t>
  </si>
  <si>
    <t>(2-22)16</t>
  </si>
  <si>
    <t>(2-22)17</t>
  </si>
  <si>
    <t>(2-22)18</t>
  </si>
  <si>
    <t>(2-22)19</t>
  </si>
  <si>
    <t>(2-22)20</t>
  </si>
  <si>
    <t>(2-22)21</t>
  </si>
  <si>
    <t>(2-22)22</t>
  </si>
  <si>
    <t>Losa del nivel 23</t>
  </si>
  <si>
    <t>Losa del nivel 24</t>
  </si>
  <si>
    <t>Losa de Cubierta</t>
  </si>
  <si>
    <t>$PP_{adic}$</t>
  </si>
  <si>
    <t>Área común y escalera</t>
  </si>
  <si>
    <t>Losas</t>
  </si>
  <si>
    <t>Mu $[kgf \cdot m/m]$</t>
  </si>
  <si>
    <t>As $[cm^2/m]$</t>
  </si>
  <si>
    <t>Ocupación</t>
  </si>
  <si>
    <t>Sobrecargas $[kgf/m^2]$</t>
  </si>
  <si>
    <t>Peso Propio $[kgf/m^2]$</t>
  </si>
  <si>
    <t>Elemento</t>
  </si>
  <si>
    <t>Nivel</t>
  </si>
  <si>
    <t>Cubierta</t>
  </si>
  <si>
    <t>Acero refuerzo</t>
  </si>
  <si>
    <t>$As_{min} \quad [cm^2/m]$</t>
  </si>
  <si>
    <t>$e_{min} [cm]$</t>
  </si>
  <si>
    <t>$L_y [m]$</t>
  </si>
  <si>
    <t>$L_x [m]$</t>
  </si>
  <si>
    <t>Condición de apoyo</t>
  </si>
  <si>
    <t>Mx $[kgf \cdot m/m]$</t>
  </si>
  <si>
    <t>My $[kgf \cdot m/m]$</t>
  </si>
  <si>
    <t>Mex $[kgf \cdot m/m]$</t>
  </si>
  <si>
    <t>Mey $[kgf \cdot m/m]$</t>
  </si>
  <si>
    <t>Ku $[kgf \cdot m/m]$</t>
  </si>
  <si>
    <t>SC $[kgf/m^2]$</t>
  </si>
  <si>
    <t>Cond. apoyo</t>
  </si>
  <si>
    <t>$PP_{losa} [kgf/m^2]$</t>
  </si>
  <si>
    <t>$PP_t [kgf/m^2]$</t>
  </si>
  <si>
    <t>$q_u [kgf/m^2]$</t>
  </si>
  <si>
    <t>$\alpha$</t>
  </si>
  <si>
    <t>$\Delta x$</t>
  </si>
  <si>
    <t>$\Delta y$</t>
  </si>
  <si>
    <t>$\epsilon$</t>
  </si>
  <si>
    <t>$\lambda$</t>
  </si>
  <si>
    <t>$\Delta_z_{max} [cm]$</t>
  </si>
  <si>
    <t>$\Delta_z_{min} [cm]$</t>
  </si>
  <si>
    <t>$\Delta_{elast} [cm]$</t>
  </si>
  <si>
    <t>$\Delta_{creep} [cm]$</t>
  </si>
  <si>
    <t>204-215</t>
  </si>
  <si>
    <t>304-315</t>
  </si>
  <si>
    <t>404-415</t>
  </si>
  <si>
    <t>504-515</t>
  </si>
  <si>
    <t>604-615</t>
  </si>
  <si>
    <t>704-715</t>
  </si>
  <si>
    <t>804-815</t>
  </si>
  <si>
    <t>904-915</t>
  </si>
  <si>
    <t>1004-1015</t>
  </si>
  <si>
    <t>1104-1115</t>
  </si>
  <si>
    <t>1204-1215</t>
  </si>
  <si>
    <t>1304-1315</t>
  </si>
  <si>
    <t>1404-1415</t>
  </si>
  <si>
    <t>1504-1515</t>
  </si>
  <si>
    <t>1604-1615</t>
  </si>
  <si>
    <t>1704-1715</t>
  </si>
  <si>
    <t>1804-1815</t>
  </si>
  <si>
    <t>1904-1915</t>
  </si>
  <si>
    <t>2004-2015</t>
  </si>
  <si>
    <t>2104-2115</t>
  </si>
  <si>
    <t>2204-2215</t>
  </si>
  <si>
    <t>2404</t>
  </si>
  <si>
    <t>CU01</t>
  </si>
  <si>
    <t>$\Delta_{adm}  [cm]$</t>
  </si>
  <si>
    <t>Estado</t>
  </si>
  <si>
    <t>$\phi$</t>
  </si>
  <si>
    <t>$F'$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</si>
</sst>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9" xfId="0" applyBorder="1"/>
    <xf numFmtId="0" fontId="0" fillId="0" borderId="21" xfId="0" applyBorder="1"/>
    <xf numFmtId="0" fontId="0" fillId="0" borderId="6" xfId="0" applyBorder="1" applyAlignment="1">
      <alignment horizontal="right"/>
    </xf>
    <xf numFmtId="0" fontId="0" fillId="0" borderId="0" xfId="0" applyBorder="1"/>
    <xf numFmtId="49" fontId="0" fillId="0" borderId="0" xfId="0" applyNumberFormat="1"/>
    <xf numFmtId="1" fontId="0" fillId="0" borderId="0" xfId="0" applyNumberFormat="1"/>
    <xf numFmtId="164" fontId="3" fillId="0" borderId="0" xfId="0" applyNumberFormat="1" applyFont="1" applyBorder="1" applyAlignment="1">
      <alignment horizontal="center" vertical="center"/>
    </xf>
    <xf numFmtId="0" fontId="0" fillId="5" borderId="12" xfId="0" applyFill="1" applyBorder="1"/>
    <xf numFmtId="0" fontId="2" fillId="0" borderId="5" xfId="0" applyFont="1" applyBorder="1"/>
    <xf numFmtId="0" fontId="2" fillId="0" borderId="7" xfId="0" applyFont="1" applyBorder="1"/>
    <xf numFmtId="0" fontId="2" fillId="0" borderId="18" xfId="0" applyFont="1" applyBorder="1"/>
    <xf numFmtId="0" fontId="3" fillId="0" borderId="18" xfId="0" applyFont="1" applyBorder="1"/>
    <xf numFmtId="0" fontId="3" fillId="0" borderId="20" xfId="0" applyFont="1" applyBorder="1"/>
    <xf numFmtId="0" fontId="3" fillId="5" borderId="10" xfId="0" applyFont="1" applyFill="1" applyBorder="1"/>
    <xf numFmtId="0" fontId="2" fillId="0" borderId="10" xfId="0" applyFont="1" applyFill="1" applyBorder="1"/>
    <xf numFmtId="0" fontId="3" fillId="0" borderId="0" xfId="0" applyFont="1" applyFill="1" applyBorder="1"/>
    <xf numFmtId="0" fontId="6" fillId="0" borderId="0" xfId="0" applyFont="1"/>
    <xf numFmtId="2" fontId="2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0" fillId="5" borderId="12" xfId="0" applyFill="1" applyBorder="1" applyAlignment="1">
      <alignment horizontal="right"/>
    </xf>
    <xf numFmtId="164" fontId="0" fillId="0" borderId="0" xfId="0" applyNumberFormat="1"/>
    <xf numFmtId="0" fontId="4" fillId="6" borderId="1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0" fontId="2" fillId="7" borderId="10" xfId="0" applyFont="1" applyFill="1" applyBorder="1" applyAlignment="1"/>
    <xf numFmtId="0" fontId="2" fillId="7" borderId="12" xfId="0" applyFont="1" applyFill="1" applyBorder="1" applyAlignment="1"/>
    <xf numFmtId="0" fontId="2" fillId="0" borderId="10" xfId="0" applyFont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8" xfId="0" applyFill="1" applyBorder="1" applyAlignment="1">
      <alignment horizontal="center" vertical="center"/>
    </xf>
    <xf numFmtId="49" fontId="0" fillId="0" borderId="0" xfId="0" applyNumberFormat="1" applyBorder="1"/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7" xfId="0" applyFill="1" applyBorder="1"/>
    <xf numFmtId="0" fontId="2" fillId="3" borderId="16" xfId="0" applyFont="1" applyFill="1" applyBorder="1"/>
    <xf numFmtId="0" fontId="2" fillId="7" borderId="11" xfId="0" applyFont="1" applyFill="1" applyBorder="1" applyAlignment="1"/>
    <xf numFmtId="0" fontId="0" fillId="0" borderId="15" xfId="0" applyNumberFormat="1" applyBorder="1" applyAlignment="1">
      <alignment horizontal="center"/>
    </xf>
    <xf numFmtId="0" fontId="2" fillId="3" borderId="5" xfId="0" applyFont="1" applyFill="1" applyBorder="1"/>
    <xf numFmtId="0" fontId="0" fillId="3" borderId="6" xfId="0" applyFill="1" applyBorder="1"/>
    <xf numFmtId="0" fontId="2" fillId="3" borderId="2" xfId="0" applyFont="1" applyFill="1" applyBorder="1"/>
    <xf numFmtId="0" fontId="0" fillId="3" borderId="4" xfId="0" applyFill="1" applyBorder="1" applyAlignment="1">
      <alignment horizontal="right"/>
    </xf>
    <xf numFmtId="0" fontId="0" fillId="0" borderId="11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49" fontId="2" fillId="6" borderId="4" xfId="0" applyNumberFormat="1" applyFont="1" applyFill="1" applyBorder="1" applyAlignment="1">
      <alignment horizontal="center"/>
    </xf>
    <xf numFmtId="0" fontId="2" fillId="6" borderId="3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" fontId="0" fillId="0" borderId="0" xfId="0" applyNumberFormat="1" applyBorder="1"/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right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4" fillId="0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/>
    <xf numFmtId="0" fontId="0" fillId="0" borderId="0" xfId="0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4" fillId="6" borderId="1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0" fillId="0" borderId="0" xfId="0" applyNumberFormat="1"/>
    <xf numFmtId="2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0" fillId="0" borderId="25" xfId="0" applyNumberFormat="1" applyBorder="1" applyAlignment="1">
      <alignment horizontal="center" vertical="center" wrapText="1"/>
    </xf>
    <xf numFmtId="0" fontId="0" fillId="0" borderId="24" xfId="0" applyNumberFormat="1" applyBorder="1" applyAlignment="1">
      <alignment horizontal="center" vertical="center" wrapText="1"/>
    </xf>
    <xf numFmtId="0" fontId="2" fillId="0" borderId="25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1" xfId="0" applyNumberFormat="1" applyFont="1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" fillId="0" borderId="35" xfId="0" applyNumberFormat="1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49" fontId="2" fillId="0" borderId="35" xfId="0" applyNumberFormat="1" applyFont="1" applyBorder="1" applyAlignment="1">
      <alignment horizontal="center" vertical="center" wrapText="1"/>
    </xf>
    <xf numFmtId="49" fontId="2" fillId="0" borderId="33" xfId="0" applyNumberFormat="1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49" fontId="2" fillId="0" borderId="31" xfId="0" applyNumberFormat="1" applyFont="1" applyBorder="1" applyAlignment="1">
      <alignment horizontal="center" vertical="center" wrapText="1"/>
    </xf>
    <xf numFmtId="0" fontId="2" fillId="0" borderId="33" xfId="0" applyNumberFormat="1" applyFont="1" applyBorder="1" applyAlignment="1">
      <alignment horizontal="center" vertical="center" wrapText="1"/>
    </xf>
    <xf numFmtId="0" fontId="2" fillId="0" borderId="26" xfId="0" applyNumberFormat="1" applyFont="1" applyBorder="1" applyAlignment="1">
      <alignment horizontal="center" vertical="center" wrapText="1"/>
    </xf>
    <xf numFmtId="0" fontId="2" fillId="0" borderId="27" xfId="0" applyNumberFormat="1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 wrapText="1"/>
    </xf>
    <xf numFmtId="0" fontId="0" fillId="0" borderId="23" xfId="0" applyNumberFormat="1" applyBorder="1" applyAlignment="1">
      <alignment horizontal="center" vertical="center" wrapText="1"/>
    </xf>
    <xf numFmtId="0" fontId="0" fillId="0" borderId="34" xfId="0" applyNumberFormat="1" applyBorder="1" applyAlignment="1">
      <alignment horizontal="center" vertical="center" wrapText="1"/>
    </xf>
    <xf numFmtId="0" fontId="0" fillId="0" borderId="36" xfId="0" applyNumberFormat="1" applyBorder="1" applyAlignment="1">
      <alignment horizontal="center" vertical="center" wrapText="1"/>
    </xf>
    <xf numFmtId="0" fontId="0" fillId="0" borderId="37" xfId="0" applyNumberFormat="1" applyBorder="1" applyAlignment="1">
      <alignment horizontal="center" vertical="center" wrapText="1"/>
    </xf>
    <xf numFmtId="49" fontId="0" fillId="0" borderId="31" xfId="0" applyNumberFormat="1" applyBorder="1" applyAlignment="1">
      <alignment horizontal="center" vertical="center" wrapText="1"/>
    </xf>
    <xf numFmtId="49" fontId="2" fillId="0" borderId="23" xfId="0" applyNumberFormat="1" applyFont="1" applyBorder="1" applyAlignment="1">
      <alignment horizontal="center" vertical="center" wrapText="1"/>
    </xf>
    <xf numFmtId="49" fontId="0" fillId="0" borderId="35" xfId="0" applyNumberFormat="1" applyBorder="1" applyAlignment="1">
      <alignment horizontal="center" vertical="center" wrapText="1"/>
    </xf>
    <xf numFmtId="49" fontId="0" fillId="0" borderId="33" xfId="0" applyNumberForma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5" xfId="0" applyBorder="1" applyAlignment="1">
      <alignment horizontal="center"/>
    </xf>
    <xf numFmtId="49" fontId="2" fillId="0" borderId="38" xfId="0" applyNumberFormat="1" applyFont="1" applyBorder="1" applyAlignment="1">
      <alignment horizontal="center" vertical="center" wrapText="1"/>
    </xf>
    <xf numFmtId="0" fontId="0" fillId="0" borderId="29" xfId="0" applyNumberFormat="1" applyBorder="1" applyAlignment="1">
      <alignment horizontal="center" vertical="center" wrapText="1"/>
    </xf>
    <xf numFmtId="0" fontId="0" fillId="0" borderId="32" xfId="0" applyNumberFormat="1" applyBorder="1" applyAlignment="1">
      <alignment horizontal="center" vertical="center" wrapText="1"/>
    </xf>
    <xf numFmtId="0" fontId="2" fillId="0" borderId="39" xfId="0" applyNumberFormat="1" applyFont="1" applyBorder="1" applyAlignment="1">
      <alignment horizontal="center" vertical="center" wrapText="1"/>
    </xf>
    <xf numFmtId="0" fontId="2" fillId="0" borderId="28" xfId="0" applyNumberFormat="1" applyFont="1" applyBorder="1" applyAlignment="1">
      <alignment horizontal="center" vertical="center" wrapText="1"/>
    </xf>
    <xf numFmtId="0" fontId="2" fillId="0" borderId="22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8" xfId="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2" fillId="0" borderId="29" xfId="0" applyNumberFormat="1" applyFont="1" applyBorder="1" applyAlignment="1">
      <alignment horizontal="center" vertical="center" wrapText="1"/>
    </xf>
    <xf numFmtId="2" fontId="0" fillId="0" borderId="23" xfId="0" applyNumberFormat="1" applyBorder="1" applyAlignment="1">
      <alignment horizontal="center" vertical="center" wrapText="1"/>
    </xf>
    <xf numFmtId="2" fontId="0" fillId="0" borderId="25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2" fontId="2" fillId="0" borderId="26" xfId="0" applyNumberFormat="1" applyFon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1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/>
    </xf>
    <xf numFmtId="49" fontId="2" fillId="0" borderId="11" xfId="0" applyNumberFormat="1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1" xfId="0" applyNumberFormat="1" applyFont="1" applyBorder="1" applyAlignment="1">
      <alignment horizontal="center" vertical="center" wrapText="1"/>
    </xf>
    <xf numFmtId="0" fontId="2" fillId="0" borderId="3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3" xfId="0" applyNumberFormat="1" applyFont="1" applyBorder="1" applyAlignment="1">
      <alignment horizontal="center" vertical="center" wrapText="1"/>
    </xf>
    <xf numFmtId="0" fontId="2" fillId="0" borderId="24" xfId="0" applyNumberFormat="1" applyFont="1" applyBorder="1" applyAlignment="1">
      <alignment horizontal="center" vertical="center" wrapText="1"/>
    </xf>
    <xf numFmtId="0" fontId="2" fillId="0" borderId="26" xfId="0" applyNumberFormat="1" applyFont="1" applyBorder="1" applyAlignment="1">
      <alignment horizontal="center" vertical="center" wrapText="1"/>
    </xf>
    <xf numFmtId="0" fontId="2" fillId="0" borderId="27" xfId="0" applyNumberFormat="1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/>
    </xf>
    <xf numFmtId="0" fontId="2" fillId="0" borderId="11" xfId="0" applyNumberFormat="1" applyFont="1" applyFill="1" applyBorder="1" applyAlignment="1">
      <alignment horizontal="center"/>
    </xf>
    <xf numFmtId="0" fontId="2" fillId="0" borderId="0" xfId="0" applyFont="1"/>
    <xf numFmtId="2" fontId="2" fillId="0" borderId="8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7"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madura%20los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-1"/>
      <sheetName val="Tabla -1"/>
      <sheetName val="1"/>
      <sheetName val="Tabla 1"/>
      <sheetName val="2 a 7"/>
      <sheetName val="8 a 13"/>
      <sheetName val="14 a 22"/>
      <sheetName val="Tabla 2 al 22"/>
      <sheetName val="23"/>
      <sheetName val="Tabla 23"/>
      <sheetName val="24"/>
      <sheetName val="Tabla 24"/>
      <sheetName val="Cubierta"/>
      <sheetName val="Tabla cub"/>
      <sheetName val="Deformaciones"/>
    </sheetNames>
    <sheetDataSet>
      <sheetData sheetId="0"/>
      <sheetData sheetId="1"/>
      <sheetData sheetId="2">
        <row r="5">
          <cell r="G5" t="str">
            <v>$\phi8@16$</v>
          </cell>
          <cell r="I5" t="str">
            <v>$\phi8@16$</v>
          </cell>
          <cell r="K5" t="str">
            <v>$\phi10@20$</v>
          </cell>
          <cell r="M5" t="str">
            <v>$\phi8@14$</v>
          </cell>
        </row>
        <row r="6">
          <cell r="G6" t="str">
            <v>$\phi8@16$</v>
          </cell>
          <cell r="I6" t="str">
            <v>$\phi8@16$</v>
          </cell>
          <cell r="K6" t="str">
            <v>$\phi8@10$</v>
          </cell>
          <cell r="M6" t="str">
            <v>$\phi10@21$</v>
          </cell>
        </row>
        <row r="7">
          <cell r="G7" t="str">
            <v>$\phi8@16$</v>
          </cell>
          <cell r="I7" t="str">
            <v>$\phi8@16$</v>
          </cell>
          <cell r="K7" t="str">
            <v>$\phi8@10$</v>
          </cell>
          <cell r="M7" t="str">
            <v>$\phi10@21$</v>
          </cell>
        </row>
        <row r="8">
          <cell r="G8" t="str">
            <v>$\phi8@16$</v>
          </cell>
          <cell r="I8" t="str">
            <v>$\phi8@16$</v>
          </cell>
          <cell r="K8" t="str">
            <v>$\phi10@15$</v>
          </cell>
          <cell r="M8" t="str">
            <v>$\phi10@20$</v>
          </cell>
        </row>
        <row r="9">
          <cell r="G9" t="str">
            <v>$\phi8@16$</v>
          </cell>
          <cell r="I9" t="str">
            <v>$\phi8@16$</v>
          </cell>
          <cell r="K9" t="str">
            <v>$\phi8@15$</v>
          </cell>
          <cell r="M9" t="str">
            <v>$\phi8@16$</v>
          </cell>
        </row>
        <row r="10">
          <cell r="G10" t="str">
            <v>$\phi8@16$</v>
          </cell>
          <cell r="I10" t="str">
            <v>$\phi8@16$</v>
          </cell>
          <cell r="K10" t="str">
            <v>$\phi8@16$</v>
          </cell>
          <cell r="M10" t="str">
            <v>$\phi8@16$</v>
          </cell>
        </row>
        <row r="11">
          <cell r="G11" t="str">
            <v>$\phi8@16$</v>
          </cell>
          <cell r="I11" t="str">
            <v>$\phi8@16$</v>
          </cell>
          <cell r="K11" t="str">
            <v>$\phi10@18$</v>
          </cell>
          <cell r="M11" t="str">
            <v>$\phi10@20$</v>
          </cell>
        </row>
        <row r="12">
          <cell r="G12" t="str">
            <v>$\phi8@16$</v>
          </cell>
          <cell r="I12" t="str">
            <v>$\phi8@16$</v>
          </cell>
          <cell r="K12" t="str">
            <v>$\phi12@20$</v>
          </cell>
          <cell r="M12" t="str">
            <v>$\phi12@24$</v>
          </cell>
        </row>
        <row r="13">
          <cell r="G13" t="str">
            <v>$\phi8@16$</v>
          </cell>
          <cell r="I13" t="str">
            <v>$\phi8@16$</v>
          </cell>
          <cell r="K13" t="str">
            <v>$\phi12@20$</v>
          </cell>
          <cell r="M13" t="str">
            <v>$\phi12@24$</v>
          </cell>
        </row>
        <row r="14">
          <cell r="G14" t="str">
            <v>$\phi8@10$</v>
          </cell>
          <cell r="I14" t="str">
            <v>$\phi8@16$</v>
          </cell>
          <cell r="K14" t="str">
            <v>$\phi12@16$</v>
          </cell>
          <cell r="M14" t="str">
            <v>$\phi12@24$</v>
          </cell>
        </row>
        <row r="15">
          <cell r="G15" t="str">
            <v>$\phi8@16$</v>
          </cell>
          <cell r="I15" t="str">
            <v>$\phi8@16$</v>
          </cell>
          <cell r="K15" t="str">
            <v>$\phi8@16$</v>
          </cell>
          <cell r="M15" t="str">
            <v>$\phi8@16$</v>
          </cell>
        </row>
        <row r="16">
          <cell r="G16" t="str">
            <v>$\phi8@16$</v>
          </cell>
          <cell r="I16" t="str">
            <v>$\phi8@16$</v>
          </cell>
          <cell r="K16" t="str">
            <v>$\phi12@17$</v>
          </cell>
          <cell r="M16" t="str">
            <v>$\phi8@10$</v>
          </cell>
        </row>
        <row r="17">
          <cell r="G17" t="str">
            <v>$\phi8@16$</v>
          </cell>
          <cell r="I17" t="str">
            <v>$\phi8@16$</v>
          </cell>
          <cell r="K17" t="str">
            <v>$\phi10@23$</v>
          </cell>
          <cell r="M17" t="str">
            <v>$\phi8@16$</v>
          </cell>
        </row>
        <row r="18">
          <cell r="G18" t="str">
            <v>$\phi8@16$</v>
          </cell>
          <cell r="I18" t="str">
            <v>$\phi8@16$</v>
          </cell>
          <cell r="K18" t="str">
            <v>$\phi8@13$</v>
          </cell>
          <cell r="M18" t="str">
            <v>$\phi10@25$</v>
          </cell>
        </row>
        <row r="19">
          <cell r="G19" t="str">
            <v>$\phi8@16$</v>
          </cell>
          <cell r="I19" t="str">
            <v>$\phi8@16$</v>
          </cell>
          <cell r="K19" t="str">
            <v>$\phi12@15$</v>
          </cell>
          <cell r="M19" t="str">
            <v>$\phi12@20$</v>
          </cell>
        </row>
        <row r="20">
          <cell r="G20" t="str">
            <v>$\phi10@24$</v>
          </cell>
          <cell r="I20" t="str">
            <v>$\phi8@16$</v>
          </cell>
          <cell r="K20" t="str">
            <v>$\phi10@17$</v>
          </cell>
          <cell r="M20" t="str">
            <v>$\phi10@25$</v>
          </cell>
        </row>
        <row r="21">
          <cell r="G21" t="str">
            <v>$\phi8@16$</v>
          </cell>
          <cell r="I21" t="str">
            <v>$\phi8@16$</v>
          </cell>
          <cell r="K21" t="str">
            <v>$\phi8@16$</v>
          </cell>
          <cell r="M21" t="str">
            <v>$\phi8@16$</v>
          </cell>
        </row>
        <row r="22">
          <cell r="G22" t="str">
            <v>$\phi8@16$</v>
          </cell>
          <cell r="I22" t="str">
            <v>$\phi8@16$</v>
          </cell>
          <cell r="K22" t="str">
            <v>$\phi16@21$</v>
          </cell>
          <cell r="M22" t="str">
            <v>$\phi10@11$</v>
          </cell>
        </row>
        <row r="23">
          <cell r="G23" t="str">
            <v>$\phi8@16$</v>
          </cell>
          <cell r="I23" t="str">
            <v>$\phi8@16$</v>
          </cell>
          <cell r="K23" t="str">
            <v>$\phi8@16$</v>
          </cell>
          <cell r="M23" t="str">
            <v>$\phi8@16$</v>
          </cell>
        </row>
        <row r="24">
          <cell r="G24" t="str">
            <v>$\phi8@16$</v>
          </cell>
          <cell r="I24" t="str">
            <v>$\phi8@16$</v>
          </cell>
          <cell r="K24" t="str">
            <v>$\phi8@16$</v>
          </cell>
          <cell r="M24" t="str">
            <v>$\phi8@16$</v>
          </cell>
        </row>
        <row r="25">
          <cell r="G25" t="str">
            <v>$\phi8@16$</v>
          </cell>
          <cell r="I25" t="str">
            <v>$\phi8@16$</v>
          </cell>
          <cell r="K25" t="str">
            <v>$\phi8@16$</v>
          </cell>
          <cell r="M25" t="str">
            <v>$\phi8@16$</v>
          </cell>
        </row>
        <row r="26">
          <cell r="G26" t="str">
            <v>$\phi8@16$</v>
          </cell>
          <cell r="I26" t="str">
            <v>$\phi8@16$</v>
          </cell>
          <cell r="K26" t="str">
            <v>$\phi10@21$</v>
          </cell>
          <cell r="M26" t="str">
            <v>$\phi8@16$</v>
          </cell>
        </row>
        <row r="27">
          <cell r="G27" t="str">
            <v>$\phi8@16$</v>
          </cell>
          <cell r="I27" t="str">
            <v>$\phi8@16$</v>
          </cell>
          <cell r="K27" t="str">
            <v>$\phi12@17$</v>
          </cell>
          <cell r="M27" t="str">
            <v>$\phi12@19$</v>
          </cell>
        </row>
        <row r="28">
          <cell r="G28" t="str">
            <v>$\phi16@19$</v>
          </cell>
          <cell r="I28" t="str">
            <v>$\phi8@16$</v>
          </cell>
          <cell r="K28" t="str">
            <v>$\phi16@13$</v>
          </cell>
          <cell r="M28" t="str">
            <v>$\phi16@19$</v>
          </cell>
        </row>
        <row r="29">
          <cell r="G29" t="str">
            <v>$\phi8@16$</v>
          </cell>
          <cell r="I29" t="str">
            <v>$\phi8@16$</v>
          </cell>
          <cell r="K29" t="str">
            <v>$\phi10@14$</v>
          </cell>
          <cell r="M29" t="str">
            <v>$\phi10@19$</v>
          </cell>
        </row>
        <row r="30">
          <cell r="G30" t="str">
            <v>$\phi8@16$</v>
          </cell>
          <cell r="I30" t="str">
            <v>$\phi8@16$</v>
          </cell>
          <cell r="K30" t="str">
            <v>$\phi12@18$</v>
          </cell>
          <cell r="M30" t="str">
            <v>$\phi12@24$</v>
          </cell>
        </row>
        <row r="31">
          <cell r="G31" t="str">
            <v>$\phi10@25$</v>
          </cell>
          <cell r="I31" t="str">
            <v>$\phi8@16$</v>
          </cell>
          <cell r="K31" t="str">
            <v>$\phi16@20$</v>
          </cell>
          <cell r="M31" t="str">
            <v>$\phi12@15$</v>
          </cell>
        </row>
        <row r="32">
          <cell r="G32" t="str">
            <v>$\phi8@16$</v>
          </cell>
          <cell r="I32" t="str">
            <v>$\phi8@16$</v>
          </cell>
          <cell r="K32" t="str">
            <v>$\phi8@16$</v>
          </cell>
          <cell r="M32" t="str">
            <v>$\phi8@16$</v>
          </cell>
        </row>
        <row r="33">
          <cell r="G33" t="str">
            <v>$\phi8@16$</v>
          </cell>
          <cell r="I33" t="str">
            <v>$\phi8@16$</v>
          </cell>
          <cell r="K33" t="str">
            <v>$\phi8@16$</v>
          </cell>
          <cell r="M33" t="str">
            <v>$\phi8@16$</v>
          </cell>
        </row>
        <row r="37">
          <cell r="G37" t="str">
            <v>$\phi10@23$</v>
          </cell>
        </row>
        <row r="38">
          <cell r="G38" t="str">
            <v>$\phi8@14$</v>
          </cell>
        </row>
        <row r="39">
          <cell r="G39" t="str">
            <v>$\phi10@23$</v>
          </cell>
        </row>
        <row r="40">
          <cell r="G40" t="str">
            <v>$\phi12@23$</v>
          </cell>
        </row>
        <row r="41">
          <cell r="G41" t="str">
            <v>$\phi10@23$</v>
          </cell>
        </row>
        <row r="42">
          <cell r="G42" t="str">
            <v>$\phi12@23$</v>
          </cell>
        </row>
        <row r="43">
          <cell r="G43" t="str">
            <v>$\phi10@14$</v>
          </cell>
        </row>
        <row r="44">
          <cell r="G44" t="str">
            <v>$\phi10@24$</v>
          </cell>
        </row>
        <row r="45">
          <cell r="G45" t="str">
            <v>$\phi8@16$</v>
          </cell>
        </row>
        <row r="46">
          <cell r="G46" t="str">
            <v>$\phi8@10$</v>
          </cell>
        </row>
        <row r="47">
          <cell r="G47" t="str">
            <v>$\phi8@16$</v>
          </cell>
        </row>
        <row r="48">
          <cell r="G48" t="str">
            <v>$\phi10@19$</v>
          </cell>
        </row>
        <row r="49">
          <cell r="G49" t="str">
            <v>$\phi12@22$</v>
          </cell>
        </row>
        <row r="50">
          <cell r="G50" t="str">
            <v>$\phi12@20$</v>
          </cell>
        </row>
        <row r="51">
          <cell r="G51" t="str">
            <v>$\phi10@18$</v>
          </cell>
        </row>
        <row r="52">
          <cell r="G52" t="str">
            <v>$\phi10@18$</v>
          </cell>
        </row>
        <row r="53">
          <cell r="G53" t="str">
            <v>$\phi10@18$</v>
          </cell>
        </row>
        <row r="54">
          <cell r="G54" t="str">
            <v>$\phi8@11$</v>
          </cell>
        </row>
        <row r="55">
          <cell r="G55" t="str">
            <v>$\phi10@13$</v>
          </cell>
        </row>
        <row r="56">
          <cell r="G56" t="str">
            <v>$\phi8@14$</v>
          </cell>
        </row>
        <row r="57">
          <cell r="G57" t="str">
            <v>$\phi12@17$</v>
          </cell>
        </row>
        <row r="58">
          <cell r="G58" t="str">
            <v>$\phi12@22$</v>
          </cell>
        </row>
        <row r="59">
          <cell r="G59" t="str">
            <v>$\phi8@16$</v>
          </cell>
        </row>
        <row r="60">
          <cell r="G60" t="str">
            <v>$\phi12@15$</v>
          </cell>
        </row>
        <row r="61">
          <cell r="G61" t="str">
            <v>$\phi10@21$</v>
          </cell>
        </row>
        <row r="62">
          <cell r="G62" t="str">
            <v>$\phi10@24$</v>
          </cell>
        </row>
        <row r="63">
          <cell r="G63" t="str">
            <v>$\phi8@16$</v>
          </cell>
        </row>
        <row r="64">
          <cell r="G64" t="str">
            <v>$\phi8@16$</v>
          </cell>
        </row>
        <row r="65">
          <cell r="G65" t="str">
            <v>$\phi8@12$</v>
          </cell>
        </row>
        <row r="66">
          <cell r="G66" t="str">
            <v>$\phi8@16$</v>
          </cell>
        </row>
        <row r="67">
          <cell r="G67" t="str">
            <v>$\phi10@19$</v>
          </cell>
        </row>
        <row r="68">
          <cell r="G68" t="str">
            <v>$\phi10@13$</v>
          </cell>
        </row>
        <row r="69">
          <cell r="G69" t="str">
            <v>$\phi10@17$</v>
          </cell>
        </row>
        <row r="70">
          <cell r="G70" t="str">
            <v>$\phi8@14$</v>
          </cell>
        </row>
        <row r="71">
          <cell r="G71" t="str">
            <v>$\phi12@21$</v>
          </cell>
        </row>
        <row r="72">
          <cell r="G72" t="str">
            <v>$\phi12@21$</v>
          </cell>
        </row>
        <row r="73">
          <cell r="G73" t="str">
            <v>$\phi8@16$</v>
          </cell>
        </row>
        <row r="74">
          <cell r="G74" t="str">
            <v>$\phi16@17$</v>
          </cell>
        </row>
        <row r="75">
          <cell r="G75" t="str">
            <v>$\phi12@18$</v>
          </cell>
        </row>
        <row r="76">
          <cell r="G76" t="str">
            <v>$\phi12@23$</v>
          </cell>
        </row>
        <row r="77">
          <cell r="G77" t="str">
            <v>$\phi12@24$</v>
          </cell>
        </row>
        <row r="78">
          <cell r="G78" t="str">
            <v>$\phi8@16$</v>
          </cell>
        </row>
        <row r="79">
          <cell r="G79" t="str">
            <v>$\phi8@16$</v>
          </cell>
        </row>
        <row r="80">
          <cell r="G80" t="str">
            <v>$\phi8@16$</v>
          </cell>
        </row>
        <row r="81">
          <cell r="G81" t="str">
            <v>$\phi8@16$</v>
          </cell>
        </row>
        <row r="82">
          <cell r="G82" t="str">
            <v>$\phi8@16$</v>
          </cell>
        </row>
        <row r="83">
          <cell r="G83" t="str">
            <v>$\phi8@16$</v>
          </cell>
        </row>
        <row r="84">
          <cell r="G84" t="str">
            <v>$\phi16@20$</v>
          </cell>
        </row>
        <row r="85">
          <cell r="G85" t="str">
            <v>$\phi10@24$</v>
          </cell>
        </row>
        <row r="86">
          <cell r="G86" t="str">
            <v>$\phi12@22$</v>
          </cell>
        </row>
        <row r="87">
          <cell r="G87" t="str">
            <v>$\phi12@24$</v>
          </cell>
        </row>
        <row r="88">
          <cell r="G88" t="str">
            <v>$\phi10@10$</v>
          </cell>
        </row>
        <row r="89">
          <cell r="G89" t="str">
            <v>$\phi10@10$</v>
          </cell>
        </row>
        <row r="90">
          <cell r="G90" t="str">
            <v>$\phi12@15$</v>
          </cell>
        </row>
        <row r="91">
          <cell r="G91" t="str">
            <v>$\phi16@20$</v>
          </cell>
        </row>
        <row r="92">
          <cell r="G92" t="str">
            <v>$\phi12@21$</v>
          </cell>
        </row>
        <row r="93">
          <cell r="G93" t="str">
            <v>$\phi12@15$</v>
          </cell>
        </row>
        <row r="94">
          <cell r="G94" t="str">
            <v>$\phi10@11$</v>
          </cell>
        </row>
      </sheetData>
      <sheetData sheetId="3"/>
      <sheetData sheetId="4">
        <row r="5">
          <cell r="G5" t="str">
            <v>$\phi8@17$</v>
          </cell>
          <cell r="I5" t="str">
            <v>$\phi8@17$</v>
          </cell>
          <cell r="K5" t="str">
            <v>$\phi12@24$</v>
          </cell>
          <cell r="M5" t="str">
            <v>$\phi10@20$</v>
          </cell>
        </row>
        <row r="6">
          <cell r="G6" t="str">
            <v>$\phi8@17$</v>
          </cell>
          <cell r="I6" t="str">
            <v>$\phi8@17$</v>
          </cell>
          <cell r="K6" t="str">
            <v>$\phi10@15$</v>
          </cell>
          <cell r="M6" t="str">
            <v>$\phi10@20$</v>
          </cell>
        </row>
        <row r="7">
          <cell r="G7" t="str">
            <v>$\phi8@17$</v>
          </cell>
          <cell r="I7" t="str">
            <v>$\phi8@17$</v>
          </cell>
          <cell r="K7" t="str">
            <v>$\phi10@15$</v>
          </cell>
          <cell r="M7" t="str">
            <v>$\phi10@20$</v>
          </cell>
        </row>
        <row r="8">
          <cell r="G8" t="str">
            <v>$\phi8@17$</v>
          </cell>
          <cell r="I8" t="str">
            <v>$\phi8@17$</v>
          </cell>
          <cell r="K8" t="str">
            <v>$\phi10@14$</v>
          </cell>
          <cell r="M8" t="str">
            <v>$\phi10@19$</v>
          </cell>
        </row>
        <row r="9">
          <cell r="G9" t="str">
            <v>$\phi8@17$</v>
          </cell>
          <cell r="I9" t="str">
            <v>$\phi8@17$</v>
          </cell>
          <cell r="K9" t="str">
            <v>$\phi12@21$</v>
          </cell>
          <cell r="M9" t="str">
            <v>$\phi12@22$</v>
          </cell>
        </row>
        <row r="10">
          <cell r="G10" t="str">
            <v>$\phi8@17$</v>
          </cell>
          <cell r="I10" t="str">
            <v>$\phi8@17$</v>
          </cell>
          <cell r="K10" t="str">
            <v>$\phi10@13$</v>
          </cell>
          <cell r="M10" t="str">
            <v>$\phi8@10$</v>
          </cell>
        </row>
        <row r="11">
          <cell r="G11" t="str">
            <v>$\phi8@17$</v>
          </cell>
          <cell r="I11" t="str">
            <v>$\phi8@17$</v>
          </cell>
          <cell r="K11" t="str">
            <v>$\phi10@13$</v>
          </cell>
          <cell r="M11" t="str">
            <v>$\phi8@10$</v>
          </cell>
        </row>
        <row r="12">
          <cell r="G12" t="str">
            <v>$\phi8@17$</v>
          </cell>
          <cell r="I12" t="str">
            <v>$\phi8@17$</v>
          </cell>
          <cell r="K12" t="str">
            <v>$\phi12@18$</v>
          </cell>
          <cell r="M12" t="str">
            <v>$\phi12@24$</v>
          </cell>
        </row>
        <row r="13">
          <cell r="G13" t="str">
            <v>$\phi8@17$</v>
          </cell>
          <cell r="I13" t="str">
            <v>$\phi8@17$</v>
          </cell>
          <cell r="K13" t="str">
            <v>$\phi8@11$</v>
          </cell>
          <cell r="M13" t="str">
            <v>$\phi8@12$</v>
          </cell>
        </row>
        <row r="14">
          <cell r="G14" t="str">
            <v>$\phi8@17$</v>
          </cell>
          <cell r="I14" t="str">
            <v>$\phi8@17$</v>
          </cell>
          <cell r="K14" t="str">
            <v>$\phi8@14$</v>
          </cell>
          <cell r="M14" t="str">
            <v>$\phi8@17$</v>
          </cell>
        </row>
        <row r="15">
          <cell r="G15" t="str">
            <v>$\phi8@17$</v>
          </cell>
          <cell r="I15" t="str">
            <v>$\phi8@17$</v>
          </cell>
          <cell r="K15" t="str">
            <v>$\phi10@20$</v>
          </cell>
          <cell r="M15" t="str">
            <v>$\phi8@15$</v>
          </cell>
        </row>
        <row r="16">
          <cell r="G16" t="str">
            <v>$\phi8@17$</v>
          </cell>
          <cell r="I16" t="str">
            <v>$\phi8@17$</v>
          </cell>
          <cell r="K16" t="str">
            <v>$\phi12@14$</v>
          </cell>
          <cell r="M16" t="str">
            <v>$\phi12@19$</v>
          </cell>
        </row>
        <row r="17">
          <cell r="G17" t="str">
            <v>$\phi8@17$</v>
          </cell>
          <cell r="I17" t="str">
            <v>$\phi8@17$</v>
          </cell>
          <cell r="K17" t="str">
            <v>$\phi8@17$</v>
          </cell>
          <cell r="M17" t="str">
            <v>$\phi8@17$</v>
          </cell>
        </row>
        <row r="18">
          <cell r="G18" t="str">
            <v>$\phi8@17$</v>
          </cell>
          <cell r="I18" t="str">
            <v>$\phi8@17$</v>
          </cell>
          <cell r="K18" t="str">
            <v>$\phi8@17$</v>
          </cell>
          <cell r="M18" t="str">
            <v>$\phi8@17$</v>
          </cell>
        </row>
        <row r="19">
          <cell r="G19" t="str">
            <v>$\phi8@17$</v>
          </cell>
          <cell r="I19" t="str">
            <v>$\phi8@17$</v>
          </cell>
          <cell r="K19" t="str">
            <v>$\phi8@17$</v>
          </cell>
          <cell r="M19" t="str">
            <v>$\phi8@17$</v>
          </cell>
        </row>
        <row r="20">
          <cell r="G20" t="str">
            <v>$\phi8@17$</v>
          </cell>
          <cell r="I20" t="str">
            <v>$\phi8@17$</v>
          </cell>
          <cell r="K20" t="str">
            <v>$\phi8@17$</v>
          </cell>
          <cell r="M20" t="str">
            <v>$\phi8@17$</v>
          </cell>
        </row>
        <row r="21">
          <cell r="G21" t="str">
            <v>$\phi8@17$</v>
          </cell>
          <cell r="I21" t="str">
            <v>$\phi8@17$</v>
          </cell>
          <cell r="K21" t="str">
            <v>$\phi10@19$</v>
          </cell>
          <cell r="M21" t="str">
            <v>$\phi8@14$</v>
          </cell>
        </row>
        <row r="22">
          <cell r="G22" t="str">
            <v>$\phi8@17$</v>
          </cell>
          <cell r="I22" t="str">
            <v>$\phi8@17$</v>
          </cell>
          <cell r="K22" t="str">
            <v>$\phi8@17$</v>
          </cell>
          <cell r="M22" t="str">
            <v>$\phi8@17$</v>
          </cell>
        </row>
        <row r="23">
          <cell r="G23" t="str">
            <v>$\phi8@17$</v>
          </cell>
          <cell r="I23" t="str">
            <v>$\phi8@17$</v>
          </cell>
          <cell r="K23" t="str">
            <v>$\phi8@17$</v>
          </cell>
          <cell r="M23" t="str">
            <v>$\phi8@17$</v>
          </cell>
        </row>
        <row r="24">
          <cell r="G24" t="str">
            <v>$\phi8@17$</v>
          </cell>
          <cell r="I24" t="str">
            <v>$\phi8@17$</v>
          </cell>
          <cell r="K24" t="str">
            <v>$\phi8@17$</v>
          </cell>
          <cell r="M24" t="str">
            <v>$\phi8@17$</v>
          </cell>
        </row>
        <row r="25">
          <cell r="G25" t="str">
            <v>$\phi8@17$</v>
          </cell>
          <cell r="I25" t="str">
            <v>$\phi8@17$</v>
          </cell>
          <cell r="K25" t="str">
            <v>$\phi8@17$</v>
          </cell>
          <cell r="M25" t="str">
            <v>$\phi8@17$</v>
          </cell>
        </row>
        <row r="29">
          <cell r="G29" t="str">
            <v>$\phi8@14$</v>
          </cell>
        </row>
        <row r="30">
          <cell r="G30" t="str">
            <v>$\phi10@17$</v>
          </cell>
        </row>
        <row r="31">
          <cell r="G31" t="str">
            <v>$\phi12@22$</v>
          </cell>
        </row>
        <row r="32">
          <cell r="G32" t="str">
            <v>$\phi10@22$</v>
          </cell>
        </row>
        <row r="33">
          <cell r="G33" t="str">
            <v>$\phi12@22$</v>
          </cell>
        </row>
        <row r="34">
          <cell r="G34" t="str">
            <v>$\phi8@14$</v>
          </cell>
        </row>
        <row r="35">
          <cell r="G35" t="str">
            <v>$\phi12@21$</v>
          </cell>
        </row>
        <row r="36">
          <cell r="G36" t="str">
            <v>$\phi10@17$</v>
          </cell>
        </row>
        <row r="37">
          <cell r="G37" t="str">
            <v>$\phi10@20$</v>
          </cell>
        </row>
        <row r="38">
          <cell r="G38" t="str">
            <v>$\phi10@17$</v>
          </cell>
        </row>
        <row r="39">
          <cell r="G39" t="str">
            <v>$\phi12@25$</v>
          </cell>
        </row>
        <row r="40">
          <cell r="G40" t="str">
            <v>$\phi12@24$</v>
          </cell>
        </row>
        <row r="41">
          <cell r="G41" t="str">
            <v>$\phi12@25$</v>
          </cell>
        </row>
        <row r="42">
          <cell r="G42" t="str">
            <v>$\phi12@18$</v>
          </cell>
        </row>
        <row r="43">
          <cell r="G43" t="str">
            <v>$\phi10@12$</v>
          </cell>
        </row>
        <row r="44">
          <cell r="G44" t="str">
            <v>$\phi8@12$</v>
          </cell>
        </row>
        <row r="45">
          <cell r="G45" t="str">
            <v>$\phi8@17$</v>
          </cell>
        </row>
        <row r="46">
          <cell r="G46" t="str">
            <v>$\phi8@17$</v>
          </cell>
        </row>
        <row r="47">
          <cell r="G47" t="str">
            <v>$\phi8@17$</v>
          </cell>
        </row>
        <row r="48">
          <cell r="G48" t="str">
            <v>$\phi8@17$</v>
          </cell>
        </row>
        <row r="49">
          <cell r="G49" t="str">
            <v>$\phi8@17$</v>
          </cell>
        </row>
        <row r="50">
          <cell r="G50" t="str">
            <v>$\phi10@18$</v>
          </cell>
        </row>
        <row r="51">
          <cell r="G51" t="str">
            <v>$\phi8@13$</v>
          </cell>
        </row>
        <row r="52">
          <cell r="G52" t="str">
            <v>$\phi12@20$</v>
          </cell>
        </row>
        <row r="53">
          <cell r="G53" t="str">
            <v>$\phi12@20$</v>
          </cell>
        </row>
        <row r="54">
          <cell r="G54" t="str">
            <v>$\phi8@17$</v>
          </cell>
        </row>
        <row r="55">
          <cell r="G55" t="str">
            <v>$\phi8@17$</v>
          </cell>
        </row>
        <row r="56">
          <cell r="G56" t="str">
            <v>$\phi8@17$</v>
          </cell>
        </row>
        <row r="57">
          <cell r="G57" t="str">
            <v>$\phi8@17$</v>
          </cell>
        </row>
        <row r="58">
          <cell r="G58" t="str">
            <v>$\phi8@17$</v>
          </cell>
        </row>
        <row r="59">
          <cell r="G59" t="str">
            <v>$\phi8@17$</v>
          </cell>
        </row>
        <row r="60">
          <cell r="G60" t="str">
            <v>$\phi8@17$</v>
          </cell>
        </row>
        <row r="61">
          <cell r="G61" t="str">
            <v>$\phi8@17$</v>
          </cell>
        </row>
        <row r="62">
          <cell r="G62" t="str">
            <v>$\phi8@17$</v>
          </cell>
        </row>
        <row r="63">
          <cell r="G63" t="str">
            <v>$\phi8@17$</v>
          </cell>
        </row>
      </sheetData>
      <sheetData sheetId="5"/>
      <sheetData sheetId="6"/>
      <sheetData sheetId="7"/>
      <sheetData sheetId="8">
        <row r="5">
          <cell r="H5" t="str">
            <v>$\phi8@17$</v>
          </cell>
          <cell r="J5" t="str">
            <v>$\phi8@17$</v>
          </cell>
          <cell r="L5" t="str">
            <v>$\phi8@17$</v>
          </cell>
          <cell r="N5" t="str">
            <v>$\phi8@17$</v>
          </cell>
        </row>
        <row r="6">
          <cell r="H6" t="str">
            <v>$\phi8@17$</v>
          </cell>
          <cell r="J6" t="str">
            <v>$\phi8@17$</v>
          </cell>
          <cell r="L6" t="str">
            <v>$\phi8@17$</v>
          </cell>
          <cell r="N6" t="str">
            <v>$\phi8@17$</v>
          </cell>
        </row>
        <row r="7">
          <cell r="H7" t="str">
            <v>$\phi8@17$</v>
          </cell>
          <cell r="J7" t="str">
            <v>$\phi8@17$</v>
          </cell>
          <cell r="L7" t="str">
            <v>$\phi8@10$</v>
          </cell>
          <cell r="N7" t="str">
            <v>$\phi10@20$</v>
          </cell>
        </row>
        <row r="8">
          <cell r="H8" t="str">
            <v>$\phi8@17$</v>
          </cell>
          <cell r="J8" t="str">
            <v>$\phi8@17$</v>
          </cell>
          <cell r="L8" t="str">
            <v>$\phi10@18$</v>
          </cell>
          <cell r="N8" t="str">
            <v>$\phi10@21$</v>
          </cell>
        </row>
        <row r="9">
          <cell r="H9" t="str">
            <v>$\phi8@17$</v>
          </cell>
          <cell r="J9" t="str">
            <v>$\phi8@17$</v>
          </cell>
          <cell r="L9" t="str">
            <v>$\phi8@17$</v>
          </cell>
          <cell r="N9" t="str">
            <v>$\phi8@17$</v>
          </cell>
        </row>
        <row r="10">
          <cell r="H10" t="str">
            <v>$\phi8@17$</v>
          </cell>
          <cell r="J10" t="str">
            <v>$\phi8@17$</v>
          </cell>
          <cell r="L10" t="str">
            <v>$\phi8@17$</v>
          </cell>
          <cell r="N10" t="str">
            <v>$\phi8@17$</v>
          </cell>
        </row>
        <row r="11">
          <cell r="H11" t="str">
            <v>$\phi8@17$</v>
          </cell>
          <cell r="J11" t="str">
            <v>$\phi8@17$</v>
          </cell>
          <cell r="L11" t="str">
            <v>$\phi8@17$</v>
          </cell>
          <cell r="N11" t="str">
            <v>$\phi8@17$</v>
          </cell>
        </row>
        <row r="12">
          <cell r="H12" t="str">
            <v>$\phi8@17$</v>
          </cell>
          <cell r="J12" t="str">
            <v>$\phi8@17$</v>
          </cell>
          <cell r="L12" t="str">
            <v>$\phi8@17$</v>
          </cell>
          <cell r="N12" t="str">
            <v>$\phi8@17$</v>
          </cell>
        </row>
        <row r="13">
          <cell r="H13" t="str">
            <v>$\phi8@17$</v>
          </cell>
          <cell r="J13" t="str">
            <v>$\phi8@17$</v>
          </cell>
          <cell r="L13" t="str">
            <v>$\phi8@17$</v>
          </cell>
          <cell r="N13" t="str">
            <v>$\phi8@17$</v>
          </cell>
        </row>
        <row r="14">
          <cell r="H14" t="str">
            <v>$\phi8@17$</v>
          </cell>
          <cell r="J14" t="str">
            <v>$\phi8@17$</v>
          </cell>
          <cell r="L14" t="str">
            <v>$\phi10@19$</v>
          </cell>
          <cell r="N14" t="str">
            <v>$\phi8@14$</v>
          </cell>
        </row>
        <row r="15">
          <cell r="H15" t="str">
            <v>$\phi8@17$</v>
          </cell>
          <cell r="J15" t="str">
            <v>$\phi8@17$</v>
          </cell>
          <cell r="L15" t="str">
            <v>$\phi8@17$</v>
          </cell>
          <cell r="N15" t="str">
            <v>$\phi8@17$</v>
          </cell>
        </row>
        <row r="16">
          <cell r="H16" t="str">
            <v>$\phi8@17$</v>
          </cell>
          <cell r="J16" t="str">
            <v>$\phi8@17$</v>
          </cell>
          <cell r="L16" t="str">
            <v>$\phi8@17$</v>
          </cell>
          <cell r="N16" t="str">
            <v>$\phi8@17$</v>
          </cell>
        </row>
        <row r="17">
          <cell r="H17" t="str">
            <v>$\phi8@17$</v>
          </cell>
          <cell r="J17" t="str">
            <v>$\phi8@17$</v>
          </cell>
          <cell r="L17" t="str">
            <v>$\phi8@17$</v>
          </cell>
          <cell r="N17" t="str">
            <v>$\phi8@17$</v>
          </cell>
        </row>
        <row r="18">
          <cell r="H18" t="str">
            <v>$\phi8@17$</v>
          </cell>
          <cell r="J18" t="str">
            <v>$\phi8@17$</v>
          </cell>
          <cell r="L18" t="str">
            <v>$\phi8@17$</v>
          </cell>
          <cell r="N18" t="str">
            <v>$\phi8@17$</v>
          </cell>
        </row>
        <row r="19">
          <cell r="H19" t="str">
            <v>$\phi8@17$</v>
          </cell>
          <cell r="J19" t="str">
            <v>$\phi8@17$</v>
          </cell>
          <cell r="L19" t="str">
            <v>$\phi8@17$</v>
          </cell>
          <cell r="N19" t="str">
            <v>$\phi8@17$</v>
          </cell>
        </row>
        <row r="20">
          <cell r="H20" t="str">
            <v>$\phi8@17$</v>
          </cell>
          <cell r="J20" t="str">
            <v>$\phi8@17$</v>
          </cell>
          <cell r="L20" t="str">
            <v>$\phi8@17$</v>
          </cell>
          <cell r="N20" t="str">
            <v>$\phi8@17$</v>
          </cell>
        </row>
        <row r="21">
          <cell r="H21" t="str">
            <v>$\phi8@17$</v>
          </cell>
          <cell r="J21" t="str">
            <v>$\phi8@17$</v>
          </cell>
          <cell r="L21" t="str">
            <v>$\phi8@17$</v>
          </cell>
          <cell r="N21" t="str">
            <v>$\phi8@17$</v>
          </cell>
        </row>
        <row r="22">
          <cell r="H22" t="str">
            <v>$\phi8@17$</v>
          </cell>
          <cell r="J22" t="str">
            <v>$\phi8@17$</v>
          </cell>
          <cell r="L22" t="str">
            <v>$\phi8@17$</v>
          </cell>
          <cell r="N22" t="str">
            <v>$\phi8@17$</v>
          </cell>
        </row>
        <row r="23">
          <cell r="H23" t="str">
            <v>$\phi8@17$</v>
          </cell>
          <cell r="J23" t="str">
            <v>$\phi8@17$</v>
          </cell>
          <cell r="L23" t="str">
            <v>$\phi8@17$</v>
          </cell>
          <cell r="N23" t="str">
            <v>$\phi8@17$</v>
          </cell>
        </row>
        <row r="24">
          <cell r="H24" t="str">
            <v>$\phi8@17$</v>
          </cell>
          <cell r="J24" t="str">
            <v>$\phi8@17$</v>
          </cell>
          <cell r="L24" t="str">
            <v>$\phi8@17$</v>
          </cell>
          <cell r="N24" t="str">
            <v>$\phi8@17$</v>
          </cell>
        </row>
        <row r="25">
          <cell r="H25" t="str">
            <v>$\phi8@17$</v>
          </cell>
          <cell r="J25" t="str">
            <v>$\phi8@17$</v>
          </cell>
          <cell r="L25" t="str">
            <v>$\phi8@17$</v>
          </cell>
          <cell r="N25" t="str">
            <v>$\phi8@17$</v>
          </cell>
        </row>
        <row r="26">
          <cell r="H26" t="str">
            <v>$\phi8@17$</v>
          </cell>
          <cell r="J26" t="str">
            <v>$\phi8@17$</v>
          </cell>
          <cell r="L26" t="str">
            <v>$\phi8@17$</v>
          </cell>
          <cell r="N26" t="str">
            <v>$\phi8@17$</v>
          </cell>
        </row>
        <row r="30">
          <cell r="H30" t="str">
            <v>$\phi10@25$</v>
          </cell>
        </row>
        <row r="31">
          <cell r="H31" t="str">
            <v>$\phi12@24$</v>
          </cell>
        </row>
        <row r="32">
          <cell r="H32" t="str">
            <v>$\phi8@12$</v>
          </cell>
        </row>
        <row r="33">
          <cell r="H33" t="str">
            <v>$\phi10@20$</v>
          </cell>
        </row>
        <row r="34">
          <cell r="H34" t="str">
            <v>$\phi8@17$</v>
          </cell>
        </row>
        <row r="35">
          <cell r="H35" t="str">
            <v>$\phi8@17$</v>
          </cell>
        </row>
        <row r="36">
          <cell r="H36" t="str">
            <v>$\phi8@17$</v>
          </cell>
        </row>
        <row r="37">
          <cell r="H37" t="str">
            <v>$\phi8@17$</v>
          </cell>
        </row>
        <row r="38">
          <cell r="H38" t="str">
            <v>$\phi8@17$</v>
          </cell>
        </row>
        <row r="39">
          <cell r="H39" t="str">
            <v>$\phi8@17$</v>
          </cell>
        </row>
        <row r="40">
          <cell r="H40" t="str">
            <v>$\phi8@17$</v>
          </cell>
        </row>
        <row r="41">
          <cell r="H41" t="str">
            <v>$\phi8@15$</v>
          </cell>
        </row>
        <row r="42">
          <cell r="H42" t="str">
            <v>$\phi8@17$</v>
          </cell>
        </row>
        <row r="43">
          <cell r="H43" t="str">
            <v>$\phi8@17$</v>
          </cell>
        </row>
        <row r="44">
          <cell r="H44" t="str">
            <v>$\phi8@14$</v>
          </cell>
        </row>
        <row r="45">
          <cell r="H45" t="str">
            <v>$\phi10@19$</v>
          </cell>
        </row>
        <row r="46">
          <cell r="H46" t="str">
            <v>$\phi8@17$</v>
          </cell>
        </row>
        <row r="47">
          <cell r="H47" t="str">
            <v>$\phi8@17$</v>
          </cell>
        </row>
        <row r="48">
          <cell r="H48" t="str">
            <v>$\phi8@17$</v>
          </cell>
        </row>
        <row r="49">
          <cell r="H49" t="str">
            <v>$\phi8@17$</v>
          </cell>
        </row>
        <row r="50">
          <cell r="H50" t="str">
            <v>$\phi8@17$</v>
          </cell>
        </row>
        <row r="51">
          <cell r="H51" t="str">
            <v>$\phi8@17$</v>
          </cell>
        </row>
        <row r="52">
          <cell r="H52" t="str">
            <v>$\phi8@17$</v>
          </cell>
        </row>
        <row r="53">
          <cell r="H53" t="str">
            <v>$\phi8@17$</v>
          </cell>
        </row>
        <row r="54">
          <cell r="H54" t="str">
            <v>$\phi8@17$</v>
          </cell>
        </row>
        <row r="55">
          <cell r="H55" t="str">
            <v>$\phi8@17$</v>
          </cell>
        </row>
        <row r="56">
          <cell r="H56" t="str">
            <v>$\phi8@17$</v>
          </cell>
        </row>
        <row r="57">
          <cell r="H57" t="str">
            <v>$\phi8@17$</v>
          </cell>
        </row>
        <row r="58">
          <cell r="H58" t="str">
            <v>$\phi8@17$</v>
          </cell>
        </row>
        <row r="59">
          <cell r="H59" t="str">
            <v>$\phi8@17$</v>
          </cell>
        </row>
      </sheetData>
      <sheetData sheetId="9"/>
      <sheetData sheetId="10">
        <row r="5">
          <cell r="G5" t="str">
            <v>$\phi8@17$</v>
          </cell>
          <cell r="I5" t="str">
            <v>$\phi8@17$</v>
          </cell>
          <cell r="K5" t="str">
            <v>$\phi8@10$</v>
          </cell>
          <cell r="M5" t="str">
            <v>$\phi10@21$</v>
          </cell>
        </row>
        <row r="6">
          <cell r="G6" t="str">
            <v>$\phi8@17$</v>
          </cell>
          <cell r="I6" t="str">
            <v>$\phi8@17$</v>
          </cell>
          <cell r="K6" t="str">
            <v>$\phi8@17$</v>
          </cell>
          <cell r="M6" t="str">
            <v>$\phi8@17$</v>
          </cell>
        </row>
        <row r="7">
          <cell r="G7" t="str">
            <v>$\phi8@17$</v>
          </cell>
          <cell r="I7" t="str">
            <v>$\phi8@17$</v>
          </cell>
          <cell r="K7" t="str">
            <v>$\phi8@17$</v>
          </cell>
          <cell r="M7" t="str">
            <v>$\phi8@17$</v>
          </cell>
        </row>
        <row r="8">
          <cell r="G8" t="str">
            <v>$\phi8@17$</v>
          </cell>
          <cell r="I8" t="str">
            <v>$\phi8@17$</v>
          </cell>
          <cell r="K8" t="str">
            <v>$\phi8@12$</v>
          </cell>
          <cell r="M8" t="str">
            <v>$\phi8@15$</v>
          </cell>
        </row>
        <row r="9">
          <cell r="G9" t="str">
            <v>$\phi8@17$</v>
          </cell>
          <cell r="I9" t="str">
            <v>$\phi8@17$</v>
          </cell>
          <cell r="K9" t="str">
            <v>$\phi10@21$</v>
          </cell>
          <cell r="M9" t="str">
            <v>$\phi10@24$</v>
          </cell>
        </row>
        <row r="10">
          <cell r="G10" t="str">
            <v>$\phi8@17$</v>
          </cell>
          <cell r="I10" t="str">
            <v>$\phi8@17$</v>
          </cell>
          <cell r="K10" t="str">
            <v>$\phi8@17$</v>
          </cell>
          <cell r="M10" t="str">
            <v>$\phi8@17$</v>
          </cell>
        </row>
        <row r="11">
          <cell r="G11" t="str">
            <v>$\phi8@17$</v>
          </cell>
          <cell r="I11" t="str">
            <v>$\phi8@17$</v>
          </cell>
          <cell r="K11" t="str">
            <v>$\phi8@17$</v>
          </cell>
          <cell r="M11" t="str">
            <v>$\phi8@17$</v>
          </cell>
        </row>
        <row r="12">
          <cell r="G12" t="str">
            <v>$\phi8@17$</v>
          </cell>
          <cell r="I12" t="str">
            <v>$\phi8@17$</v>
          </cell>
          <cell r="K12" t="str">
            <v>$\phi8@17$</v>
          </cell>
          <cell r="M12" t="str">
            <v>$\phi8@17$</v>
          </cell>
        </row>
        <row r="13">
          <cell r="G13" t="str">
            <v>$\phi8@17$</v>
          </cell>
          <cell r="I13" t="str">
            <v>$\phi8@17$</v>
          </cell>
          <cell r="K13" t="str">
            <v>$\phi8@17$</v>
          </cell>
          <cell r="M13" t="str">
            <v>$\phi8@17$</v>
          </cell>
        </row>
        <row r="14">
          <cell r="G14" t="str">
            <v>$\phi8@17$</v>
          </cell>
          <cell r="I14" t="str">
            <v>$\phi8@17$</v>
          </cell>
          <cell r="K14" t="str">
            <v>$\phi8@17$</v>
          </cell>
          <cell r="M14" t="str">
            <v>$\phi8@17$</v>
          </cell>
        </row>
        <row r="15">
          <cell r="G15" t="str">
            <v>$\phi8@17$</v>
          </cell>
          <cell r="I15" t="str">
            <v>$\phi8@17$</v>
          </cell>
          <cell r="K15" t="str">
            <v>$\phi10@23$</v>
          </cell>
          <cell r="M15" t="str">
            <v>$\phi8@17$</v>
          </cell>
        </row>
        <row r="16">
          <cell r="G16" t="str">
            <v>$\phi8@17$</v>
          </cell>
          <cell r="I16" t="str">
            <v>$\phi8@17$</v>
          </cell>
          <cell r="K16" t="str">
            <v>$\phi8@17$</v>
          </cell>
          <cell r="M16" t="str">
            <v>$\phi8@17$</v>
          </cell>
        </row>
        <row r="17">
          <cell r="G17" t="str">
            <v>$\phi8@17$</v>
          </cell>
          <cell r="I17" t="str">
            <v>$\phi8@17$</v>
          </cell>
          <cell r="K17" t="str">
            <v>$\phi8@17$</v>
          </cell>
          <cell r="M17" t="str">
            <v>$\phi8@17$</v>
          </cell>
        </row>
        <row r="18">
          <cell r="G18" t="str">
            <v>$\phi8@17$</v>
          </cell>
          <cell r="I18" t="str">
            <v>$\phi8@17$</v>
          </cell>
          <cell r="K18" t="str">
            <v>$\phi8@17$</v>
          </cell>
          <cell r="M18" t="str">
            <v>$\phi8@17$</v>
          </cell>
        </row>
        <row r="19">
          <cell r="G19" t="str">
            <v>$\phi8@17$</v>
          </cell>
          <cell r="I19" t="str">
            <v>$\phi8@17$</v>
          </cell>
          <cell r="K19" t="str">
            <v>$\phi8@17$</v>
          </cell>
          <cell r="M19" t="str">
            <v>$\phi8@17$</v>
          </cell>
        </row>
        <row r="20">
          <cell r="G20" t="str">
            <v>$\phi8@17$</v>
          </cell>
          <cell r="I20" t="str">
            <v>$\phi8@17$</v>
          </cell>
          <cell r="K20" t="str">
            <v>$\phi8@17$</v>
          </cell>
          <cell r="M20" t="str">
            <v>$\phi8@17$</v>
          </cell>
        </row>
        <row r="21">
          <cell r="G21" t="str">
            <v>$\phi8@17$</v>
          </cell>
          <cell r="I21" t="str">
            <v>$\phi8@17$</v>
          </cell>
          <cell r="K21" t="str">
            <v>$\phi8@17$</v>
          </cell>
          <cell r="M21" t="str">
            <v>$\phi8@17$</v>
          </cell>
        </row>
        <row r="22">
          <cell r="G22" t="str">
            <v>$\phi8@17$</v>
          </cell>
          <cell r="I22" t="str">
            <v>$\phi8@17$</v>
          </cell>
          <cell r="K22" t="str">
            <v>$\phi8@17$</v>
          </cell>
          <cell r="M22" t="str">
            <v>$\phi8@17$</v>
          </cell>
        </row>
        <row r="23">
          <cell r="G23" t="str">
            <v>$\phi8@17$</v>
          </cell>
          <cell r="I23" t="str">
            <v>$\phi8@17$</v>
          </cell>
          <cell r="K23" t="str">
            <v>$\phi8@17$</v>
          </cell>
          <cell r="M23" t="str">
            <v>$\phi8@17$</v>
          </cell>
        </row>
        <row r="24">
          <cell r="G24" t="str">
            <v>$\phi8@17$</v>
          </cell>
          <cell r="I24" t="str">
            <v>$\phi8@17$</v>
          </cell>
          <cell r="K24" t="str">
            <v>$\phi8@17$</v>
          </cell>
          <cell r="M24" t="str">
            <v>$\phi8@17$</v>
          </cell>
        </row>
        <row r="25">
          <cell r="G25" t="str">
            <v>$\phi8@17$</v>
          </cell>
          <cell r="I25" t="str">
            <v>$\phi8@17$</v>
          </cell>
          <cell r="K25" t="str">
            <v>$\phi8@17$</v>
          </cell>
          <cell r="M25" t="str">
            <v>$\phi8@17$</v>
          </cell>
        </row>
        <row r="26">
          <cell r="G26" t="str">
            <v>$\phi8@17$</v>
          </cell>
          <cell r="I26" t="str">
            <v>$\phi8@17$</v>
          </cell>
          <cell r="K26" t="str">
            <v>$\phi8@17$</v>
          </cell>
          <cell r="M26" t="str">
            <v>$\phi8@17$</v>
          </cell>
        </row>
        <row r="30">
          <cell r="G30" t="str">
            <v>$\phi8@17$</v>
          </cell>
        </row>
        <row r="31">
          <cell r="G31" t="str">
            <v>$\phi10@20$</v>
          </cell>
        </row>
        <row r="32">
          <cell r="G32" t="str">
            <v>$\phi8@14$</v>
          </cell>
        </row>
        <row r="33">
          <cell r="G33" t="str">
            <v>$\phi8@15$</v>
          </cell>
        </row>
        <row r="34">
          <cell r="G34" t="str">
            <v>$\phi8@17$</v>
          </cell>
        </row>
        <row r="35">
          <cell r="G35" t="str">
            <v>$\phi8@17$</v>
          </cell>
        </row>
        <row r="36">
          <cell r="G36" t="str">
            <v>$\phi8@17$</v>
          </cell>
        </row>
        <row r="37">
          <cell r="G37" t="str">
            <v>$\phi8@17$</v>
          </cell>
        </row>
        <row r="38">
          <cell r="G38" t="str">
            <v>$\phi8@17$</v>
          </cell>
        </row>
        <row r="39">
          <cell r="G39" t="str">
            <v>$\phi8@17$</v>
          </cell>
        </row>
        <row r="40">
          <cell r="G40" t="str">
            <v>$\phi8@17$</v>
          </cell>
        </row>
        <row r="41">
          <cell r="G41" t="str">
            <v>$\phi8@17$</v>
          </cell>
        </row>
        <row r="42">
          <cell r="G42" t="str">
            <v>$\phi8@17$</v>
          </cell>
        </row>
        <row r="43">
          <cell r="G43" t="str">
            <v>$\phi8@17$</v>
          </cell>
        </row>
        <row r="44">
          <cell r="G44" t="str">
            <v>$\phi10@25$</v>
          </cell>
        </row>
        <row r="45">
          <cell r="G45" t="str">
            <v>$\phi10@23$</v>
          </cell>
        </row>
        <row r="46">
          <cell r="G46" t="str">
            <v>$\phi8@17$</v>
          </cell>
        </row>
        <row r="47">
          <cell r="G47" t="str">
            <v>$\phi8@17$</v>
          </cell>
        </row>
        <row r="48">
          <cell r="G48" t="str">
            <v>$\phi8@17$</v>
          </cell>
        </row>
        <row r="49">
          <cell r="G49" t="str">
            <v>$\phi8@17$</v>
          </cell>
        </row>
        <row r="50">
          <cell r="G50" t="str">
            <v>$\phi8@17$</v>
          </cell>
        </row>
        <row r="51">
          <cell r="G51" t="str">
            <v>$\phi8@17$</v>
          </cell>
        </row>
        <row r="52">
          <cell r="G52" t="str">
            <v>$\phi8@17$</v>
          </cell>
        </row>
        <row r="53">
          <cell r="G53" t="str">
            <v>$\phi8@17$</v>
          </cell>
        </row>
        <row r="54">
          <cell r="G54" t="str">
            <v>$\phi8@17$</v>
          </cell>
        </row>
        <row r="55">
          <cell r="G55" t="str">
            <v>$\phi8@17$</v>
          </cell>
        </row>
        <row r="56">
          <cell r="G56" t="str">
            <v>$\phi8@17$</v>
          </cell>
        </row>
        <row r="57">
          <cell r="G57" t="str">
            <v>$\phi8@17$</v>
          </cell>
        </row>
        <row r="58">
          <cell r="G58" t="str">
            <v>$\phi8@17$</v>
          </cell>
        </row>
        <row r="59">
          <cell r="G59" t="str">
            <v>$\phi8@17$</v>
          </cell>
        </row>
      </sheetData>
      <sheetData sheetId="11"/>
      <sheetData sheetId="12">
        <row r="5">
          <cell r="G5" t="str">
            <v>$\phi8@17$</v>
          </cell>
          <cell r="I5" t="str">
            <v>$\phi8@17$</v>
          </cell>
          <cell r="K5" t="str">
            <v>$\phi8@17$</v>
          </cell>
          <cell r="M5" t="str">
            <v>$\phi8@17$</v>
          </cell>
        </row>
        <row r="6">
          <cell r="G6" t="str">
            <v>$\phi8@17$</v>
          </cell>
          <cell r="I6" t="str">
            <v>$\phi8@17$</v>
          </cell>
          <cell r="K6" t="str">
            <v>$\phi8@17$</v>
          </cell>
          <cell r="M6" t="str">
            <v>$\phi8@17$</v>
          </cell>
        </row>
        <row r="7">
          <cell r="G7" t="str">
            <v>$\phi8@17$</v>
          </cell>
          <cell r="I7" t="str">
            <v>$\phi8@17$</v>
          </cell>
          <cell r="K7" t="str">
            <v>$\phi8@17$</v>
          </cell>
          <cell r="M7" t="str">
            <v>$\phi8@17$</v>
          </cell>
        </row>
        <row r="11">
          <cell r="G11" t="str">
            <v>$\phi8@17$</v>
          </cell>
        </row>
        <row r="12">
          <cell r="G12" t="str">
            <v>$\phi8@17$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B9E5-6A71-4F38-B31E-2C4AC01B7314}">
  <dimension ref="B1:AB92"/>
  <sheetViews>
    <sheetView showGridLines="0" zoomScale="70" zoomScaleNormal="70" workbookViewId="0">
      <selection activeCell="H12" sqref="H12"/>
    </sheetView>
  </sheetViews>
  <sheetFormatPr defaultColWidth="11.42578125" defaultRowHeight="15" x14ac:dyDescent="0.25"/>
  <cols>
    <col min="1" max="1" width="2.85546875" style="1" customWidth="1"/>
    <col min="2" max="2" width="7.140625" style="1" hidden="1" customWidth="1"/>
    <col min="3" max="3" width="11.42578125" style="1"/>
    <col min="4" max="7" width="11.42578125" style="13"/>
    <col min="8" max="11" width="11.42578125" style="19"/>
    <col min="12" max="12" width="4.28515625" style="19" customWidth="1"/>
    <col min="13" max="13" width="9.5703125" style="1" hidden="1" customWidth="1"/>
    <col min="14" max="14" width="6.28515625" style="1" bestFit="1" customWidth="1"/>
    <col min="15" max="15" width="4" style="19" bestFit="1" customWidth="1"/>
    <col min="16" max="16" width="8.85546875" style="13" bestFit="1" customWidth="1"/>
    <col min="17" max="17" width="2.85546875" style="1" customWidth="1"/>
    <col min="18" max="18" width="11.28515625" style="13" hidden="1" customWidth="1"/>
    <col min="19" max="19" width="14.28515625" style="13" customWidth="1"/>
    <col min="20" max="21" width="14.28515625" style="1" customWidth="1"/>
    <col min="22" max="22" width="11.5703125"/>
    <col min="23" max="26" width="11.42578125" style="1"/>
    <col min="27" max="27" width="11.85546875" style="1" bestFit="1" customWidth="1"/>
    <col min="28" max="28" width="15.28515625" style="1" bestFit="1" customWidth="1"/>
    <col min="29" max="16384" width="11.42578125" style="1"/>
  </cols>
  <sheetData>
    <row r="1" spans="2:28" ht="15.75" thickBot="1" x14ac:dyDescent="0.3"/>
    <row r="2" spans="2:28" ht="15.75" thickBot="1" x14ac:dyDescent="0.3">
      <c r="C2" s="29" t="s">
        <v>0</v>
      </c>
      <c r="D2" s="32" t="s">
        <v>1</v>
      </c>
      <c r="E2" s="32" t="s">
        <v>11</v>
      </c>
      <c r="F2" s="32" t="s">
        <v>2</v>
      </c>
      <c r="G2" s="32" t="s">
        <v>3</v>
      </c>
      <c r="H2" s="30" t="s">
        <v>4</v>
      </c>
      <c r="I2" s="30" t="s">
        <v>5</v>
      </c>
      <c r="J2" s="30" t="s">
        <v>6</v>
      </c>
      <c r="K2" s="33" t="s">
        <v>7</v>
      </c>
      <c r="L2" s="42"/>
      <c r="N2" s="29" t="s">
        <v>0</v>
      </c>
      <c r="O2" s="30" t="s">
        <v>1</v>
      </c>
      <c r="P2" s="31" t="s">
        <v>337</v>
      </c>
      <c r="R2" s="58"/>
      <c r="S2" s="53" t="s">
        <v>15</v>
      </c>
      <c r="T2" s="54" t="s">
        <v>16</v>
      </c>
      <c r="U2" s="55" t="s">
        <v>17</v>
      </c>
      <c r="W2" s="34" t="s">
        <v>285</v>
      </c>
      <c r="X2" s="34" t="s">
        <v>19</v>
      </c>
      <c r="Y2" s="276" t="str">
        <f>'-1'!B12</f>
        <v>$As_{min} \quad [cm^2/m]$</v>
      </c>
      <c r="Z2" s="276"/>
      <c r="AA2" s="34" t="s">
        <v>40</v>
      </c>
      <c r="AB2" s="34" t="s">
        <v>287</v>
      </c>
    </row>
    <row r="3" spans="2:28" x14ac:dyDescent="0.25">
      <c r="B3" s="1" t="str">
        <f>C3&amp;D3</f>
        <v>11</v>
      </c>
      <c r="C3" s="2">
        <v>1</v>
      </c>
      <c r="D3" s="14">
        <v>1</v>
      </c>
      <c r="E3" s="14">
        <v>1.35</v>
      </c>
      <c r="F3" s="14">
        <v>1</v>
      </c>
      <c r="G3" s="14">
        <v>1</v>
      </c>
      <c r="H3" s="20">
        <v>27.2</v>
      </c>
      <c r="I3" s="20">
        <v>27.2</v>
      </c>
      <c r="J3" s="20">
        <v>0</v>
      </c>
      <c r="K3" s="21">
        <v>0</v>
      </c>
      <c r="L3" s="22"/>
      <c r="M3" s="1" t="str">
        <f t="shared" ref="M3:M14" si="0">N3&amp;O3</f>
        <v>11</v>
      </c>
      <c r="N3" s="2">
        <v>1</v>
      </c>
      <c r="O3" s="20">
        <v>1</v>
      </c>
      <c r="P3" s="26">
        <v>1</v>
      </c>
      <c r="R3" s="6" t="str">
        <f t="shared" ref="R3:R34" si="1">T3&amp;U3</f>
        <v>825</v>
      </c>
      <c r="S3" s="2">
        <v>2.0099999999999998</v>
      </c>
      <c r="T3" s="3">
        <v>8</v>
      </c>
      <c r="U3" s="4">
        <v>25</v>
      </c>
      <c r="W3" s="3" t="s">
        <v>286</v>
      </c>
      <c r="X3" s="3">
        <v>16</v>
      </c>
      <c r="Y3" s="157">
        <f>'1'!C12</f>
        <v>2.88</v>
      </c>
      <c r="Z3" s="158" t="str">
        <f>'1'!C13</f>
        <v>$\phi8@17$</v>
      </c>
      <c r="AA3" s="3" t="s">
        <v>187</v>
      </c>
      <c r="AB3" s="155" t="s">
        <v>42</v>
      </c>
    </row>
    <row r="4" spans="2:28" x14ac:dyDescent="0.25">
      <c r="B4" s="1" t="str">
        <f t="shared" ref="B4:B67" si="2">C4&amp;D4</f>
        <v>11,05</v>
      </c>
      <c r="C4" s="5">
        <v>1</v>
      </c>
      <c r="D4" s="15">
        <v>1.05</v>
      </c>
      <c r="E4" s="15">
        <v>1.35</v>
      </c>
      <c r="F4" s="15">
        <v>1</v>
      </c>
      <c r="G4" s="15">
        <v>1</v>
      </c>
      <c r="H4" s="22">
        <v>25.8</v>
      </c>
      <c r="I4" s="22">
        <v>28.9</v>
      </c>
      <c r="J4" s="22">
        <v>0</v>
      </c>
      <c r="K4" s="23">
        <v>0</v>
      </c>
      <c r="L4" s="22"/>
      <c r="M4" s="1" t="str">
        <f t="shared" si="0"/>
        <v>11,1</v>
      </c>
      <c r="N4" s="5">
        <v>1</v>
      </c>
      <c r="O4" s="22">
        <v>1.1000000000000001</v>
      </c>
      <c r="P4" s="27">
        <v>1</v>
      </c>
      <c r="R4" s="6" t="str">
        <f t="shared" si="1"/>
        <v>824</v>
      </c>
      <c r="S4" s="5">
        <v>2.09</v>
      </c>
      <c r="T4" s="6">
        <v>8</v>
      </c>
      <c r="U4" s="7">
        <v>24</v>
      </c>
      <c r="W4" s="6">
        <v>24</v>
      </c>
      <c r="X4" s="6">
        <v>16</v>
      </c>
      <c r="Y4" s="159">
        <v>2.88</v>
      </c>
      <c r="Z4" s="161" t="str">
        <f>'1'!C13</f>
        <v>$\phi8@17$</v>
      </c>
      <c r="AA4" s="6" t="s">
        <v>187</v>
      </c>
      <c r="AB4" s="128" t="s">
        <v>42</v>
      </c>
    </row>
    <row r="5" spans="2:28" x14ac:dyDescent="0.25">
      <c r="B5" s="1" t="str">
        <f t="shared" si="2"/>
        <v>11,1</v>
      </c>
      <c r="C5" s="5">
        <v>1</v>
      </c>
      <c r="D5" s="15">
        <v>1.1000000000000001</v>
      </c>
      <c r="E5" s="15">
        <v>1.34</v>
      </c>
      <c r="F5" s="15">
        <v>1</v>
      </c>
      <c r="G5" s="15">
        <v>1</v>
      </c>
      <c r="H5" s="22">
        <v>24.6</v>
      </c>
      <c r="I5" s="22">
        <v>30.7</v>
      </c>
      <c r="J5" s="22">
        <v>0</v>
      </c>
      <c r="K5" s="23">
        <v>0</v>
      </c>
      <c r="L5" s="22"/>
      <c r="M5" s="1" t="str">
        <f t="shared" si="0"/>
        <v>11,2</v>
      </c>
      <c r="N5" s="5">
        <v>1</v>
      </c>
      <c r="O5" s="22">
        <v>1.2</v>
      </c>
      <c r="P5" s="27">
        <v>1</v>
      </c>
      <c r="R5" s="6" t="str">
        <f t="shared" si="1"/>
        <v>823</v>
      </c>
      <c r="S5" s="5">
        <v>2.19</v>
      </c>
      <c r="T5" s="6">
        <v>8</v>
      </c>
      <c r="U5" s="7">
        <v>23</v>
      </c>
      <c r="W5" s="6">
        <v>23</v>
      </c>
      <c r="X5" s="6">
        <v>16</v>
      </c>
      <c r="Y5" s="159">
        <v>2.88</v>
      </c>
      <c r="Z5" s="161" t="str">
        <f>'1'!C13</f>
        <v>$\phi8@17$</v>
      </c>
      <c r="AA5" s="6" t="s">
        <v>187</v>
      </c>
      <c r="AB5" s="128" t="s">
        <v>42</v>
      </c>
    </row>
    <row r="6" spans="2:28" x14ac:dyDescent="0.25">
      <c r="B6" s="1" t="str">
        <f t="shared" si="2"/>
        <v>11,15</v>
      </c>
      <c r="C6" s="5">
        <v>1</v>
      </c>
      <c r="D6" s="15">
        <v>1.1499999999999999</v>
      </c>
      <c r="E6" s="15">
        <v>1.33</v>
      </c>
      <c r="F6" s="15">
        <v>1</v>
      </c>
      <c r="G6" s="15">
        <v>1</v>
      </c>
      <c r="H6" s="22">
        <v>23.7</v>
      </c>
      <c r="I6" s="22">
        <v>32.700000000000003</v>
      </c>
      <c r="J6" s="22">
        <v>0</v>
      </c>
      <c r="K6" s="23">
        <v>0</v>
      </c>
      <c r="L6" s="22"/>
      <c r="M6" s="1" t="str">
        <f t="shared" si="0"/>
        <v>11,3</v>
      </c>
      <c r="N6" s="5">
        <v>1</v>
      </c>
      <c r="O6" s="22">
        <v>1.3</v>
      </c>
      <c r="P6" s="27">
        <v>1</v>
      </c>
      <c r="R6" s="6" t="str">
        <f t="shared" si="1"/>
        <v>822</v>
      </c>
      <c r="S6" s="5">
        <v>2.2799999999999998</v>
      </c>
      <c r="T6" s="6">
        <v>8</v>
      </c>
      <c r="U6" s="7">
        <v>22</v>
      </c>
      <c r="W6" s="6">
        <v>22</v>
      </c>
      <c r="X6" s="6">
        <v>16</v>
      </c>
      <c r="Y6" s="159">
        <v>2.88</v>
      </c>
      <c r="Z6" s="161" t="str">
        <f>'1'!C13</f>
        <v>$\phi8@17$</v>
      </c>
      <c r="AA6" s="6" t="s">
        <v>187</v>
      </c>
      <c r="AB6" s="128" t="s">
        <v>42</v>
      </c>
    </row>
    <row r="7" spans="2:28" x14ac:dyDescent="0.25">
      <c r="B7" s="1" t="str">
        <f t="shared" si="2"/>
        <v>11,2</v>
      </c>
      <c r="C7" s="5">
        <v>1</v>
      </c>
      <c r="D7" s="15">
        <v>1.2</v>
      </c>
      <c r="E7" s="15">
        <v>1.32</v>
      </c>
      <c r="F7" s="15">
        <v>1</v>
      </c>
      <c r="G7" s="15">
        <v>1</v>
      </c>
      <c r="H7" s="22">
        <v>22.9</v>
      </c>
      <c r="I7" s="22">
        <v>34.9</v>
      </c>
      <c r="J7" s="22">
        <v>0</v>
      </c>
      <c r="K7" s="23">
        <v>0</v>
      </c>
      <c r="L7" s="22"/>
      <c r="M7" s="1" t="str">
        <f t="shared" si="0"/>
        <v>11,4</v>
      </c>
      <c r="N7" s="5">
        <v>1</v>
      </c>
      <c r="O7" s="22">
        <v>1.4</v>
      </c>
      <c r="P7" s="27">
        <v>1</v>
      </c>
      <c r="R7" s="6" t="str">
        <f t="shared" si="1"/>
        <v>821</v>
      </c>
      <c r="S7" s="5">
        <v>2.39</v>
      </c>
      <c r="T7" s="6">
        <v>8</v>
      </c>
      <c r="U7" s="7">
        <v>21</v>
      </c>
      <c r="W7" s="6">
        <v>21</v>
      </c>
      <c r="X7" s="6">
        <v>16</v>
      </c>
      <c r="Y7" s="159">
        <v>2.88</v>
      </c>
      <c r="Z7" s="161" t="str">
        <f>'1'!C13</f>
        <v>$\phi8@17$</v>
      </c>
      <c r="AA7" s="6" t="s">
        <v>187</v>
      </c>
      <c r="AB7" s="128" t="s">
        <v>42</v>
      </c>
    </row>
    <row r="8" spans="2:28" ht="15.75" thickBot="1" x14ac:dyDescent="0.3">
      <c r="B8" s="1" t="str">
        <f t="shared" si="2"/>
        <v>11,25</v>
      </c>
      <c r="C8" s="5">
        <v>1</v>
      </c>
      <c r="D8" s="15">
        <v>1.25</v>
      </c>
      <c r="E8" s="15">
        <v>1.3</v>
      </c>
      <c r="F8" s="15">
        <v>1</v>
      </c>
      <c r="G8" s="15">
        <v>1</v>
      </c>
      <c r="H8" s="22">
        <v>22.3</v>
      </c>
      <c r="I8" s="22">
        <v>37.5</v>
      </c>
      <c r="J8" s="22">
        <v>0</v>
      </c>
      <c r="K8" s="23">
        <v>0</v>
      </c>
      <c r="L8" s="22"/>
      <c r="M8" s="1" t="str">
        <f t="shared" si="0"/>
        <v>11,5</v>
      </c>
      <c r="N8" s="8">
        <v>1</v>
      </c>
      <c r="O8" s="24">
        <v>1.5</v>
      </c>
      <c r="P8" s="28">
        <v>1</v>
      </c>
      <c r="R8" s="15" t="str">
        <f t="shared" si="1"/>
        <v>820</v>
      </c>
      <c r="S8" s="56">
        <v>2.5099999999999998</v>
      </c>
      <c r="T8" s="6">
        <v>8</v>
      </c>
      <c r="U8" s="7">
        <v>20</v>
      </c>
      <c r="W8" s="6">
        <v>20</v>
      </c>
      <c r="X8" s="6">
        <v>16</v>
      </c>
      <c r="Y8" s="159">
        <v>2.88</v>
      </c>
      <c r="Z8" s="161" t="str">
        <f>'1'!C13</f>
        <v>$\phi8@17$</v>
      </c>
      <c r="AA8" s="6" t="s">
        <v>187</v>
      </c>
      <c r="AB8" s="128" t="s">
        <v>42</v>
      </c>
    </row>
    <row r="9" spans="2:28" x14ac:dyDescent="0.25">
      <c r="B9" s="1" t="str">
        <f t="shared" si="2"/>
        <v>11,3</v>
      </c>
      <c r="C9" s="5">
        <v>1</v>
      </c>
      <c r="D9" s="15">
        <v>1.3</v>
      </c>
      <c r="E9" s="15">
        <v>1.28</v>
      </c>
      <c r="F9" s="15">
        <v>1</v>
      </c>
      <c r="G9" s="15">
        <v>1</v>
      </c>
      <c r="H9" s="22">
        <v>21.8</v>
      </c>
      <c r="I9" s="22">
        <v>40.200000000000003</v>
      </c>
      <c r="J9" s="22">
        <v>0</v>
      </c>
      <c r="K9" s="23">
        <v>0</v>
      </c>
      <c r="L9" s="22"/>
      <c r="M9" s="1" t="str">
        <f t="shared" si="0"/>
        <v>2a1</v>
      </c>
      <c r="N9" s="2" t="s">
        <v>8</v>
      </c>
      <c r="O9" s="20">
        <v>1</v>
      </c>
      <c r="P9" s="26">
        <v>0.8</v>
      </c>
      <c r="R9" s="6" t="str">
        <f t="shared" si="1"/>
        <v>819</v>
      </c>
      <c r="S9" s="5">
        <v>2.65</v>
      </c>
      <c r="T9" s="6">
        <v>8</v>
      </c>
      <c r="U9" s="7">
        <v>19</v>
      </c>
      <c r="W9" s="6">
        <v>19</v>
      </c>
      <c r="X9" s="6">
        <v>16</v>
      </c>
      <c r="Y9" s="159">
        <v>2.88</v>
      </c>
      <c r="Z9" s="161" t="str">
        <f>'1'!C13</f>
        <v>$\phi8@17$</v>
      </c>
      <c r="AA9" s="6" t="s">
        <v>187</v>
      </c>
      <c r="AB9" s="128" t="s">
        <v>42</v>
      </c>
    </row>
    <row r="10" spans="2:28" x14ac:dyDescent="0.25">
      <c r="B10" s="1" t="str">
        <f t="shared" si="2"/>
        <v>11,35</v>
      </c>
      <c r="C10" s="5">
        <v>1</v>
      </c>
      <c r="D10" s="15">
        <v>1.35</v>
      </c>
      <c r="E10" s="15">
        <v>1.27</v>
      </c>
      <c r="F10" s="15">
        <v>1</v>
      </c>
      <c r="G10" s="15">
        <v>1</v>
      </c>
      <c r="H10" s="22">
        <v>21.4</v>
      </c>
      <c r="I10" s="22">
        <v>43</v>
      </c>
      <c r="J10" s="22">
        <v>0</v>
      </c>
      <c r="K10" s="23">
        <v>0</v>
      </c>
      <c r="L10" s="22"/>
      <c r="M10" s="1" t="str">
        <f t="shared" si="0"/>
        <v>2a1,1</v>
      </c>
      <c r="N10" s="5" t="s">
        <v>8</v>
      </c>
      <c r="O10" s="22">
        <v>1.1000000000000001</v>
      </c>
      <c r="P10" s="27">
        <v>0.8</v>
      </c>
      <c r="R10" s="6" t="str">
        <f t="shared" si="1"/>
        <v>818</v>
      </c>
      <c r="S10" s="5">
        <v>2.79</v>
      </c>
      <c r="T10" s="6">
        <v>8</v>
      </c>
      <c r="U10" s="7">
        <v>18</v>
      </c>
      <c r="W10" s="6">
        <v>18</v>
      </c>
      <c r="X10" s="6">
        <v>16</v>
      </c>
      <c r="Y10" s="159">
        <v>2.88</v>
      </c>
      <c r="Z10" s="161" t="str">
        <f>'1'!C13</f>
        <v>$\phi8@17$</v>
      </c>
      <c r="AA10" s="6" t="s">
        <v>187</v>
      </c>
      <c r="AB10" s="128" t="s">
        <v>42</v>
      </c>
    </row>
    <row r="11" spans="2:28" x14ac:dyDescent="0.25">
      <c r="B11" s="1" t="str">
        <f t="shared" si="2"/>
        <v>11,4</v>
      </c>
      <c r="C11" s="5">
        <v>1</v>
      </c>
      <c r="D11" s="15">
        <v>1.4</v>
      </c>
      <c r="E11" s="15">
        <v>1.25</v>
      </c>
      <c r="F11" s="15">
        <v>1</v>
      </c>
      <c r="G11" s="15">
        <v>1</v>
      </c>
      <c r="H11" s="22">
        <v>21</v>
      </c>
      <c r="I11" s="22">
        <v>45.9</v>
      </c>
      <c r="J11" s="22">
        <v>0</v>
      </c>
      <c r="K11" s="23">
        <v>0</v>
      </c>
      <c r="L11" s="22"/>
      <c r="M11" s="1" t="str">
        <f t="shared" si="0"/>
        <v>2a1,2</v>
      </c>
      <c r="N11" s="5" t="s">
        <v>8</v>
      </c>
      <c r="O11" s="22">
        <v>1.2</v>
      </c>
      <c r="P11" s="27">
        <v>0.8</v>
      </c>
      <c r="R11" s="6" t="str">
        <f t="shared" si="1"/>
        <v>817</v>
      </c>
      <c r="S11" s="5">
        <v>2.96</v>
      </c>
      <c r="T11" s="6">
        <v>8</v>
      </c>
      <c r="U11" s="7">
        <v>17</v>
      </c>
      <c r="W11" s="6">
        <v>17</v>
      </c>
      <c r="X11" s="6">
        <v>16</v>
      </c>
      <c r="Y11" s="159">
        <v>2.88</v>
      </c>
      <c r="Z11" s="161" t="str">
        <f>'1'!C13</f>
        <v>$\phi8@17$</v>
      </c>
      <c r="AA11" s="6" t="s">
        <v>187</v>
      </c>
      <c r="AB11" s="128" t="s">
        <v>42</v>
      </c>
    </row>
    <row r="12" spans="2:28" x14ac:dyDescent="0.25">
      <c r="B12" s="1" t="str">
        <f t="shared" si="2"/>
        <v>11,45</v>
      </c>
      <c r="C12" s="5">
        <v>1</v>
      </c>
      <c r="D12" s="15">
        <v>1.45</v>
      </c>
      <c r="E12" s="15">
        <v>1.23</v>
      </c>
      <c r="F12" s="15">
        <v>1</v>
      </c>
      <c r="G12" s="15">
        <v>1</v>
      </c>
      <c r="H12" s="22">
        <v>20.7</v>
      </c>
      <c r="I12" s="22">
        <v>48.9</v>
      </c>
      <c r="J12" s="22">
        <v>0</v>
      </c>
      <c r="K12" s="23">
        <v>0</v>
      </c>
      <c r="L12" s="22"/>
      <c r="M12" s="1" t="str">
        <f t="shared" si="0"/>
        <v>2a1,3</v>
      </c>
      <c r="N12" s="5" t="s">
        <v>8</v>
      </c>
      <c r="O12" s="22">
        <v>1.3</v>
      </c>
      <c r="P12" s="27">
        <v>0.8</v>
      </c>
      <c r="R12" s="6" t="str">
        <f t="shared" si="1"/>
        <v>816</v>
      </c>
      <c r="S12" s="5">
        <v>3.14</v>
      </c>
      <c r="T12" s="6">
        <v>8</v>
      </c>
      <c r="U12" s="7">
        <v>16</v>
      </c>
      <c r="W12" s="6">
        <v>16</v>
      </c>
      <c r="X12" s="6">
        <v>16</v>
      </c>
      <c r="Y12" s="159">
        <v>2.88</v>
      </c>
      <c r="Z12" s="161" t="str">
        <f>'1'!C13</f>
        <v>$\phi8@17$</v>
      </c>
      <c r="AA12" s="6" t="s">
        <v>187</v>
      </c>
      <c r="AB12" s="128" t="s">
        <v>42</v>
      </c>
    </row>
    <row r="13" spans="2:28" x14ac:dyDescent="0.25">
      <c r="B13" s="1" t="str">
        <f t="shared" si="2"/>
        <v>11,5</v>
      </c>
      <c r="C13" s="5">
        <v>1</v>
      </c>
      <c r="D13" s="15">
        <v>1.5</v>
      </c>
      <c r="E13" s="15">
        <v>1.22</v>
      </c>
      <c r="F13" s="15">
        <v>1</v>
      </c>
      <c r="G13" s="15">
        <v>1</v>
      </c>
      <c r="H13" s="22">
        <v>20.5</v>
      </c>
      <c r="I13" s="22">
        <v>52</v>
      </c>
      <c r="J13" s="22">
        <v>0</v>
      </c>
      <c r="K13" s="23">
        <v>0</v>
      </c>
      <c r="L13" s="22"/>
      <c r="M13" s="1" t="str">
        <f t="shared" si="0"/>
        <v>2a1,4</v>
      </c>
      <c r="N13" s="5" t="s">
        <v>8</v>
      </c>
      <c r="O13" s="22">
        <v>1.4</v>
      </c>
      <c r="P13" s="27">
        <v>0.8</v>
      </c>
      <c r="R13" s="6" t="str">
        <f t="shared" si="1"/>
        <v>1025</v>
      </c>
      <c r="S13" s="56">
        <v>3.1355555554999999</v>
      </c>
      <c r="T13" s="6">
        <v>10</v>
      </c>
      <c r="U13" s="7">
        <v>25</v>
      </c>
      <c r="W13" s="6">
        <v>15</v>
      </c>
      <c r="X13" s="6">
        <v>16</v>
      </c>
      <c r="Y13" s="159">
        <v>2.88</v>
      </c>
      <c r="Z13" s="161" t="str">
        <f>'1'!C13</f>
        <v>$\phi8@17$</v>
      </c>
      <c r="AA13" s="6" t="s">
        <v>187</v>
      </c>
      <c r="AB13" s="128" t="s">
        <v>42</v>
      </c>
    </row>
    <row r="14" spans="2:28" ht="15.75" thickBot="1" x14ac:dyDescent="0.3">
      <c r="B14" s="1" t="str">
        <f t="shared" si="2"/>
        <v>11,55</v>
      </c>
      <c r="C14" s="5">
        <v>1</v>
      </c>
      <c r="D14" s="15">
        <v>1.55</v>
      </c>
      <c r="E14" s="15">
        <v>1.2</v>
      </c>
      <c r="F14" s="15">
        <v>1</v>
      </c>
      <c r="G14" s="15">
        <v>1</v>
      </c>
      <c r="H14" s="22">
        <v>20.399999999999999</v>
      </c>
      <c r="I14" s="22">
        <v>54.9</v>
      </c>
      <c r="J14" s="22">
        <v>0</v>
      </c>
      <c r="K14" s="23">
        <v>0</v>
      </c>
      <c r="L14" s="22"/>
      <c r="M14" s="1" t="str">
        <f t="shared" si="0"/>
        <v>2a1,5</v>
      </c>
      <c r="N14" s="8" t="s">
        <v>8</v>
      </c>
      <c r="O14" s="24">
        <v>1.5</v>
      </c>
      <c r="P14" s="28">
        <v>0.8</v>
      </c>
      <c r="R14" s="6" t="str">
        <f t="shared" si="1"/>
        <v>1024</v>
      </c>
      <c r="S14" s="5">
        <v>3.27</v>
      </c>
      <c r="T14" s="6">
        <v>10</v>
      </c>
      <c r="U14" s="7">
        <v>24</v>
      </c>
      <c r="W14" s="163">
        <v>14</v>
      </c>
      <c r="X14" s="163">
        <v>16</v>
      </c>
      <c r="Y14" s="164">
        <v>2.88</v>
      </c>
      <c r="Z14" s="165" t="str">
        <f>'1'!C13</f>
        <v>$\phi8@17$</v>
      </c>
      <c r="AA14" s="163" t="s">
        <v>187</v>
      </c>
      <c r="AB14" s="166" t="s">
        <v>42</v>
      </c>
    </row>
    <row r="15" spans="2:28" x14ac:dyDescent="0.25">
      <c r="B15" s="1" t="str">
        <f t="shared" si="2"/>
        <v>11,6</v>
      </c>
      <c r="C15" s="5">
        <v>1</v>
      </c>
      <c r="D15" s="15">
        <v>1.6</v>
      </c>
      <c r="E15" s="15">
        <v>1.18</v>
      </c>
      <c r="F15" s="15">
        <v>1</v>
      </c>
      <c r="G15" s="15">
        <v>1</v>
      </c>
      <c r="H15" s="22">
        <v>20.3</v>
      </c>
      <c r="I15" s="22">
        <v>57.9</v>
      </c>
      <c r="J15" s="22">
        <v>0</v>
      </c>
      <c r="K15" s="23">
        <v>0</v>
      </c>
      <c r="L15" s="22"/>
      <c r="M15" s="1" t="str">
        <f>N15&amp;O15</f>
        <v>2b1</v>
      </c>
      <c r="N15" s="2" t="s">
        <v>12</v>
      </c>
      <c r="O15" s="20">
        <v>1</v>
      </c>
      <c r="P15" s="26">
        <v>0.8</v>
      </c>
      <c r="R15" s="15" t="str">
        <f t="shared" si="1"/>
        <v>815</v>
      </c>
      <c r="S15" s="56">
        <v>3.35</v>
      </c>
      <c r="T15" s="6">
        <v>8</v>
      </c>
      <c r="U15" s="7">
        <v>15</v>
      </c>
      <c r="W15" s="6">
        <v>13</v>
      </c>
      <c r="X15" s="6">
        <v>16</v>
      </c>
      <c r="Y15" s="159">
        <v>2.88</v>
      </c>
      <c r="Z15" s="161" t="str">
        <f>'1'!C13</f>
        <v>$\phi8@17$</v>
      </c>
      <c r="AA15" s="6" t="s">
        <v>164</v>
      </c>
      <c r="AB15" s="128" t="s">
        <v>42</v>
      </c>
    </row>
    <row r="16" spans="2:28" x14ac:dyDescent="0.25">
      <c r="B16" s="1" t="str">
        <f t="shared" si="2"/>
        <v>11,8</v>
      </c>
      <c r="C16" s="5">
        <v>1</v>
      </c>
      <c r="D16" s="15">
        <v>1.8</v>
      </c>
      <c r="E16" s="15">
        <v>1.1499999999999999</v>
      </c>
      <c r="F16" s="15">
        <v>1</v>
      </c>
      <c r="G16" s="15">
        <v>1</v>
      </c>
      <c r="H16" s="22">
        <v>20.3</v>
      </c>
      <c r="I16" s="22">
        <v>69.3</v>
      </c>
      <c r="J16" s="22">
        <v>0</v>
      </c>
      <c r="K16" s="23">
        <v>0</v>
      </c>
      <c r="L16" s="22"/>
      <c r="M16" s="1" t="str">
        <f t="shared" ref="M16:M56" si="3">N16&amp;O16</f>
        <v>2b1,1</v>
      </c>
      <c r="N16" s="5" t="s">
        <v>12</v>
      </c>
      <c r="O16" s="22">
        <v>1.1000000000000001</v>
      </c>
      <c r="P16" s="27">
        <v>0.88</v>
      </c>
      <c r="R16" s="6" t="str">
        <f t="shared" si="1"/>
        <v>1023</v>
      </c>
      <c r="S16" s="5">
        <v>3.41</v>
      </c>
      <c r="T16" s="6">
        <v>10</v>
      </c>
      <c r="U16" s="7">
        <v>23</v>
      </c>
      <c r="W16" s="6">
        <v>12</v>
      </c>
      <c r="X16" s="6">
        <v>16</v>
      </c>
      <c r="Y16" s="159">
        <v>2.88</v>
      </c>
      <c r="Z16" s="161" t="str">
        <f>'1'!C13</f>
        <v>$\phi8@17$</v>
      </c>
      <c r="AA16" s="6" t="s">
        <v>164</v>
      </c>
      <c r="AB16" s="128" t="s">
        <v>42</v>
      </c>
    </row>
    <row r="17" spans="2:28" ht="15.75" thickBot="1" x14ac:dyDescent="0.3">
      <c r="B17" s="1" t="str">
        <f t="shared" si="2"/>
        <v>12</v>
      </c>
      <c r="C17" s="8">
        <v>1</v>
      </c>
      <c r="D17" s="16">
        <v>2</v>
      </c>
      <c r="E17" s="16">
        <v>1.1200000000000001</v>
      </c>
      <c r="F17" s="16">
        <v>1</v>
      </c>
      <c r="G17" s="16">
        <v>1</v>
      </c>
      <c r="H17" s="24">
        <v>20.8</v>
      </c>
      <c r="I17" s="24">
        <v>80.599999999999994</v>
      </c>
      <c r="J17" s="24">
        <v>0</v>
      </c>
      <c r="K17" s="25">
        <v>0</v>
      </c>
      <c r="L17" s="22"/>
      <c r="M17" s="1" t="str">
        <f t="shared" si="3"/>
        <v>2b1,2</v>
      </c>
      <c r="N17" s="5" t="s">
        <v>12</v>
      </c>
      <c r="O17" s="22">
        <v>1.2</v>
      </c>
      <c r="P17" s="27">
        <v>0.91</v>
      </c>
      <c r="R17" s="6" t="str">
        <f t="shared" si="1"/>
        <v>1022</v>
      </c>
      <c r="S17" s="5">
        <v>3.57</v>
      </c>
      <c r="T17" s="6">
        <v>10</v>
      </c>
      <c r="U17" s="7">
        <v>22</v>
      </c>
      <c r="W17" s="6">
        <v>11</v>
      </c>
      <c r="X17" s="6">
        <v>16</v>
      </c>
      <c r="Y17" s="159">
        <v>2.88</v>
      </c>
      <c r="Z17" s="161" t="str">
        <f>'1'!C13</f>
        <v>$\phi8@17$</v>
      </c>
      <c r="AA17" s="6" t="s">
        <v>164</v>
      </c>
      <c r="AB17" s="128" t="s">
        <v>42</v>
      </c>
    </row>
    <row r="18" spans="2:28" x14ac:dyDescent="0.25">
      <c r="B18" s="1" t="str">
        <f t="shared" si="2"/>
        <v>2a1</v>
      </c>
      <c r="C18" s="2" t="s">
        <v>8</v>
      </c>
      <c r="D18" s="14">
        <v>1</v>
      </c>
      <c r="E18" s="14">
        <v>1</v>
      </c>
      <c r="F18" s="14">
        <v>0.05</v>
      </c>
      <c r="G18" s="14">
        <v>0.25</v>
      </c>
      <c r="H18" s="20">
        <v>31.4</v>
      </c>
      <c r="I18" s="20">
        <v>41.2</v>
      </c>
      <c r="J18" s="20">
        <v>11.9</v>
      </c>
      <c r="K18" s="21">
        <v>0</v>
      </c>
      <c r="L18" s="22"/>
      <c r="M18" s="1" t="str">
        <f t="shared" si="3"/>
        <v>2b1,3</v>
      </c>
      <c r="N18" s="5" t="s">
        <v>12</v>
      </c>
      <c r="O18" s="22">
        <v>1.3</v>
      </c>
      <c r="P18" s="27">
        <v>0.93</v>
      </c>
      <c r="R18" s="15" t="str">
        <f t="shared" si="1"/>
        <v>814</v>
      </c>
      <c r="S18" s="56">
        <v>3.59</v>
      </c>
      <c r="T18" s="6">
        <v>8</v>
      </c>
      <c r="U18" s="7">
        <v>14</v>
      </c>
      <c r="W18" s="6">
        <v>10</v>
      </c>
      <c r="X18" s="6">
        <v>16</v>
      </c>
      <c r="Y18" s="159">
        <v>2.88</v>
      </c>
      <c r="Z18" s="161" t="str">
        <f>'1'!C13</f>
        <v>$\phi8@17$</v>
      </c>
      <c r="AA18" s="6" t="s">
        <v>164</v>
      </c>
      <c r="AB18" s="128" t="s">
        <v>42</v>
      </c>
    </row>
    <row r="19" spans="2:28" x14ac:dyDescent="0.25">
      <c r="B19" s="1" t="str">
        <f t="shared" si="2"/>
        <v>2a1,05</v>
      </c>
      <c r="C19" s="5" t="s">
        <v>8</v>
      </c>
      <c r="D19" s="15">
        <v>1.05</v>
      </c>
      <c r="E19" s="15">
        <v>1</v>
      </c>
      <c r="F19" s="15">
        <v>0.06</v>
      </c>
      <c r="G19" s="15">
        <v>0.3</v>
      </c>
      <c r="H19" s="22">
        <v>30.7</v>
      </c>
      <c r="I19" s="22">
        <v>45.4</v>
      </c>
      <c r="J19" s="22">
        <v>11.9</v>
      </c>
      <c r="K19" s="23">
        <v>0</v>
      </c>
      <c r="L19" s="22"/>
      <c r="M19" s="1" t="str">
        <f t="shared" si="3"/>
        <v>2b1,4</v>
      </c>
      <c r="N19" s="5" t="s">
        <v>12</v>
      </c>
      <c r="O19" s="22">
        <v>1.4</v>
      </c>
      <c r="P19" s="27">
        <v>0.94</v>
      </c>
      <c r="R19" s="6" t="str">
        <f t="shared" si="1"/>
        <v>1021</v>
      </c>
      <c r="S19" s="5">
        <v>3.74</v>
      </c>
      <c r="T19" s="6">
        <v>10</v>
      </c>
      <c r="U19" s="7">
        <v>21</v>
      </c>
      <c r="W19" s="6">
        <v>9</v>
      </c>
      <c r="X19" s="6">
        <v>16</v>
      </c>
      <c r="Y19" s="159">
        <v>2.88</v>
      </c>
      <c r="Z19" s="161" t="str">
        <f>'1'!C13</f>
        <v>$\phi8@17$</v>
      </c>
      <c r="AA19" s="6" t="s">
        <v>164</v>
      </c>
      <c r="AB19" s="128" t="s">
        <v>42</v>
      </c>
    </row>
    <row r="20" spans="2:28" ht="15.75" thickBot="1" x14ac:dyDescent="0.3">
      <c r="B20" s="1" t="str">
        <f t="shared" si="2"/>
        <v>2a1,1</v>
      </c>
      <c r="C20" s="5" t="s">
        <v>8</v>
      </c>
      <c r="D20" s="15">
        <v>1.1000000000000001</v>
      </c>
      <c r="E20" s="15">
        <v>1</v>
      </c>
      <c r="F20" s="15">
        <v>7.0000000000000007E-2</v>
      </c>
      <c r="G20" s="15">
        <v>0.35</v>
      </c>
      <c r="H20" s="22">
        <v>30</v>
      </c>
      <c r="I20" s="22">
        <v>49.6</v>
      </c>
      <c r="J20" s="22">
        <v>12</v>
      </c>
      <c r="K20" s="23">
        <v>0</v>
      </c>
      <c r="L20" s="22"/>
      <c r="M20" s="1" t="str">
        <f t="shared" si="3"/>
        <v>2b1,5</v>
      </c>
      <c r="N20" s="8" t="s">
        <v>12</v>
      </c>
      <c r="O20" s="24">
        <v>1.5</v>
      </c>
      <c r="P20" s="28">
        <v>0.95</v>
      </c>
      <c r="R20" s="15" t="str">
        <f t="shared" si="1"/>
        <v>813</v>
      </c>
      <c r="S20" s="56">
        <v>3.87</v>
      </c>
      <c r="T20" s="6">
        <v>8</v>
      </c>
      <c r="U20" s="7">
        <v>13</v>
      </c>
      <c r="W20" s="163">
        <v>8</v>
      </c>
      <c r="X20" s="163">
        <v>16</v>
      </c>
      <c r="Y20" s="164">
        <v>2.88</v>
      </c>
      <c r="Z20" s="165" t="str">
        <f>'1'!C13</f>
        <v>$\phi8@17$</v>
      </c>
      <c r="AA20" s="163" t="s">
        <v>164</v>
      </c>
      <c r="AB20" s="166" t="s">
        <v>42</v>
      </c>
    </row>
    <row r="21" spans="2:28" x14ac:dyDescent="0.25">
      <c r="B21" s="1" t="str">
        <f t="shared" si="2"/>
        <v>2a1,15</v>
      </c>
      <c r="C21" s="5" t="s">
        <v>8</v>
      </c>
      <c r="D21" s="15">
        <v>1.1499999999999999</v>
      </c>
      <c r="E21" s="15">
        <v>1</v>
      </c>
      <c r="F21" s="15">
        <v>0.09</v>
      </c>
      <c r="G21" s="15">
        <v>0.39</v>
      </c>
      <c r="H21" s="22">
        <v>29.7</v>
      </c>
      <c r="I21" s="22">
        <v>54</v>
      </c>
      <c r="J21" s="22">
        <v>12.1</v>
      </c>
      <c r="K21" s="23">
        <v>0</v>
      </c>
      <c r="L21" s="22"/>
      <c r="M21" s="1" t="str">
        <f t="shared" si="3"/>
        <v>3a1</v>
      </c>
      <c r="N21" s="2" t="s">
        <v>13</v>
      </c>
      <c r="O21" s="20">
        <v>1</v>
      </c>
      <c r="P21" s="26">
        <v>0.6</v>
      </c>
      <c r="R21" s="15" t="str">
        <f t="shared" si="1"/>
        <v>1020</v>
      </c>
      <c r="S21" s="56">
        <v>3.93</v>
      </c>
      <c r="T21" s="6">
        <v>10</v>
      </c>
      <c r="U21" s="7">
        <v>20</v>
      </c>
      <c r="W21" s="6">
        <v>7</v>
      </c>
      <c r="X21" s="6">
        <v>16</v>
      </c>
      <c r="Y21" s="159">
        <v>2.88</v>
      </c>
      <c r="Z21" s="161" t="str">
        <f>'1'!C13</f>
        <v>$\phi8@17$</v>
      </c>
      <c r="AA21" s="6" t="s">
        <v>41</v>
      </c>
      <c r="AB21" s="128" t="s">
        <v>42</v>
      </c>
    </row>
    <row r="22" spans="2:28" x14ac:dyDescent="0.25">
      <c r="B22" s="1" t="str">
        <f t="shared" si="2"/>
        <v>2a1,2</v>
      </c>
      <c r="C22" s="5" t="s">
        <v>8</v>
      </c>
      <c r="D22" s="15">
        <v>1.2</v>
      </c>
      <c r="E22" s="15">
        <v>1</v>
      </c>
      <c r="F22" s="15">
        <v>0.11</v>
      </c>
      <c r="G22" s="15">
        <v>0.44</v>
      </c>
      <c r="H22" s="22">
        <v>29.4</v>
      </c>
      <c r="I22" s="22">
        <v>58.5</v>
      </c>
      <c r="J22" s="22">
        <v>12.2</v>
      </c>
      <c r="K22" s="23">
        <v>0</v>
      </c>
      <c r="L22" s="22"/>
      <c r="M22" s="1" t="str">
        <f t="shared" si="3"/>
        <v>3a1,1</v>
      </c>
      <c r="N22" s="5" t="s">
        <v>13</v>
      </c>
      <c r="O22" s="22">
        <v>1.1000000000000001</v>
      </c>
      <c r="P22" s="27">
        <v>0.6</v>
      </c>
      <c r="R22" s="6" t="str">
        <f t="shared" si="1"/>
        <v>1019</v>
      </c>
      <c r="S22" s="5">
        <v>4.13</v>
      </c>
      <c r="T22" s="6">
        <v>10</v>
      </c>
      <c r="U22" s="7">
        <v>19</v>
      </c>
      <c r="W22" s="6">
        <v>6</v>
      </c>
      <c r="X22" s="6">
        <v>16</v>
      </c>
      <c r="Y22" s="159">
        <v>2.88</v>
      </c>
      <c r="Z22" s="161" t="str">
        <f>'1'!C13</f>
        <v>$\phi8@17$</v>
      </c>
      <c r="AA22" s="6" t="s">
        <v>41</v>
      </c>
      <c r="AB22" s="128" t="s">
        <v>42</v>
      </c>
    </row>
    <row r="23" spans="2:28" x14ac:dyDescent="0.25">
      <c r="B23" s="1" t="str">
        <f t="shared" si="2"/>
        <v>2a1,25</v>
      </c>
      <c r="C23" s="5" t="s">
        <v>8</v>
      </c>
      <c r="D23" s="15">
        <v>1.25</v>
      </c>
      <c r="E23" s="15">
        <v>1</v>
      </c>
      <c r="F23" s="15">
        <v>0.14000000000000001</v>
      </c>
      <c r="G23" s="15">
        <v>0.49</v>
      </c>
      <c r="H23" s="22">
        <v>29.2</v>
      </c>
      <c r="I23" s="22">
        <v>62.9</v>
      </c>
      <c r="J23" s="22">
        <v>12.4</v>
      </c>
      <c r="K23" s="23">
        <v>0</v>
      </c>
      <c r="L23" s="22"/>
      <c r="M23" s="1" t="str">
        <f t="shared" si="3"/>
        <v>3a1,2</v>
      </c>
      <c r="N23" s="5" t="s">
        <v>13</v>
      </c>
      <c r="O23" s="22">
        <v>1.2</v>
      </c>
      <c r="P23" s="27">
        <v>0.6</v>
      </c>
      <c r="R23" s="15" t="str">
        <f t="shared" si="1"/>
        <v>812</v>
      </c>
      <c r="S23" s="56">
        <v>4.1900000000000004</v>
      </c>
      <c r="T23" s="6">
        <v>8</v>
      </c>
      <c r="U23" s="7">
        <v>12</v>
      </c>
      <c r="W23" s="6">
        <v>5</v>
      </c>
      <c r="X23" s="6">
        <v>16</v>
      </c>
      <c r="Y23" s="159">
        <v>2.88</v>
      </c>
      <c r="Z23" s="161" t="str">
        <f>'1'!C13</f>
        <v>$\phi8@17$</v>
      </c>
      <c r="AA23" s="6" t="s">
        <v>41</v>
      </c>
      <c r="AB23" s="128" t="s">
        <v>42</v>
      </c>
    </row>
    <row r="24" spans="2:28" x14ac:dyDescent="0.25">
      <c r="B24" s="1" t="str">
        <f t="shared" si="2"/>
        <v>2a1,3</v>
      </c>
      <c r="C24" s="5" t="s">
        <v>8</v>
      </c>
      <c r="D24" s="15">
        <v>1.3</v>
      </c>
      <c r="E24" s="15">
        <v>1</v>
      </c>
      <c r="F24" s="15">
        <v>0.18</v>
      </c>
      <c r="G24" s="15">
        <v>0.54</v>
      </c>
      <c r="H24" s="22">
        <v>29.1</v>
      </c>
      <c r="I24" s="22">
        <v>67.3</v>
      </c>
      <c r="J24" s="22">
        <v>12.6</v>
      </c>
      <c r="K24" s="23">
        <v>0</v>
      </c>
      <c r="L24" s="22"/>
      <c r="M24" s="1" t="str">
        <f t="shared" si="3"/>
        <v>3a1,3</v>
      </c>
      <c r="N24" s="5" t="s">
        <v>13</v>
      </c>
      <c r="O24" s="22">
        <v>1.3</v>
      </c>
      <c r="P24" s="27">
        <v>0.6</v>
      </c>
      <c r="R24" s="6" t="str">
        <f t="shared" si="1"/>
        <v>1018</v>
      </c>
      <c r="S24" s="5">
        <v>4.3600000000000003</v>
      </c>
      <c r="T24" s="6">
        <v>10</v>
      </c>
      <c r="U24" s="7">
        <v>18</v>
      </c>
      <c r="W24" s="6">
        <v>4</v>
      </c>
      <c r="X24" s="6">
        <v>16</v>
      </c>
      <c r="Y24" s="159">
        <v>2.88</v>
      </c>
      <c r="Z24" s="161" t="str">
        <f>'1'!C13</f>
        <v>$\phi8@17$</v>
      </c>
      <c r="AA24" s="6" t="s">
        <v>41</v>
      </c>
      <c r="AB24" s="128" t="s">
        <v>42</v>
      </c>
    </row>
    <row r="25" spans="2:28" x14ac:dyDescent="0.25">
      <c r="B25" s="1" t="str">
        <f t="shared" si="2"/>
        <v>2a1,35</v>
      </c>
      <c r="C25" s="5" t="s">
        <v>8</v>
      </c>
      <c r="D25" s="15">
        <v>1.35</v>
      </c>
      <c r="E25" s="15">
        <v>1</v>
      </c>
      <c r="F25" s="15">
        <v>0.21</v>
      </c>
      <c r="G25" s="13">
        <v>0.59</v>
      </c>
      <c r="H25" s="22">
        <v>29.2</v>
      </c>
      <c r="I25" s="22">
        <v>71.7</v>
      </c>
      <c r="J25" s="22">
        <v>12.8</v>
      </c>
      <c r="K25" s="23">
        <v>0</v>
      </c>
      <c r="L25" s="22"/>
      <c r="M25" s="1" t="str">
        <f t="shared" si="3"/>
        <v>3a1,4</v>
      </c>
      <c r="N25" s="5" t="s">
        <v>13</v>
      </c>
      <c r="O25" s="22">
        <v>1.4</v>
      </c>
      <c r="P25" s="27">
        <v>0.6</v>
      </c>
      <c r="R25" s="6" t="str">
        <f t="shared" si="1"/>
        <v>1225</v>
      </c>
      <c r="S25" s="5">
        <v>4.5199999999999996</v>
      </c>
      <c r="T25" s="6">
        <v>12</v>
      </c>
      <c r="U25" s="7">
        <v>25</v>
      </c>
      <c r="W25" s="6">
        <v>3</v>
      </c>
      <c r="X25" s="6">
        <v>16</v>
      </c>
      <c r="Y25" s="159">
        <v>2.88</v>
      </c>
      <c r="Z25" s="161" t="str">
        <f>'1'!C13</f>
        <v>$\phi8@17$</v>
      </c>
      <c r="AA25" s="6" t="s">
        <v>41</v>
      </c>
      <c r="AB25" s="128" t="s">
        <v>42</v>
      </c>
    </row>
    <row r="26" spans="2:28" ht="15.75" thickBot="1" x14ac:dyDescent="0.3">
      <c r="B26" s="1" t="str">
        <f t="shared" si="2"/>
        <v>2a1,4</v>
      </c>
      <c r="C26" s="5" t="s">
        <v>8</v>
      </c>
      <c r="D26" s="15">
        <v>1.4</v>
      </c>
      <c r="E26" s="15">
        <v>1</v>
      </c>
      <c r="F26" s="15">
        <v>0.24</v>
      </c>
      <c r="G26" s="15">
        <v>0.64</v>
      </c>
      <c r="H26" s="22">
        <v>29.4</v>
      </c>
      <c r="I26" s="22">
        <v>76</v>
      </c>
      <c r="J26" s="22">
        <v>13</v>
      </c>
      <c r="K26" s="23">
        <v>0</v>
      </c>
      <c r="L26" s="22"/>
      <c r="M26" s="1" t="str">
        <f t="shared" si="3"/>
        <v>3a1,5</v>
      </c>
      <c r="N26" s="8" t="s">
        <v>13</v>
      </c>
      <c r="O26" s="24">
        <v>1.5</v>
      </c>
      <c r="P26" s="28">
        <v>0.6</v>
      </c>
      <c r="R26" s="15" t="str">
        <f t="shared" si="1"/>
        <v>811</v>
      </c>
      <c r="S26" s="56">
        <v>4.57</v>
      </c>
      <c r="T26" s="6">
        <v>8</v>
      </c>
      <c r="U26" s="7">
        <v>11</v>
      </c>
      <c r="W26" s="6">
        <v>2</v>
      </c>
      <c r="X26" s="6">
        <v>16</v>
      </c>
      <c r="Y26" s="159">
        <v>2.88</v>
      </c>
      <c r="Z26" s="161" t="str">
        <f>'1'!C13</f>
        <v>$\phi8@17$</v>
      </c>
      <c r="AA26" s="6" t="s">
        <v>41</v>
      </c>
      <c r="AB26" s="128" t="s">
        <v>42</v>
      </c>
    </row>
    <row r="27" spans="2:28" x14ac:dyDescent="0.25">
      <c r="B27" s="1" t="str">
        <f t="shared" si="2"/>
        <v>2a1,45</v>
      </c>
      <c r="C27" s="5" t="s">
        <v>8</v>
      </c>
      <c r="D27" s="15">
        <v>1.45</v>
      </c>
      <c r="E27" s="15">
        <v>1</v>
      </c>
      <c r="F27" s="15">
        <v>0.27</v>
      </c>
      <c r="G27" s="15">
        <v>0.7</v>
      </c>
      <c r="H27" s="22">
        <v>29.6</v>
      </c>
      <c r="I27" s="22">
        <v>79.7</v>
      </c>
      <c r="J27" s="22">
        <v>13.2</v>
      </c>
      <c r="K27" s="23">
        <v>0</v>
      </c>
      <c r="L27" s="22"/>
      <c r="M27" s="1" t="str">
        <f t="shared" si="3"/>
        <v>3b1</v>
      </c>
      <c r="N27" s="2" t="s">
        <v>14</v>
      </c>
      <c r="O27" s="20">
        <v>1</v>
      </c>
      <c r="P27" s="26">
        <v>0.6</v>
      </c>
      <c r="R27" s="6" t="str">
        <f t="shared" si="1"/>
        <v>1017</v>
      </c>
      <c r="S27" s="5">
        <v>4.62</v>
      </c>
      <c r="T27" s="6">
        <v>10</v>
      </c>
      <c r="U27" s="7">
        <v>17</v>
      </c>
      <c r="W27" s="6">
        <v>1</v>
      </c>
      <c r="X27" s="6">
        <v>16</v>
      </c>
      <c r="Y27" s="159">
        <v>2.88</v>
      </c>
      <c r="Z27" s="161" t="str">
        <f>'1'!C13</f>
        <v>$\phi8@17$</v>
      </c>
      <c r="AA27" s="6" t="s">
        <v>41</v>
      </c>
      <c r="AB27" s="128" t="s">
        <v>42</v>
      </c>
    </row>
    <row r="28" spans="2:28" ht="15.75" thickBot="1" x14ac:dyDescent="0.3">
      <c r="B28" s="1" t="str">
        <f t="shared" si="2"/>
        <v>2a1,5</v>
      </c>
      <c r="C28" s="5" t="s">
        <v>8</v>
      </c>
      <c r="D28" s="15">
        <v>1.5</v>
      </c>
      <c r="E28" s="15">
        <v>1</v>
      </c>
      <c r="F28" s="15">
        <v>0.3</v>
      </c>
      <c r="G28" s="15">
        <v>0.75</v>
      </c>
      <c r="H28" s="22">
        <v>29.8</v>
      </c>
      <c r="I28" s="22">
        <v>83.4</v>
      </c>
      <c r="J28" s="22">
        <v>13.5</v>
      </c>
      <c r="K28" s="23">
        <v>0</v>
      </c>
      <c r="L28" s="22"/>
      <c r="M28" s="1" t="str">
        <f t="shared" si="3"/>
        <v>3b1,1</v>
      </c>
      <c r="N28" s="5" t="s">
        <v>14</v>
      </c>
      <c r="O28" s="22">
        <v>1.1000000000000001</v>
      </c>
      <c r="P28" s="27">
        <v>0.66</v>
      </c>
      <c r="R28" s="6" t="str">
        <f t="shared" si="1"/>
        <v>1224</v>
      </c>
      <c r="S28" s="5">
        <v>4.71</v>
      </c>
      <c r="T28" s="6">
        <v>12</v>
      </c>
      <c r="U28" s="7">
        <v>24</v>
      </c>
      <c r="W28" s="9">
        <v>-1</v>
      </c>
      <c r="X28" s="9">
        <v>17</v>
      </c>
      <c r="Y28" s="160">
        <f>'-1'!C12</f>
        <v>3.06</v>
      </c>
      <c r="Z28" s="162" t="str">
        <f>'-1'!C13</f>
        <v>$\phi8@16$</v>
      </c>
      <c r="AA28" s="9" t="s">
        <v>41</v>
      </c>
      <c r="AB28" s="156" t="s">
        <v>42</v>
      </c>
    </row>
    <row r="29" spans="2:28" x14ac:dyDescent="0.25">
      <c r="B29" s="1" t="str">
        <f t="shared" si="2"/>
        <v>2a1,55</v>
      </c>
      <c r="C29" s="5" t="s">
        <v>8</v>
      </c>
      <c r="D29" s="15">
        <v>1.55</v>
      </c>
      <c r="E29" s="15">
        <v>1</v>
      </c>
      <c r="F29" s="15">
        <v>0.33</v>
      </c>
      <c r="G29" s="15">
        <v>0.79</v>
      </c>
      <c r="H29" s="22">
        <v>30.1</v>
      </c>
      <c r="I29" s="22">
        <v>86.9</v>
      </c>
      <c r="J29" s="22">
        <v>13.8</v>
      </c>
      <c r="K29" s="23">
        <v>0</v>
      </c>
      <c r="L29" s="22"/>
      <c r="M29" s="1" t="str">
        <f t="shared" si="3"/>
        <v>3b1,2</v>
      </c>
      <c r="N29" s="5" t="s">
        <v>14</v>
      </c>
      <c r="O29" s="22">
        <v>1.2</v>
      </c>
      <c r="P29" s="27">
        <v>0.72</v>
      </c>
      <c r="R29" s="6" t="str">
        <f t="shared" si="1"/>
        <v>1016</v>
      </c>
      <c r="S29" s="5">
        <v>4.91</v>
      </c>
      <c r="T29" s="6">
        <v>10</v>
      </c>
      <c r="U29" s="7">
        <v>16</v>
      </c>
      <c r="W29" s="6"/>
    </row>
    <row r="30" spans="2:28" x14ac:dyDescent="0.25">
      <c r="B30" s="1" t="str">
        <f t="shared" si="2"/>
        <v>2a1,6</v>
      </c>
      <c r="C30" s="5" t="s">
        <v>8</v>
      </c>
      <c r="D30" s="15">
        <v>1.6</v>
      </c>
      <c r="E30" s="15">
        <v>1</v>
      </c>
      <c r="F30" s="15">
        <v>0.35</v>
      </c>
      <c r="G30" s="15">
        <v>0.83</v>
      </c>
      <c r="H30" s="22">
        <v>30.4</v>
      </c>
      <c r="I30" s="22">
        <v>90.4</v>
      </c>
      <c r="J30" s="22">
        <v>14.1</v>
      </c>
      <c r="K30" s="23">
        <v>0</v>
      </c>
      <c r="L30" s="22"/>
      <c r="M30" s="1" t="str">
        <f t="shared" si="3"/>
        <v>3b1,3</v>
      </c>
      <c r="N30" s="5" t="s">
        <v>14</v>
      </c>
      <c r="O30" s="22">
        <v>1.3</v>
      </c>
      <c r="P30" s="27">
        <v>0.78</v>
      </c>
      <c r="R30" s="6" t="str">
        <f t="shared" si="1"/>
        <v>1223</v>
      </c>
      <c r="S30" s="5">
        <v>4.92</v>
      </c>
      <c r="T30" s="6">
        <v>12</v>
      </c>
      <c r="U30" s="7">
        <v>23</v>
      </c>
      <c r="W30" s="6"/>
    </row>
    <row r="31" spans="2:28" x14ac:dyDescent="0.25">
      <c r="B31" s="1" t="str">
        <f t="shared" si="2"/>
        <v>2a1,8</v>
      </c>
      <c r="C31" s="5" t="s">
        <v>8</v>
      </c>
      <c r="D31" s="15">
        <v>1.8</v>
      </c>
      <c r="E31" s="15">
        <v>1</v>
      </c>
      <c r="F31" s="15">
        <v>0.43</v>
      </c>
      <c r="G31" s="15">
        <v>0.99</v>
      </c>
      <c r="H31" s="22">
        <v>32</v>
      </c>
      <c r="I31" s="22">
        <v>106</v>
      </c>
      <c r="J31" s="22">
        <v>15.1</v>
      </c>
      <c r="K31" s="23">
        <v>0</v>
      </c>
      <c r="L31" s="22"/>
      <c r="M31" s="1" t="str">
        <f t="shared" si="3"/>
        <v>3b1,4</v>
      </c>
      <c r="N31" s="5" t="s">
        <v>14</v>
      </c>
      <c r="O31" s="22">
        <v>1.4</v>
      </c>
      <c r="P31" s="27">
        <v>0.84</v>
      </c>
      <c r="R31" s="15" t="str">
        <f t="shared" si="1"/>
        <v>810</v>
      </c>
      <c r="S31" s="56">
        <v>5.03</v>
      </c>
      <c r="T31" s="6">
        <v>8</v>
      </c>
      <c r="U31" s="7">
        <v>10</v>
      </c>
      <c r="W31" s="6"/>
    </row>
    <row r="32" spans="2:28" ht="15.75" thickBot="1" x14ac:dyDescent="0.3">
      <c r="B32" s="1" t="str">
        <f t="shared" si="2"/>
        <v>2a2</v>
      </c>
      <c r="C32" s="8" t="s">
        <v>8</v>
      </c>
      <c r="D32" s="16">
        <v>2</v>
      </c>
      <c r="E32" s="16">
        <v>1</v>
      </c>
      <c r="F32" s="16">
        <v>0.51</v>
      </c>
      <c r="G32" s="16">
        <v>1.1499999999999999</v>
      </c>
      <c r="H32" s="24">
        <v>34.200000000000003</v>
      </c>
      <c r="I32" s="24">
        <v>118</v>
      </c>
      <c r="J32" s="24">
        <v>16.600000000000001</v>
      </c>
      <c r="K32" s="25">
        <v>0</v>
      </c>
      <c r="L32" s="22"/>
      <c r="M32" s="1" t="str">
        <f t="shared" si="3"/>
        <v>3b1,5</v>
      </c>
      <c r="N32" s="8" t="s">
        <v>14</v>
      </c>
      <c r="O32" s="24">
        <v>1.5</v>
      </c>
      <c r="P32" s="28">
        <v>0.88</v>
      </c>
      <c r="R32" s="6" t="str">
        <f t="shared" si="1"/>
        <v>1222</v>
      </c>
      <c r="S32" s="5">
        <v>5.14</v>
      </c>
      <c r="T32" s="6">
        <v>12</v>
      </c>
      <c r="U32" s="7">
        <v>22</v>
      </c>
      <c r="W32" s="6"/>
    </row>
    <row r="33" spans="2:23" x14ac:dyDescent="0.25">
      <c r="B33" s="1" t="str">
        <f t="shared" si="2"/>
        <v>41</v>
      </c>
      <c r="C33" s="2">
        <v>4</v>
      </c>
      <c r="D33" s="14">
        <v>1</v>
      </c>
      <c r="E33" s="14">
        <v>1.1499999999999999</v>
      </c>
      <c r="F33" s="14">
        <v>0.26</v>
      </c>
      <c r="G33" s="14">
        <v>0.26</v>
      </c>
      <c r="H33" s="20">
        <v>40.200000000000003</v>
      </c>
      <c r="I33" s="20">
        <v>40.200000000000003</v>
      </c>
      <c r="J33" s="20">
        <v>14.3</v>
      </c>
      <c r="K33" s="21">
        <v>14.3</v>
      </c>
      <c r="L33" s="22"/>
      <c r="M33" s="1" t="str">
        <f t="shared" si="3"/>
        <v>41</v>
      </c>
      <c r="N33" s="2">
        <v>4</v>
      </c>
      <c r="O33" s="20">
        <v>1</v>
      </c>
      <c r="P33" s="26">
        <v>0.66</v>
      </c>
      <c r="R33" s="15" t="str">
        <f t="shared" si="1"/>
        <v>1015</v>
      </c>
      <c r="S33" s="56">
        <v>5.24</v>
      </c>
      <c r="T33" s="6">
        <v>10</v>
      </c>
      <c r="U33" s="7">
        <v>15</v>
      </c>
      <c r="W33" s="6"/>
    </row>
    <row r="34" spans="2:23" x14ac:dyDescent="0.25">
      <c r="B34" s="1" t="str">
        <f t="shared" si="2"/>
        <v>41,05</v>
      </c>
      <c r="C34" s="5">
        <v>4</v>
      </c>
      <c r="D34" s="15">
        <v>1.05</v>
      </c>
      <c r="E34" s="15">
        <v>1.1499999999999999</v>
      </c>
      <c r="F34" s="15">
        <v>0.27</v>
      </c>
      <c r="G34" s="15">
        <v>0.27</v>
      </c>
      <c r="H34" s="22">
        <v>38.299999999999997</v>
      </c>
      <c r="I34" s="22">
        <v>43.1</v>
      </c>
      <c r="J34" s="22">
        <v>14.1</v>
      </c>
      <c r="K34" s="23">
        <v>14.6</v>
      </c>
      <c r="L34" s="22"/>
      <c r="M34" s="1" t="str">
        <f t="shared" si="3"/>
        <v>41,1</v>
      </c>
      <c r="N34" s="5">
        <v>4</v>
      </c>
      <c r="O34" s="22">
        <v>1.1000000000000001</v>
      </c>
      <c r="P34" s="27">
        <v>0.7</v>
      </c>
      <c r="R34" s="6" t="str">
        <f t="shared" si="1"/>
        <v>1221</v>
      </c>
      <c r="S34" s="5">
        <v>5.39</v>
      </c>
      <c r="T34" s="6">
        <v>12</v>
      </c>
      <c r="U34" s="7">
        <v>21</v>
      </c>
      <c r="W34" s="6"/>
    </row>
    <row r="35" spans="2:23" x14ac:dyDescent="0.25">
      <c r="B35" s="1" t="str">
        <f t="shared" si="2"/>
        <v>41,1</v>
      </c>
      <c r="C35" s="5">
        <v>4</v>
      </c>
      <c r="D35" s="15">
        <v>1.1000000000000001</v>
      </c>
      <c r="E35" s="15">
        <v>1.1499999999999999</v>
      </c>
      <c r="F35" s="15">
        <v>0.28000000000000003</v>
      </c>
      <c r="G35" s="15">
        <v>0.28000000000000003</v>
      </c>
      <c r="H35" s="22">
        <v>36.799999999999997</v>
      </c>
      <c r="I35" s="19">
        <v>46.2</v>
      </c>
      <c r="J35" s="22">
        <v>14</v>
      </c>
      <c r="K35" s="23">
        <v>15</v>
      </c>
      <c r="L35" s="22"/>
      <c r="M35" s="1" t="str">
        <f t="shared" si="3"/>
        <v>41,2</v>
      </c>
      <c r="N35" s="5">
        <v>4</v>
      </c>
      <c r="O35" s="22">
        <v>1.2</v>
      </c>
      <c r="P35" s="27">
        <v>0.72</v>
      </c>
      <c r="R35" s="15" t="str">
        <f t="shared" ref="R35:R66" si="4">T35&amp;U35</f>
        <v>1014</v>
      </c>
      <c r="S35" s="56">
        <v>5.61</v>
      </c>
      <c r="T35" s="6">
        <v>10</v>
      </c>
      <c r="U35" s="7">
        <v>14</v>
      </c>
      <c r="W35" s="6"/>
    </row>
    <row r="36" spans="2:23" x14ac:dyDescent="0.25">
      <c r="B36" s="1" t="str">
        <f t="shared" si="2"/>
        <v>41,15</v>
      </c>
      <c r="C36" s="5">
        <v>4</v>
      </c>
      <c r="D36" s="15">
        <v>1.1499999999999999</v>
      </c>
      <c r="E36" s="15">
        <v>1.1399999999999999</v>
      </c>
      <c r="F36" s="15">
        <v>0.28999999999999998</v>
      </c>
      <c r="G36" s="15">
        <v>0.28999999999999998</v>
      </c>
      <c r="H36" s="22">
        <v>34.6</v>
      </c>
      <c r="I36" s="22">
        <v>49.4</v>
      </c>
      <c r="J36" s="22">
        <v>13.9</v>
      </c>
      <c r="K36" s="23">
        <v>15.3</v>
      </c>
      <c r="L36" s="22"/>
      <c r="M36" s="1" t="str">
        <f t="shared" si="3"/>
        <v>41,3</v>
      </c>
      <c r="N36" s="5">
        <v>4</v>
      </c>
      <c r="O36" s="22">
        <v>1.3</v>
      </c>
      <c r="P36" s="27">
        <v>0.74</v>
      </c>
      <c r="R36" s="15" t="str">
        <f t="shared" si="4"/>
        <v>1220</v>
      </c>
      <c r="S36" s="56">
        <v>5.65</v>
      </c>
      <c r="T36" s="6">
        <v>12</v>
      </c>
      <c r="U36" s="7">
        <v>20</v>
      </c>
      <c r="W36" s="6"/>
    </row>
    <row r="37" spans="2:23" x14ac:dyDescent="0.25">
      <c r="B37" s="1" t="str">
        <f t="shared" si="2"/>
        <v>41,2</v>
      </c>
      <c r="C37" s="5">
        <v>4</v>
      </c>
      <c r="D37" s="15">
        <v>1.2</v>
      </c>
      <c r="E37" s="15">
        <v>1.1399999999999999</v>
      </c>
      <c r="F37" s="15">
        <v>0.3</v>
      </c>
      <c r="G37" s="15">
        <v>0.3</v>
      </c>
      <c r="H37" s="22">
        <v>34.799999999999997</v>
      </c>
      <c r="I37" s="22">
        <v>52.8</v>
      </c>
      <c r="J37" s="22">
        <v>13.8</v>
      </c>
      <c r="K37" s="23">
        <v>15.7</v>
      </c>
      <c r="L37" s="22"/>
      <c r="M37" s="1" t="str">
        <f t="shared" si="3"/>
        <v>41,4</v>
      </c>
      <c r="N37" s="5">
        <v>4</v>
      </c>
      <c r="O37" s="22">
        <v>1.4</v>
      </c>
      <c r="P37" s="27">
        <v>0.75</v>
      </c>
      <c r="R37" s="6" t="str">
        <f t="shared" si="4"/>
        <v>1219</v>
      </c>
      <c r="S37" s="5">
        <v>5.95</v>
      </c>
      <c r="T37" s="6">
        <v>12</v>
      </c>
      <c r="U37" s="7">
        <v>19</v>
      </c>
      <c r="W37" s="6"/>
    </row>
    <row r="38" spans="2:23" ht="15.75" thickBot="1" x14ac:dyDescent="0.3">
      <c r="B38" s="1" t="str">
        <f t="shared" si="2"/>
        <v>41,25</v>
      </c>
      <c r="C38" s="5">
        <v>4</v>
      </c>
      <c r="D38" s="15">
        <v>1.25</v>
      </c>
      <c r="E38" s="15">
        <v>1.1399999999999999</v>
      </c>
      <c r="F38" s="15">
        <v>0.32</v>
      </c>
      <c r="G38" s="15">
        <v>0.32</v>
      </c>
      <c r="H38" s="22">
        <v>34.200000000000003</v>
      </c>
      <c r="I38" s="22">
        <v>57</v>
      </c>
      <c r="J38" s="19">
        <v>13.8</v>
      </c>
      <c r="K38" s="23">
        <v>16.100000000000001</v>
      </c>
      <c r="L38" s="22"/>
      <c r="M38" s="1" t="str">
        <f t="shared" si="3"/>
        <v>41,5</v>
      </c>
      <c r="N38" s="8">
        <v>4</v>
      </c>
      <c r="O38" s="24">
        <v>1.5</v>
      </c>
      <c r="P38" s="28">
        <v>0.76</v>
      </c>
      <c r="R38" s="15" t="str">
        <f t="shared" si="4"/>
        <v>1013</v>
      </c>
      <c r="S38" s="56">
        <v>6.04</v>
      </c>
      <c r="T38" s="6">
        <v>10</v>
      </c>
      <c r="U38" s="7">
        <v>13</v>
      </c>
      <c r="W38" s="6"/>
    </row>
    <row r="39" spans="2:23" x14ac:dyDescent="0.25">
      <c r="B39" s="1" t="str">
        <f t="shared" si="2"/>
        <v>41,3</v>
      </c>
      <c r="C39" s="5">
        <v>4</v>
      </c>
      <c r="D39" s="15">
        <v>1.3</v>
      </c>
      <c r="E39" s="15">
        <v>1.1299999999999999</v>
      </c>
      <c r="F39" s="15">
        <v>0.34</v>
      </c>
      <c r="G39" s="15">
        <v>0.34</v>
      </c>
      <c r="H39" s="22">
        <v>33.799999999999997</v>
      </c>
      <c r="I39" s="22">
        <v>61.9</v>
      </c>
      <c r="J39" s="22">
        <v>13.9</v>
      </c>
      <c r="K39" s="23">
        <v>16.600000000000001</v>
      </c>
      <c r="L39" s="22"/>
      <c r="M39" s="1" t="str">
        <f t="shared" si="3"/>
        <v>5a1</v>
      </c>
      <c r="N39" s="2" t="s">
        <v>9</v>
      </c>
      <c r="O39" s="20">
        <v>1</v>
      </c>
      <c r="P39" s="26">
        <v>0.57999999999999996</v>
      </c>
      <c r="R39" s="6" t="str">
        <f t="shared" si="4"/>
        <v>1218</v>
      </c>
      <c r="S39" s="5">
        <v>6.28</v>
      </c>
      <c r="T39" s="6">
        <v>12</v>
      </c>
      <c r="U39" s="7">
        <v>18</v>
      </c>
      <c r="W39" s="6"/>
    </row>
    <row r="40" spans="2:23" x14ac:dyDescent="0.25">
      <c r="B40" s="1" t="str">
        <f t="shared" si="2"/>
        <v>41,35</v>
      </c>
      <c r="C40" s="5">
        <v>4</v>
      </c>
      <c r="D40" s="15">
        <v>1.35</v>
      </c>
      <c r="E40" s="15">
        <v>1.1299999999999999</v>
      </c>
      <c r="F40" s="15">
        <v>0.36</v>
      </c>
      <c r="G40" s="13">
        <v>0.36</v>
      </c>
      <c r="H40" s="22">
        <v>33.6</v>
      </c>
      <c r="I40" s="22">
        <v>66.7</v>
      </c>
      <c r="J40" s="22">
        <v>13.9</v>
      </c>
      <c r="K40" s="23">
        <v>17.100000000000001</v>
      </c>
      <c r="L40" s="22"/>
      <c r="M40" s="1" t="str">
        <f t="shared" si="3"/>
        <v>5a1,1</v>
      </c>
      <c r="N40" s="5" t="s">
        <v>9</v>
      </c>
      <c r="O40" s="22">
        <v>1.1000000000000001</v>
      </c>
      <c r="P40" s="27">
        <v>0.57999999999999996</v>
      </c>
      <c r="R40" s="15" t="str">
        <f t="shared" si="4"/>
        <v>1012</v>
      </c>
      <c r="S40" s="56">
        <v>6.54</v>
      </c>
      <c r="T40" s="6">
        <v>10</v>
      </c>
      <c r="U40" s="7">
        <v>12</v>
      </c>
      <c r="W40" s="6"/>
    </row>
    <row r="41" spans="2:23" x14ac:dyDescent="0.25">
      <c r="B41" s="1" t="str">
        <f t="shared" si="2"/>
        <v>41,4</v>
      </c>
      <c r="C41" s="5">
        <v>4</v>
      </c>
      <c r="D41" s="15">
        <v>1.4</v>
      </c>
      <c r="E41" s="15">
        <v>1.1200000000000001</v>
      </c>
      <c r="F41" s="15">
        <v>0.38</v>
      </c>
      <c r="G41" s="15">
        <v>0.38</v>
      </c>
      <c r="H41" s="22">
        <v>33.5</v>
      </c>
      <c r="I41" s="22">
        <v>71.3</v>
      </c>
      <c r="J41" s="22">
        <v>14</v>
      </c>
      <c r="K41" s="23">
        <v>17.600000000000001</v>
      </c>
      <c r="L41" s="22"/>
      <c r="M41" s="1" t="str">
        <f t="shared" si="3"/>
        <v>5a1,2</v>
      </c>
      <c r="N41" s="5" t="s">
        <v>9</v>
      </c>
      <c r="O41" s="22">
        <v>1.2</v>
      </c>
      <c r="P41" s="27">
        <v>0.57999999999999996</v>
      </c>
      <c r="R41" s="6" t="str">
        <f t="shared" si="4"/>
        <v>1217</v>
      </c>
      <c r="S41" s="5">
        <v>6.65</v>
      </c>
      <c r="T41" s="6">
        <v>12</v>
      </c>
      <c r="U41" s="7">
        <v>17</v>
      </c>
      <c r="W41" s="6"/>
    </row>
    <row r="42" spans="2:23" x14ac:dyDescent="0.25">
      <c r="B42" s="1" t="str">
        <f t="shared" si="2"/>
        <v>41,45</v>
      </c>
      <c r="C42" s="5">
        <v>4</v>
      </c>
      <c r="D42" s="15">
        <v>1.45</v>
      </c>
      <c r="E42" s="15">
        <v>1.1200000000000001</v>
      </c>
      <c r="F42" s="15">
        <v>0.4</v>
      </c>
      <c r="G42" s="15">
        <v>0.4</v>
      </c>
      <c r="H42" s="22">
        <v>33.4</v>
      </c>
      <c r="I42" s="22">
        <v>75.5</v>
      </c>
      <c r="J42" s="22">
        <v>14.2</v>
      </c>
      <c r="K42" s="23">
        <v>18.100000000000001</v>
      </c>
      <c r="L42" s="22"/>
      <c r="M42" s="1" t="str">
        <f t="shared" si="3"/>
        <v>5a1,3</v>
      </c>
      <c r="N42" s="5" t="s">
        <v>9</v>
      </c>
      <c r="O42" s="22">
        <v>1.3</v>
      </c>
      <c r="P42" s="27">
        <v>0.59</v>
      </c>
      <c r="R42" s="6" t="str">
        <f t="shared" si="4"/>
        <v>1216</v>
      </c>
      <c r="S42" s="5">
        <v>7.07</v>
      </c>
      <c r="T42" s="6">
        <v>12</v>
      </c>
      <c r="U42" s="7">
        <v>16</v>
      </c>
      <c r="W42" s="6"/>
    </row>
    <row r="43" spans="2:23" x14ac:dyDescent="0.25">
      <c r="B43" s="1" t="str">
        <f t="shared" si="2"/>
        <v>41,5</v>
      </c>
      <c r="C43" s="5">
        <v>4</v>
      </c>
      <c r="D43" s="15">
        <v>1.5</v>
      </c>
      <c r="E43" s="15">
        <v>1.1100000000000001</v>
      </c>
      <c r="F43" s="15">
        <v>0.42</v>
      </c>
      <c r="G43" s="15">
        <v>0.42</v>
      </c>
      <c r="H43" s="22">
        <v>33.299999999999997</v>
      </c>
      <c r="I43" s="22">
        <v>79.599999999999994</v>
      </c>
      <c r="J43" s="22">
        <v>14.4</v>
      </c>
      <c r="K43" s="23">
        <v>18.600000000000001</v>
      </c>
      <c r="L43" s="22"/>
      <c r="M43" s="1" t="str">
        <f t="shared" si="3"/>
        <v>5a1,4</v>
      </c>
      <c r="N43" s="5" t="s">
        <v>9</v>
      </c>
      <c r="O43" s="22">
        <v>1.4</v>
      </c>
      <c r="P43" s="27">
        <v>0.59</v>
      </c>
      <c r="R43" s="15" t="str">
        <f t="shared" si="4"/>
        <v>1011</v>
      </c>
      <c r="S43" s="56">
        <v>7.14</v>
      </c>
      <c r="T43" s="6">
        <v>10</v>
      </c>
      <c r="U43" s="7">
        <v>11</v>
      </c>
      <c r="W43" s="6"/>
    </row>
    <row r="44" spans="2:23" ht="15.75" thickBot="1" x14ac:dyDescent="0.3">
      <c r="B44" s="1" t="str">
        <f t="shared" si="2"/>
        <v>41,55</v>
      </c>
      <c r="C44" s="5">
        <v>4</v>
      </c>
      <c r="D44" s="15">
        <v>1.55</v>
      </c>
      <c r="E44" s="15">
        <v>1.1100000000000001</v>
      </c>
      <c r="F44" s="15">
        <v>0.44</v>
      </c>
      <c r="G44" s="15">
        <v>0.44</v>
      </c>
      <c r="H44" s="22">
        <v>33.299999999999997</v>
      </c>
      <c r="I44" s="22">
        <v>83.8</v>
      </c>
      <c r="J44" s="22">
        <v>14.7</v>
      </c>
      <c r="K44" s="23">
        <v>19.100000000000001</v>
      </c>
      <c r="L44" s="22"/>
      <c r="M44" s="1" t="str">
        <f t="shared" si="3"/>
        <v>5a1,5</v>
      </c>
      <c r="N44" s="8" t="s">
        <v>9</v>
      </c>
      <c r="O44" s="24">
        <v>1.5</v>
      </c>
      <c r="P44" s="28">
        <v>0.59</v>
      </c>
      <c r="R44" s="15" t="str">
        <f t="shared" si="4"/>
        <v>1215</v>
      </c>
      <c r="S44" s="56">
        <v>7.54</v>
      </c>
      <c r="T44" s="6">
        <v>12</v>
      </c>
      <c r="U44" s="7">
        <v>15</v>
      </c>
      <c r="W44" s="6"/>
    </row>
    <row r="45" spans="2:23" x14ac:dyDescent="0.25">
      <c r="B45" s="1" t="str">
        <f t="shared" si="2"/>
        <v>41,6</v>
      </c>
      <c r="C45" s="5">
        <v>4</v>
      </c>
      <c r="D45" s="15">
        <v>1.6</v>
      </c>
      <c r="E45" s="15">
        <v>1.1000000000000001</v>
      </c>
      <c r="F45" s="15">
        <v>0.46</v>
      </c>
      <c r="G45" s="15">
        <v>0.46</v>
      </c>
      <c r="H45" s="22">
        <v>33.4</v>
      </c>
      <c r="I45" s="22">
        <v>88</v>
      </c>
      <c r="J45" s="22">
        <v>15.1</v>
      </c>
      <c r="K45" s="23">
        <v>19.600000000000001</v>
      </c>
      <c r="L45" s="22"/>
      <c r="M45" s="1" t="str">
        <f t="shared" si="3"/>
        <v>5b1</v>
      </c>
      <c r="N45" s="2" t="s">
        <v>10</v>
      </c>
      <c r="O45" s="20">
        <v>1</v>
      </c>
      <c r="P45" s="26">
        <v>0.57999999999999996</v>
      </c>
      <c r="R45" s="15" t="str">
        <f t="shared" si="4"/>
        <v>1010</v>
      </c>
      <c r="S45" s="56">
        <v>7.85</v>
      </c>
      <c r="T45" s="6">
        <v>10</v>
      </c>
      <c r="U45" s="7">
        <v>10</v>
      </c>
      <c r="W45" s="6"/>
    </row>
    <row r="46" spans="2:23" x14ac:dyDescent="0.25">
      <c r="B46" s="1" t="str">
        <f t="shared" si="2"/>
        <v>41,8</v>
      </c>
      <c r="C46" s="5">
        <v>4</v>
      </c>
      <c r="D46" s="15">
        <v>1.8</v>
      </c>
      <c r="E46" s="15">
        <v>1.1000000000000001</v>
      </c>
      <c r="F46" s="15">
        <v>0.46</v>
      </c>
      <c r="G46" s="15">
        <v>0.46</v>
      </c>
      <c r="H46" s="22">
        <v>34.799999999999997</v>
      </c>
      <c r="I46" s="22">
        <v>114</v>
      </c>
      <c r="J46" s="22">
        <v>16</v>
      </c>
      <c r="K46" s="23">
        <v>21.8</v>
      </c>
      <c r="L46" s="22"/>
      <c r="M46" s="1" t="str">
        <f t="shared" si="3"/>
        <v>5b1,1</v>
      </c>
      <c r="N46" s="5" t="s">
        <v>10</v>
      </c>
      <c r="O46" s="22">
        <v>1.1000000000000001</v>
      </c>
      <c r="P46" s="27">
        <v>0.61</v>
      </c>
      <c r="R46" s="6" t="str">
        <f t="shared" si="4"/>
        <v>1625</v>
      </c>
      <c r="S46" s="5">
        <v>8.0399999999999991</v>
      </c>
      <c r="T46" s="6">
        <v>16</v>
      </c>
      <c r="U46" s="7">
        <v>25</v>
      </c>
      <c r="W46" s="6"/>
    </row>
    <row r="47" spans="2:23" ht="15.75" thickBot="1" x14ac:dyDescent="0.3">
      <c r="B47" s="1" t="str">
        <f t="shared" si="2"/>
        <v>42</v>
      </c>
      <c r="C47" s="8">
        <v>4</v>
      </c>
      <c r="D47" s="16">
        <v>2</v>
      </c>
      <c r="E47" s="16">
        <v>1.1000000000000001</v>
      </c>
      <c r="F47" s="16">
        <v>0.46</v>
      </c>
      <c r="G47" s="16">
        <v>0.46</v>
      </c>
      <c r="H47" s="24">
        <v>35.799999999999997</v>
      </c>
      <c r="I47" s="24">
        <v>120</v>
      </c>
      <c r="J47" s="24">
        <v>16.8</v>
      </c>
      <c r="K47" s="25">
        <v>24.4</v>
      </c>
      <c r="L47" s="22"/>
      <c r="M47" s="1" t="str">
        <f t="shared" si="3"/>
        <v>5b1,2</v>
      </c>
      <c r="N47" s="5" t="s">
        <v>10</v>
      </c>
      <c r="O47" s="22">
        <v>1.2</v>
      </c>
      <c r="P47" s="27">
        <v>0.66</v>
      </c>
      <c r="R47" s="15" t="str">
        <f t="shared" si="4"/>
        <v>1214</v>
      </c>
      <c r="S47" s="56">
        <v>8.08</v>
      </c>
      <c r="T47" s="6">
        <v>12</v>
      </c>
      <c r="U47" s="7">
        <v>14</v>
      </c>
      <c r="W47" s="6"/>
    </row>
    <row r="48" spans="2:23" x14ac:dyDescent="0.25">
      <c r="B48" s="1" t="str">
        <f t="shared" si="2"/>
        <v>5a1</v>
      </c>
      <c r="C48" s="2" t="s">
        <v>9</v>
      </c>
      <c r="D48" s="14">
        <v>1</v>
      </c>
      <c r="E48" s="14">
        <v>1</v>
      </c>
      <c r="F48" s="14">
        <v>0.61</v>
      </c>
      <c r="G48" s="14">
        <v>0.84</v>
      </c>
      <c r="H48" s="20">
        <v>44.1</v>
      </c>
      <c r="I48" s="20">
        <v>59.5</v>
      </c>
      <c r="J48" s="20">
        <v>16.2</v>
      </c>
      <c r="K48" s="21">
        <v>18.3</v>
      </c>
      <c r="L48" s="22"/>
      <c r="M48" s="1" t="str">
        <f t="shared" si="3"/>
        <v>5b1,3</v>
      </c>
      <c r="N48" s="5" t="s">
        <v>10</v>
      </c>
      <c r="O48" s="22">
        <v>1.3</v>
      </c>
      <c r="P48" s="27">
        <v>0.7</v>
      </c>
      <c r="R48" s="6" t="str">
        <f t="shared" si="4"/>
        <v>1624</v>
      </c>
      <c r="S48" s="5">
        <v>8.3800000000000008</v>
      </c>
      <c r="T48" s="6">
        <v>16</v>
      </c>
      <c r="U48" s="7">
        <v>24</v>
      </c>
      <c r="W48" s="6"/>
    </row>
    <row r="49" spans="2:23" x14ac:dyDescent="0.25">
      <c r="B49" s="1" t="str">
        <f t="shared" si="2"/>
        <v>5a1,05</v>
      </c>
      <c r="C49" s="5" t="s">
        <v>9</v>
      </c>
      <c r="D49" s="15">
        <v>1.05</v>
      </c>
      <c r="E49" s="15">
        <v>1</v>
      </c>
      <c r="F49" s="15">
        <v>0.65</v>
      </c>
      <c r="G49" s="15">
        <v>0.9</v>
      </c>
      <c r="H49" s="22">
        <v>42.6</v>
      </c>
      <c r="I49" s="22">
        <v>61.2</v>
      </c>
      <c r="J49" s="22">
        <v>16.2</v>
      </c>
      <c r="K49" s="23">
        <v>18.899999999999999</v>
      </c>
      <c r="L49" s="22"/>
      <c r="M49" s="1" t="str">
        <f t="shared" si="3"/>
        <v>5b1,4</v>
      </c>
      <c r="N49" s="5" t="s">
        <v>10</v>
      </c>
      <c r="O49" s="22">
        <v>1.4</v>
      </c>
      <c r="P49" s="27">
        <v>0.74</v>
      </c>
      <c r="R49" s="15" t="str">
        <f t="shared" si="4"/>
        <v>1213</v>
      </c>
      <c r="S49" s="56">
        <v>8.6999999999999993</v>
      </c>
      <c r="T49" s="6">
        <v>12</v>
      </c>
      <c r="U49" s="7">
        <v>13</v>
      </c>
      <c r="W49" s="6"/>
    </row>
    <row r="50" spans="2:23" ht="15.75" thickBot="1" x14ac:dyDescent="0.3">
      <c r="B50" s="1" t="str">
        <f t="shared" si="2"/>
        <v>5a1,1</v>
      </c>
      <c r="C50" s="5" t="s">
        <v>9</v>
      </c>
      <c r="D50" s="15">
        <v>1.1000000000000001</v>
      </c>
      <c r="E50" s="15">
        <v>1</v>
      </c>
      <c r="F50" s="15">
        <v>0.7</v>
      </c>
      <c r="G50" s="15">
        <v>0.96</v>
      </c>
      <c r="H50" s="22">
        <v>41.6</v>
      </c>
      <c r="I50" s="19">
        <v>66.5</v>
      </c>
      <c r="J50" s="22">
        <v>16.3</v>
      </c>
      <c r="K50" s="23">
        <v>19.5</v>
      </c>
      <c r="L50" s="22"/>
      <c r="M50" s="1" t="str">
        <f t="shared" si="3"/>
        <v>5b1,5</v>
      </c>
      <c r="N50" s="8" t="s">
        <v>10</v>
      </c>
      <c r="O50" s="24">
        <v>1.5</v>
      </c>
      <c r="P50" s="28">
        <v>0.75</v>
      </c>
      <c r="R50" s="6" t="str">
        <f t="shared" si="4"/>
        <v>1623</v>
      </c>
      <c r="S50" s="5">
        <v>8.74</v>
      </c>
      <c r="T50" s="6">
        <v>16</v>
      </c>
      <c r="U50" s="7">
        <v>23</v>
      </c>
      <c r="W50" s="6"/>
    </row>
    <row r="51" spans="2:23" x14ac:dyDescent="0.25">
      <c r="B51" s="1" t="str">
        <f t="shared" si="2"/>
        <v>5a1,15</v>
      </c>
      <c r="C51" s="5" t="s">
        <v>9</v>
      </c>
      <c r="D51" s="15">
        <v>1.1499999999999999</v>
      </c>
      <c r="E51" s="15">
        <v>1</v>
      </c>
      <c r="F51" s="13">
        <v>0.75</v>
      </c>
      <c r="G51" s="15">
        <v>1.02</v>
      </c>
      <c r="H51" s="22">
        <v>41</v>
      </c>
      <c r="I51" s="22">
        <v>72</v>
      </c>
      <c r="J51" s="22">
        <v>16.5</v>
      </c>
      <c r="K51" s="23">
        <v>20.2</v>
      </c>
      <c r="L51" s="22"/>
      <c r="M51" s="1" t="str">
        <f t="shared" si="3"/>
        <v>61</v>
      </c>
      <c r="N51" s="2">
        <v>6</v>
      </c>
      <c r="O51" s="20">
        <v>1</v>
      </c>
      <c r="P51" s="26">
        <v>0.53</v>
      </c>
      <c r="R51" s="6" t="str">
        <f t="shared" si="4"/>
        <v>1622</v>
      </c>
      <c r="S51" s="5">
        <v>9.14</v>
      </c>
      <c r="T51" s="6">
        <v>16</v>
      </c>
      <c r="U51" s="7">
        <v>22</v>
      </c>
      <c r="W51" s="6"/>
    </row>
    <row r="52" spans="2:23" x14ac:dyDescent="0.25">
      <c r="B52" s="1" t="str">
        <f t="shared" si="2"/>
        <v>5a1,2</v>
      </c>
      <c r="C52" s="5" t="s">
        <v>9</v>
      </c>
      <c r="D52" s="15">
        <v>1.2</v>
      </c>
      <c r="E52" s="15">
        <v>1</v>
      </c>
      <c r="F52" s="15">
        <v>0.81</v>
      </c>
      <c r="G52" s="15">
        <v>1.0900000000000001</v>
      </c>
      <c r="H52" s="22">
        <v>40.6</v>
      </c>
      <c r="I52" s="22">
        <v>77.5</v>
      </c>
      <c r="J52" s="22">
        <v>16.7</v>
      </c>
      <c r="K52" s="23">
        <v>20.9</v>
      </c>
      <c r="L52" s="22"/>
      <c r="M52" s="1" t="str">
        <f t="shared" si="3"/>
        <v>61,1</v>
      </c>
      <c r="N52" s="5">
        <v>6</v>
      </c>
      <c r="O52" s="22">
        <v>1.1000000000000001</v>
      </c>
      <c r="P52" s="27">
        <v>0.55000000000000004</v>
      </c>
      <c r="R52" s="15" t="str">
        <f t="shared" si="4"/>
        <v>1212</v>
      </c>
      <c r="S52" s="56">
        <v>9.42</v>
      </c>
      <c r="T52" s="6">
        <v>12</v>
      </c>
      <c r="U52" s="7">
        <v>12</v>
      </c>
      <c r="W52" s="6"/>
    </row>
    <row r="53" spans="2:23" x14ac:dyDescent="0.25">
      <c r="B53" s="1" t="str">
        <f t="shared" si="2"/>
        <v>5a1,25</v>
      </c>
      <c r="C53" s="5" t="s">
        <v>9</v>
      </c>
      <c r="D53" s="15">
        <v>1.25</v>
      </c>
      <c r="E53" s="15">
        <v>1</v>
      </c>
      <c r="F53" s="15">
        <v>0.87</v>
      </c>
      <c r="G53" s="15">
        <v>1.1599999999999999</v>
      </c>
      <c r="H53" s="22">
        <v>40.4</v>
      </c>
      <c r="I53" s="22">
        <v>83</v>
      </c>
      <c r="J53" s="19">
        <v>16.899999999999999</v>
      </c>
      <c r="K53" s="23">
        <v>21.7</v>
      </c>
      <c r="L53" s="22"/>
      <c r="M53" s="1" t="str">
        <f t="shared" si="3"/>
        <v>61,2</v>
      </c>
      <c r="N53" s="5">
        <v>6</v>
      </c>
      <c r="O53" s="22">
        <v>1.2</v>
      </c>
      <c r="P53" s="27">
        <v>0.56000000000000005</v>
      </c>
      <c r="R53" s="6" t="str">
        <f t="shared" si="4"/>
        <v>1621</v>
      </c>
      <c r="S53" s="5">
        <v>9.57</v>
      </c>
      <c r="T53" s="6">
        <v>16</v>
      </c>
      <c r="U53" s="7">
        <v>21</v>
      </c>
      <c r="W53" s="6"/>
    </row>
    <row r="54" spans="2:23" x14ac:dyDescent="0.25">
      <c r="B54" s="1" t="str">
        <f t="shared" si="2"/>
        <v>5a1,3</v>
      </c>
      <c r="C54" s="5" t="s">
        <v>9</v>
      </c>
      <c r="D54" s="15">
        <v>1.3</v>
      </c>
      <c r="E54" s="15">
        <v>1</v>
      </c>
      <c r="F54" s="15">
        <v>0.93</v>
      </c>
      <c r="G54" s="15">
        <v>1.22</v>
      </c>
      <c r="H54" s="22">
        <v>40.299999999999997</v>
      </c>
      <c r="I54" s="22">
        <v>89.5</v>
      </c>
      <c r="J54" s="22">
        <v>17.2</v>
      </c>
      <c r="K54" s="23">
        <v>22.6</v>
      </c>
      <c r="L54" s="22"/>
      <c r="M54" s="1" t="str">
        <f t="shared" si="3"/>
        <v>61,3</v>
      </c>
      <c r="N54" s="5">
        <v>6</v>
      </c>
      <c r="O54" s="22">
        <v>1.3</v>
      </c>
      <c r="P54" s="27">
        <v>0.56000000000000005</v>
      </c>
      <c r="R54" s="15" t="str">
        <f t="shared" si="4"/>
        <v>1620</v>
      </c>
      <c r="S54" s="56">
        <v>10.050000000000001</v>
      </c>
      <c r="T54" s="6">
        <v>16</v>
      </c>
      <c r="U54" s="7">
        <v>20</v>
      </c>
      <c r="W54" s="6"/>
    </row>
    <row r="55" spans="2:23" x14ac:dyDescent="0.25">
      <c r="B55" s="1" t="str">
        <f t="shared" si="2"/>
        <v>5a1,35</v>
      </c>
      <c r="C55" s="5" t="s">
        <v>9</v>
      </c>
      <c r="D55" s="15">
        <v>1.35</v>
      </c>
      <c r="E55" s="15">
        <v>1</v>
      </c>
      <c r="F55" s="15">
        <v>0.99</v>
      </c>
      <c r="G55" s="13">
        <v>1.29</v>
      </c>
      <c r="H55" s="22">
        <v>40.4</v>
      </c>
      <c r="I55" s="22">
        <v>95</v>
      </c>
      <c r="J55" s="22">
        <v>17.5</v>
      </c>
      <c r="K55" s="23">
        <v>23.5</v>
      </c>
      <c r="L55" s="22"/>
      <c r="M55" s="1" t="str">
        <f t="shared" si="3"/>
        <v>61,4</v>
      </c>
      <c r="N55" s="5">
        <v>6</v>
      </c>
      <c r="O55" s="22">
        <v>1.4</v>
      </c>
      <c r="P55" s="27">
        <v>0.56999999999999995</v>
      </c>
      <c r="R55" s="15" t="str">
        <f t="shared" si="4"/>
        <v>1211</v>
      </c>
      <c r="S55" s="56">
        <v>10.28</v>
      </c>
      <c r="T55" s="6">
        <v>12</v>
      </c>
      <c r="U55" s="7">
        <v>11</v>
      </c>
      <c r="W55" s="6"/>
    </row>
    <row r="56" spans="2:23" ht="15.75" thickBot="1" x14ac:dyDescent="0.3">
      <c r="B56" s="1" t="str">
        <f t="shared" si="2"/>
        <v>5a1,4</v>
      </c>
      <c r="C56" s="5" t="s">
        <v>9</v>
      </c>
      <c r="D56" s="15">
        <v>1.4</v>
      </c>
      <c r="E56" s="15">
        <v>1</v>
      </c>
      <c r="F56" s="15">
        <v>1.04</v>
      </c>
      <c r="G56" s="15">
        <v>1.36</v>
      </c>
      <c r="H56" s="22">
        <v>40.6</v>
      </c>
      <c r="I56" s="22">
        <v>101</v>
      </c>
      <c r="J56" s="22">
        <v>17.8</v>
      </c>
      <c r="K56" s="23">
        <v>24.4</v>
      </c>
      <c r="L56" s="22"/>
      <c r="M56" s="1" t="str">
        <f t="shared" si="3"/>
        <v>61,5</v>
      </c>
      <c r="N56" s="8">
        <v>6</v>
      </c>
      <c r="O56" s="24">
        <v>1.5</v>
      </c>
      <c r="P56" s="28">
        <v>0.57999999999999996</v>
      </c>
      <c r="R56" s="6" t="str">
        <f t="shared" si="4"/>
        <v>1619</v>
      </c>
      <c r="S56" s="5">
        <v>10.58</v>
      </c>
      <c r="T56" s="6">
        <v>16</v>
      </c>
      <c r="U56" s="7">
        <v>19</v>
      </c>
      <c r="W56" s="6"/>
    </row>
    <row r="57" spans="2:23" x14ac:dyDescent="0.25">
      <c r="B57" s="1" t="str">
        <f t="shared" si="2"/>
        <v>5a1,45</v>
      </c>
      <c r="C57" s="5" t="s">
        <v>9</v>
      </c>
      <c r="D57" s="15">
        <v>1.45</v>
      </c>
      <c r="E57" s="15">
        <v>1</v>
      </c>
      <c r="F57" s="15">
        <v>1.0900000000000001</v>
      </c>
      <c r="G57" s="15">
        <v>1.43</v>
      </c>
      <c r="H57" s="22">
        <v>40.9</v>
      </c>
      <c r="I57" s="22">
        <v>107</v>
      </c>
      <c r="J57" s="22">
        <v>18.2</v>
      </c>
      <c r="K57" s="23">
        <v>25.3</v>
      </c>
      <c r="L57" s="22"/>
      <c r="R57" s="6" t="str">
        <f t="shared" si="4"/>
        <v>1618</v>
      </c>
      <c r="S57" s="5">
        <v>11.17</v>
      </c>
      <c r="T57" s="6">
        <v>16</v>
      </c>
      <c r="U57" s="7">
        <v>18</v>
      </c>
      <c r="W57" s="6"/>
    </row>
    <row r="58" spans="2:23" x14ac:dyDescent="0.25">
      <c r="B58" s="1" t="str">
        <f t="shared" si="2"/>
        <v>5a1,5</v>
      </c>
      <c r="C58" s="5" t="s">
        <v>9</v>
      </c>
      <c r="D58" s="15">
        <v>1.5</v>
      </c>
      <c r="E58" s="15">
        <v>1</v>
      </c>
      <c r="F58" s="15">
        <v>1.1399999999999999</v>
      </c>
      <c r="G58" s="15">
        <v>1.49</v>
      </c>
      <c r="H58" s="22">
        <v>41.3</v>
      </c>
      <c r="I58" s="22">
        <v>114</v>
      </c>
      <c r="J58" s="22">
        <v>18.600000000000001</v>
      </c>
      <c r="K58" s="23">
        <v>26.2</v>
      </c>
      <c r="L58" s="22"/>
      <c r="R58" s="15" t="str">
        <f t="shared" si="4"/>
        <v>1210</v>
      </c>
      <c r="S58" s="56">
        <v>11.31</v>
      </c>
      <c r="T58" s="6">
        <v>12</v>
      </c>
      <c r="U58" s="7">
        <v>10</v>
      </c>
      <c r="W58" s="6"/>
    </row>
    <row r="59" spans="2:23" x14ac:dyDescent="0.25">
      <c r="B59" s="1" t="str">
        <f t="shared" si="2"/>
        <v>5a1,55</v>
      </c>
      <c r="C59" s="5" t="s">
        <v>9</v>
      </c>
      <c r="D59" s="15">
        <v>1.55</v>
      </c>
      <c r="E59" s="15">
        <v>1</v>
      </c>
      <c r="F59" s="15">
        <v>1.19</v>
      </c>
      <c r="G59" s="15">
        <v>1.55</v>
      </c>
      <c r="H59" s="22">
        <v>41.8</v>
      </c>
      <c r="I59" s="22">
        <v>121</v>
      </c>
      <c r="J59" s="22">
        <v>19</v>
      </c>
      <c r="K59" s="23">
        <v>27.1</v>
      </c>
      <c r="L59" s="22"/>
      <c r="R59" s="6" t="str">
        <f t="shared" si="4"/>
        <v>1617</v>
      </c>
      <c r="S59" s="5">
        <v>11.83</v>
      </c>
      <c r="T59" s="6">
        <v>16</v>
      </c>
      <c r="U59" s="7">
        <v>17</v>
      </c>
      <c r="W59" s="6"/>
    </row>
    <row r="60" spans="2:23" x14ac:dyDescent="0.25">
      <c r="B60" s="1" t="str">
        <f t="shared" si="2"/>
        <v>5a1,6</v>
      </c>
      <c r="C60" s="5" t="s">
        <v>9</v>
      </c>
      <c r="D60" s="15">
        <v>1.6</v>
      </c>
      <c r="E60" s="15">
        <v>1</v>
      </c>
      <c r="F60" s="15">
        <v>1.24</v>
      </c>
      <c r="G60" s="15">
        <v>1.6</v>
      </c>
      <c r="H60" s="22">
        <v>42.5</v>
      </c>
      <c r="I60" s="22">
        <v>129</v>
      </c>
      <c r="J60" s="22">
        <v>19.5</v>
      </c>
      <c r="K60" s="23">
        <v>28</v>
      </c>
      <c r="L60" s="22"/>
      <c r="R60" s="6" t="str">
        <f t="shared" si="4"/>
        <v>1616</v>
      </c>
      <c r="S60" s="5">
        <v>12.57</v>
      </c>
      <c r="T60" s="6">
        <v>16</v>
      </c>
      <c r="U60" s="7">
        <v>16</v>
      </c>
      <c r="W60" s="6"/>
    </row>
    <row r="61" spans="2:23" x14ac:dyDescent="0.25">
      <c r="B61" s="1" t="str">
        <f t="shared" si="2"/>
        <v>5a1,8</v>
      </c>
      <c r="C61" s="5" t="s">
        <v>9</v>
      </c>
      <c r="D61" s="15">
        <v>1.8</v>
      </c>
      <c r="E61" s="15">
        <v>1</v>
      </c>
      <c r="F61" s="15">
        <v>1.24</v>
      </c>
      <c r="G61" s="15">
        <v>1.6</v>
      </c>
      <c r="H61" s="22">
        <v>45.4</v>
      </c>
      <c r="I61" s="22">
        <v>160</v>
      </c>
      <c r="J61" s="22">
        <v>21.4</v>
      </c>
      <c r="K61" s="23">
        <v>31.7</v>
      </c>
      <c r="L61" s="22"/>
      <c r="R61" s="15" t="str">
        <f t="shared" si="4"/>
        <v>1615</v>
      </c>
      <c r="S61" s="56">
        <v>13.4</v>
      </c>
      <c r="T61" s="6">
        <v>16</v>
      </c>
      <c r="U61" s="7">
        <v>15</v>
      </c>
      <c r="W61" s="6"/>
    </row>
    <row r="62" spans="2:23" ht="15.75" thickBot="1" x14ac:dyDescent="0.3">
      <c r="B62" s="1" t="str">
        <f t="shared" si="2"/>
        <v>5a2</v>
      </c>
      <c r="C62" s="8" t="s">
        <v>9</v>
      </c>
      <c r="D62" s="16">
        <v>2</v>
      </c>
      <c r="E62" s="15">
        <v>1</v>
      </c>
      <c r="F62" s="15">
        <v>1.24</v>
      </c>
      <c r="G62" s="16">
        <v>1.6</v>
      </c>
      <c r="H62" s="24">
        <v>49</v>
      </c>
      <c r="I62" s="24">
        <v>194</v>
      </c>
      <c r="J62" s="24">
        <v>23.6</v>
      </c>
      <c r="K62" s="25">
        <v>35.4</v>
      </c>
      <c r="L62" s="22"/>
      <c r="R62" s="15" t="str">
        <f t="shared" si="4"/>
        <v>1614</v>
      </c>
      <c r="S62" s="56">
        <v>14.36</v>
      </c>
      <c r="T62" s="6">
        <v>16</v>
      </c>
      <c r="U62" s="7">
        <v>14</v>
      </c>
      <c r="W62" s="6"/>
    </row>
    <row r="63" spans="2:23" x14ac:dyDescent="0.25">
      <c r="B63" s="1" t="str">
        <f t="shared" si="2"/>
        <v>5b1</v>
      </c>
      <c r="C63" s="2" t="s">
        <v>10</v>
      </c>
      <c r="D63" s="14">
        <v>1</v>
      </c>
      <c r="E63" s="14">
        <v>1</v>
      </c>
      <c r="F63" s="14">
        <v>0.84</v>
      </c>
      <c r="G63" s="14">
        <v>0.61</v>
      </c>
      <c r="H63" s="20">
        <v>59.5</v>
      </c>
      <c r="I63" s="20">
        <v>44.1</v>
      </c>
      <c r="J63" s="20">
        <v>18.3</v>
      </c>
      <c r="K63" s="21">
        <v>16.2</v>
      </c>
      <c r="L63" s="22"/>
      <c r="R63" s="15" t="str">
        <f t="shared" si="4"/>
        <v>1613</v>
      </c>
      <c r="S63" s="56">
        <v>15.47</v>
      </c>
      <c r="T63" s="6">
        <v>16</v>
      </c>
      <c r="U63" s="7">
        <v>13</v>
      </c>
      <c r="W63" s="6"/>
    </row>
    <row r="64" spans="2:23" x14ac:dyDescent="0.25">
      <c r="B64" s="1" t="str">
        <f t="shared" si="2"/>
        <v>5b1,05</v>
      </c>
      <c r="C64" s="5" t="s">
        <v>10</v>
      </c>
      <c r="D64" s="15">
        <v>1.05</v>
      </c>
      <c r="E64" s="15">
        <v>1</v>
      </c>
      <c r="F64" s="15">
        <v>0.8</v>
      </c>
      <c r="G64" s="15">
        <v>0.57999999999999996</v>
      </c>
      <c r="H64" s="22">
        <v>54.7</v>
      </c>
      <c r="I64" s="22">
        <v>45.9</v>
      </c>
      <c r="J64" s="22">
        <v>17.5</v>
      </c>
      <c r="K64" s="23">
        <v>16.2</v>
      </c>
      <c r="L64" s="22"/>
      <c r="R64" s="15" t="str">
        <f t="shared" si="4"/>
        <v>1612</v>
      </c>
      <c r="S64" s="56">
        <v>16.760000000000002</v>
      </c>
      <c r="T64" s="6">
        <v>16</v>
      </c>
      <c r="U64" s="7">
        <v>12</v>
      </c>
      <c r="W64" s="6"/>
    </row>
    <row r="65" spans="2:23" x14ac:dyDescent="0.25">
      <c r="B65" s="1" t="str">
        <f t="shared" si="2"/>
        <v>5b1,1</v>
      </c>
      <c r="C65" s="5" t="s">
        <v>10</v>
      </c>
      <c r="D65" s="15">
        <v>1.1000000000000001</v>
      </c>
      <c r="E65" s="15">
        <v>1</v>
      </c>
      <c r="F65" s="15">
        <v>0.76</v>
      </c>
      <c r="G65" s="15">
        <v>0.55000000000000004</v>
      </c>
      <c r="H65" s="22">
        <v>50.7</v>
      </c>
      <c r="I65" s="19">
        <v>48.1</v>
      </c>
      <c r="J65" s="22">
        <v>16.899999999999999</v>
      </c>
      <c r="K65" s="23">
        <v>16.3</v>
      </c>
      <c r="L65" s="22"/>
      <c r="R65" s="15" t="str">
        <f t="shared" si="4"/>
        <v>1611</v>
      </c>
      <c r="S65" s="56">
        <v>18.28</v>
      </c>
      <c r="T65" s="6">
        <v>16</v>
      </c>
      <c r="U65" s="7">
        <v>11</v>
      </c>
      <c r="W65" s="6"/>
    </row>
    <row r="66" spans="2:23" ht="15.75" thickBot="1" x14ac:dyDescent="0.3">
      <c r="B66" s="1" t="str">
        <f t="shared" si="2"/>
        <v>5b1,15</v>
      </c>
      <c r="C66" s="5" t="s">
        <v>10</v>
      </c>
      <c r="D66" s="15">
        <v>1.1499999999999999</v>
      </c>
      <c r="E66" s="15">
        <v>1</v>
      </c>
      <c r="F66" s="15">
        <v>0.74</v>
      </c>
      <c r="G66" s="15">
        <v>0.53</v>
      </c>
      <c r="H66" s="22">
        <v>47.5</v>
      </c>
      <c r="I66" s="22">
        <v>50.7</v>
      </c>
      <c r="J66" s="22">
        <v>16.5</v>
      </c>
      <c r="K66" s="23">
        <v>16.399999999999999</v>
      </c>
      <c r="L66" s="22"/>
      <c r="R66" s="16" t="str">
        <f t="shared" si="4"/>
        <v>1610</v>
      </c>
      <c r="S66" s="57">
        <v>20.11</v>
      </c>
      <c r="T66" s="9">
        <v>16</v>
      </c>
      <c r="U66" s="10">
        <v>10</v>
      </c>
      <c r="W66" s="6"/>
    </row>
    <row r="67" spans="2:23" x14ac:dyDescent="0.25">
      <c r="B67" s="1" t="str">
        <f t="shared" si="2"/>
        <v>5b1,2</v>
      </c>
      <c r="C67" s="5" t="s">
        <v>10</v>
      </c>
      <c r="D67" s="15">
        <v>1.2</v>
      </c>
      <c r="E67" s="15">
        <v>1</v>
      </c>
      <c r="F67" s="15">
        <v>0.72</v>
      </c>
      <c r="G67" s="15">
        <v>0.51</v>
      </c>
      <c r="H67" s="22">
        <v>44.9</v>
      </c>
      <c r="I67" s="22">
        <v>53.7</v>
      </c>
      <c r="J67" s="22">
        <v>16.2</v>
      </c>
      <c r="K67" s="23">
        <v>16.600000000000001</v>
      </c>
      <c r="L67" s="22"/>
      <c r="W67" s="6"/>
    </row>
    <row r="68" spans="2:23" x14ac:dyDescent="0.25">
      <c r="B68" s="1" t="str">
        <f t="shared" ref="B68:B92" si="5">C68&amp;D68</f>
        <v>5b1,25</v>
      </c>
      <c r="C68" s="5" t="s">
        <v>10</v>
      </c>
      <c r="D68" s="15">
        <v>1.25</v>
      </c>
      <c r="E68" s="15">
        <v>1</v>
      </c>
      <c r="F68" s="15">
        <v>0.71</v>
      </c>
      <c r="G68" s="15">
        <v>0.5</v>
      </c>
      <c r="H68" s="22">
        <v>42.9</v>
      </c>
      <c r="I68" s="22">
        <v>57.1</v>
      </c>
      <c r="J68" s="19">
        <v>16</v>
      </c>
      <c r="K68" s="23">
        <v>16.899999999999999</v>
      </c>
      <c r="L68" s="22"/>
    </row>
    <row r="69" spans="2:23" x14ac:dyDescent="0.25">
      <c r="B69" s="1" t="str">
        <f t="shared" si="5"/>
        <v>5b1,3</v>
      </c>
      <c r="C69" s="5" t="s">
        <v>10</v>
      </c>
      <c r="D69" s="15">
        <v>1.3</v>
      </c>
      <c r="E69" s="15">
        <v>1</v>
      </c>
      <c r="F69" s="15">
        <v>0.7</v>
      </c>
      <c r="G69" s="15">
        <v>0.49</v>
      </c>
      <c r="H69" s="22">
        <v>41.3</v>
      </c>
      <c r="I69" s="22">
        <v>61</v>
      </c>
      <c r="J69" s="22">
        <v>15.8</v>
      </c>
      <c r="K69" s="23">
        <v>17.3</v>
      </c>
      <c r="L69" s="22"/>
    </row>
    <row r="70" spans="2:23" x14ac:dyDescent="0.25">
      <c r="B70" s="1" t="str">
        <f t="shared" si="5"/>
        <v>5b1,35</v>
      </c>
      <c r="C70" s="5" t="s">
        <v>10</v>
      </c>
      <c r="D70" s="15">
        <v>1.35</v>
      </c>
      <c r="E70" s="15">
        <v>1</v>
      </c>
      <c r="F70" s="15">
        <v>0.7</v>
      </c>
      <c r="G70" s="13">
        <v>0.48</v>
      </c>
      <c r="H70" s="22">
        <v>40.1</v>
      </c>
      <c r="I70" s="22">
        <v>65.400000000000006</v>
      </c>
      <c r="J70" s="22">
        <v>15.7</v>
      </c>
      <c r="K70" s="23">
        <v>17.7</v>
      </c>
      <c r="L70" s="22"/>
    </row>
    <row r="71" spans="2:23" x14ac:dyDescent="0.25">
      <c r="B71" s="1" t="str">
        <f t="shared" si="5"/>
        <v>5b1,4</v>
      </c>
      <c r="C71" s="5" t="s">
        <v>10</v>
      </c>
      <c r="D71" s="15">
        <v>1.4</v>
      </c>
      <c r="E71" s="15">
        <v>1</v>
      </c>
      <c r="F71" s="15">
        <v>0.69</v>
      </c>
      <c r="G71" s="15">
        <v>0.47</v>
      </c>
      <c r="H71" s="22">
        <v>39.200000000000003</v>
      </c>
      <c r="I71" s="22">
        <v>70.400000000000006</v>
      </c>
      <c r="J71" s="22">
        <v>15.7</v>
      </c>
      <c r="K71" s="23">
        <v>18.100000000000001</v>
      </c>
      <c r="L71" s="22"/>
    </row>
    <row r="72" spans="2:23" x14ac:dyDescent="0.25">
      <c r="B72" s="1" t="str">
        <f t="shared" si="5"/>
        <v>5b1,45</v>
      </c>
      <c r="C72" s="5" t="s">
        <v>10</v>
      </c>
      <c r="D72" s="15">
        <v>1.45</v>
      </c>
      <c r="E72" s="15">
        <v>1</v>
      </c>
      <c r="F72" s="15">
        <v>0.69</v>
      </c>
      <c r="G72" s="15">
        <v>0.47</v>
      </c>
      <c r="H72" s="22">
        <v>38.4</v>
      </c>
      <c r="I72" s="22">
        <v>76.099999999999994</v>
      </c>
      <c r="J72" s="22">
        <v>15.7</v>
      </c>
      <c r="K72" s="23">
        <v>18.600000000000001</v>
      </c>
      <c r="L72" s="22"/>
    </row>
    <row r="73" spans="2:23" x14ac:dyDescent="0.25">
      <c r="B73" s="1" t="str">
        <f t="shared" si="5"/>
        <v>5b1,5</v>
      </c>
      <c r="C73" s="5" t="s">
        <v>10</v>
      </c>
      <c r="D73" s="15">
        <v>1.5</v>
      </c>
      <c r="E73" s="15">
        <v>1</v>
      </c>
      <c r="F73" s="15">
        <v>0.69</v>
      </c>
      <c r="G73" s="15">
        <v>0.46</v>
      </c>
      <c r="H73" s="22">
        <v>37.799999999999997</v>
      </c>
      <c r="I73" s="22">
        <v>82.5</v>
      </c>
      <c r="J73" s="22">
        <v>15.8</v>
      </c>
      <c r="K73" s="23">
        <v>19</v>
      </c>
      <c r="L73" s="22"/>
    </row>
    <row r="74" spans="2:23" x14ac:dyDescent="0.25">
      <c r="B74" s="1" t="str">
        <f t="shared" si="5"/>
        <v>5b1,55</v>
      </c>
      <c r="C74" s="5" t="s">
        <v>10</v>
      </c>
      <c r="D74" s="15">
        <v>1.55</v>
      </c>
      <c r="E74" s="15">
        <v>1</v>
      </c>
      <c r="F74" s="15">
        <v>0.68</v>
      </c>
      <c r="G74" s="15">
        <v>0.46</v>
      </c>
      <c r="H74" s="22">
        <v>37.700000000000003</v>
      </c>
      <c r="I74" s="22">
        <v>89.5</v>
      </c>
      <c r="J74" s="22">
        <v>15.9</v>
      </c>
      <c r="K74" s="23">
        <v>19.5</v>
      </c>
      <c r="L74" s="22"/>
    </row>
    <row r="75" spans="2:23" x14ac:dyDescent="0.25">
      <c r="B75" s="1" t="str">
        <f t="shared" si="5"/>
        <v>5b1,6</v>
      </c>
      <c r="C75" s="5" t="s">
        <v>10</v>
      </c>
      <c r="D75" s="15">
        <v>1.6</v>
      </c>
      <c r="E75" s="15">
        <v>1</v>
      </c>
      <c r="F75" s="15">
        <v>0.68</v>
      </c>
      <c r="G75" s="15">
        <v>0.46</v>
      </c>
      <c r="H75" s="22">
        <v>37.700000000000003</v>
      </c>
      <c r="I75" s="22">
        <v>97</v>
      </c>
      <c r="J75" s="22">
        <v>16.100000000000001</v>
      </c>
      <c r="K75" s="23">
        <v>20</v>
      </c>
      <c r="L75" s="22"/>
    </row>
    <row r="76" spans="2:23" x14ac:dyDescent="0.25">
      <c r="B76" s="1" t="str">
        <f t="shared" si="5"/>
        <v>5b1,8</v>
      </c>
      <c r="C76" s="5" t="s">
        <v>10</v>
      </c>
      <c r="D76" s="15">
        <v>1.8</v>
      </c>
      <c r="E76" s="15">
        <v>1</v>
      </c>
      <c r="F76" s="15">
        <v>0.68</v>
      </c>
      <c r="G76" s="15">
        <v>0.46</v>
      </c>
      <c r="H76" s="22">
        <v>37.6</v>
      </c>
      <c r="I76" s="22">
        <v>143</v>
      </c>
      <c r="J76" s="22">
        <v>16.7</v>
      </c>
      <c r="K76" s="23">
        <v>22.1</v>
      </c>
      <c r="L76" s="22"/>
    </row>
    <row r="77" spans="2:23" ht="15.75" thickBot="1" x14ac:dyDescent="0.3">
      <c r="B77" s="1" t="str">
        <f t="shared" si="5"/>
        <v>5b2</v>
      </c>
      <c r="C77" s="8" t="s">
        <v>10</v>
      </c>
      <c r="D77" s="16">
        <v>2</v>
      </c>
      <c r="E77" s="16">
        <v>1</v>
      </c>
      <c r="F77" s="16">
        <v>0.68</v>
      </c>
      <c r="G77" s="16">
        <v>0.46</v>
      </c>
      <c r="H77" s="24">
        <v>37.5</v>
      </c>
      <c r="I77" s="24">
        <v>202</v>
      </c>
      <c r="J77" s="24">
        <v>17.600000000000001</v>
      </c>
      <c r="K77" s="25">
        <v>24.6</v>
      </c>
      <c r="L77" s="22"/>
    </row>
    <row r="78" spans="2:23" x14ac:dyDescent="0.25">
      <c r="B78" s="1" t="str">
        <f t="shared" si="5"/>
        <v>61</v>
      </c>
      <c r="C78" s="2">
        <v>6</v>
      </c>
      <c r="D78" s="14">
        <v>1</v>
      </c>
      <c r="E78" s="14">
        <v>1</v>
      </c>
      <c r="F78" s="14">
        <v>1.03</v>
      </c>
      <c r="G78" s="14">
        <v>1.03</v>
      </c>
      <c r="H78" s="20">
        <v>56.8</v>
      </c>
      <c r="I78" s="20">
        <v>56.8</v>
      </c>
      <c r="J78" s="20">
        <v>19.399999999999999</v>
      </c>
      <c r="K78" s="21">
        <v>19.399999999999999</v>
      </c>
      <c r="L78" s="22"/>
    </row>
    <row r="79" spans="2:23" x14ac:dyDescent="0.25">
      <c r="B79" s="1" t="str">
        <f t="shared" si="5"/>
        <v>61,05</v>
      </c>
      <c r="C79" s="5">
        <v>6</v>
      </c>
      <c r="D79" s="15">
        <v>1.05</v>
      </c>
      <c r="E79" s="15">
        <v>1</v>
      </c>
      <c r="F79" s="15">
        <v>1.04</v>
      </c>
      <c r="G79" s="15">
        <v>1.04</v>
      </c>
      <c r="H79" s="22">
        <v>53.5</v>
      </c>
      <c r="I79" s="22">
        <v>61.2</v>
      </c>
      <c r="J79" s="22">
        <v>19</v>
      </c>
      <c r="K79" s="23">
        <v>19.8</v>
      </c>
      <c r="L79" s="22"/>
    </row>
    <row r="80" spans="2:23" x14ac:dyDescent="0.25">
      <c r="B80" s="1" t="str">
        <f t="shared" si="5"/>
        <v>61,1</v>
      </c>
      <c r="C80" s="5">
        <v>6</v>
      </c>
      <c r="D80" s="15">
        <v>1.1000000000000001</v>
      </c>
      <c r="E80" s="15">
        <v>1</v>
      </c>
      <c r="F80" s="15">
        <v>1.05</v>
      </c>
      <c r="G80" s="15">
        <v>1.05</v>
      </c>
      <c r="H80" s="22">
        <v>50.7</v>
      </c>
      <c r="I80" s="19">
        <v>66.3</v>
      </c>
      <c r="J80" s="22">
        <v>18.8</v>
      </c>
      <c r="K80" s="23">
        <v>20.3</v>
      </c>
      <c r="L80" s="22"/>
    </row>
    <row r="81" spans="2:12" x14ac:dyDescent="0.25">
      <c r="B81" s="1" t="str">
        <f t="shared" si="5"/>
        <v>61,15</v>
      </c>
      <c r="C81" s="5">
        <v>6</v>
      </c>
      <c r="D81" s="15">
        <v>1.1499999999999999</v>
      </c>
      <c r="E81" s="15">
        <v>1</v>
      </c>
      <c r="F81" s="15">
        <v>1.07</v>
      </c>
      <c r="G81" s="15">
        <v>1.07</v>
      </c>
      <c r="H81" s="22">
        <v>48.8</v>
      </c>
      <c r="I81" s="22">
        <v>72.2</v>
      </c>
      <c r="J81" s="19">
        <v>18.7</v>
      </c>
      <c r="K81" s="23">
        <v>20.9</v>
      </c>
      <c r="L81" s="22"/>
    </row>
    <row r="82" spans="2:12" x14ac:dyDescent="0.25">
      <c r="B82" s="1" t="str">
        <f t="shared" si="5"/>
        <v>61,2</v>
      </c>
      <c r="C82" s="5">
        <v>6</v>
      </c>
      <c r="D82" s="15">
        <v>1.2</v>
      </c>
      <c r="E82" s="15">
        <v>1</v>
      </c>
      <c r="F82" s="15">
        <v>1.1000000000000001</v>
      </c>
      <c r="G82" s="15">
        <v>1.1000000000000001</v>
      </c>
      <c r="H82" s="22">
        <v>47.2</v>
      </c>
      <c r="I82" s="22">
        <v>78.900000000000006</v>
      </c>
      <c r="J82" s="19">
        <v>18.600000000000001</v>
      </c>
      <c r="K82" s="23">
        <v>21.5</v>
      </c>
      <c r="L82" s="22"/>
    </row>
    <row r="83" spans="2:12" x14ac:dyDescent="0.25">
      <c r="B83" s="1" t="str">
        <f t="shared" si="5"/>
        <v>61,25</v>
      </c>
      <c r="C83" s="5">
        <v>6</v>
      </c>
      <c r="D83" s="15">
        <v>1.25</v>
      </c>
      <c r="E83" s="15">
        <v>1</v>
      </c>
      <c r="F83" s="15">
        <v>1.1299999999999999</v>
      </c>
      <c r="G83" s="15">
        <v>1.1299999999999999</v>
      </c>
      <c r="H83" s="22">
        <v>46.1</v>
      </c>
      <c r="I83" s="22">
        <v>86.7</v>
      </c>
      <c r="J83" s="22">
        <v>18.7</v>
      </c>
      <c r="K83" s="23">
        <v>22.2</v>
      </c>
      <c r="L83" s="22"/>
    </row>
    <row r="84" spans="2:12" x14ac:dyDescent="0.25">
      <c r="B84" s="1" t="str">
        <f t="shared" si="5"/>
        <v>61,3</v>
      </c>
      <c r="C84" s="5">
        <v>6</v>
      </c>
      <c r="D84" s="15">
        <v>1.3</v>
      </c>
      <c r="E84" s="15">
        <v>1</v>
      </c>
      <c r="F84" s="15">
        <v>1.17</v>
      </c>
      <c r="G84" s="15">
        <v>1.17</v>
      </c>
      <c r="H84" s="22">
        <v>45.2</v>
      </c>
      <c r="I84" s="22">
        <v>95.6</v>
      </c>
      <c r="J84" s="22">
        <v>18.8</v>
      </c>
      <c r="K84" s="23">
        <v>22.9</v>
      </c>
      <c r="L84" s="22"/>
    </row>
    <row r="85" spans="2:12" x14ac:dyDescent="0.25">
      <c r="B85" s="1" t="str">
        <f t="shared" si="5"/>
        <v>61,35</v>
      </c>
      <c r="C85" s="5">
        <v>6</v>
      </c>
      <c r="D85" s="15">
        <v>1.35</v>
      </c>
      <c r="E85" s="15">
        <v>1</v>
      </c>
      <c r="F85" s="15">
        <v>1.21</v>
      </c>
      <c r="G85" s="13">
        <v>1.21</v>
      </c>
      <c r="H85" s="22">
        <v>44.9</v>
      </c>
      <c r="I85" s="22">
        <v>105.6</v>
      </c>
      <c r="J85" s="19">
        <v>19</v>
      </c>
      <c r="K85" s="23">
        <v>23.7</v>
      </c>
      <c r="L85" s="22"/>
    </row>
    <row r="86" spans="2:12" x14ac:dyDescent="0.25">
      <c r="B86" s="1" t="str">
        <f t="shared" si="5"/>
        <v>61,4</v>
      </c>
      <c r="C86" s="5">
        <v>6</v>
      </c>
      <c r="D86" s="15">
        <v>1.4</v>
      </c>
      <c r="E86" s="15">
        <v>1</v>
      </c>
      <c r="F86" s="15">
        <v>1.24</v>
      </c>
      <c r="G86" s="15">
        <v>1.24</v>
      </c>
      <c r="H86" s="22">
        <v>44.6</v>
      </c>
      <c r="I86" s="22">
        <v>116.6</v>
      </c>
      <c r="J86" s="22">
        <v>19.2</v>
      </c>
      <c r="K86" s="23">
        <v>24.5</v>
      </c>
      <c r="L86" s="22"/>
    </row>
    <row r="87" spans="2:12" x14ac:dyDescent="0.25">
      <c r="B87" s="1" t="str">
        <f t="shared" si="5"/>
        <v>61,45</v>
      </c>
      <c r="C87" s="5">
        <v>6</v>
      </c>
      <c r="D87" s="15">
        <v>1.45</v>
      </c>
      <c r="E87" s="15">
        <v>1</v>
      </c>
      <c r="F87" s="15">
        <v>1.28</v>
      </c>
      <c r="G87" s="15">
        <v>1.28</v>
      </c>
      <c r="H87" s="22">
        <v>44.5</v>
      </c>
      <c r="I87" s="22">
        <v>128.5</v>
      </c>
      <c r="J87" s="22">
        <v>19.5</v>
      </c>
      <c r="K87" s="23">
        <v>25.3</v>
      </c>
      <c r="L87" s="22"/>
    </row>
    <row r="88" spans="2:12" x14ac:dyDescent="0.25">
      <c r="B88" s="1" t="str">
        <f t="shared" si="5"/>
        <v>61,5</v>
      </c>
      <c r="C88" s="5">
        <v>6</v>
      </c>
      <c r="D88" s="15">
        <v>1.5</v>
      </c>
      <c r="E88" s="15">
        <v>1</v>
      </c>
      <c r="F88" s="15">
        <v>1.31</v>
      </c>
      <c r="G88" s="15">
        <v>1.31</v>
      </c>
      <c r="H88" s="22">
        <v>44.4</v>
      </c>
      <c r="I88" s="22">
        <v>140.5</v>
      </c>
      <c r="J88" s="22">
        <v>19.8</v>
      </c>
      <c r="K88" s="23">
        <v>26.2</v>
      </c>
      <c r="L88" s="22"/>
    </row>
    <row r="89" spans="2:12" x14ac:dyDescent="0.25">
      <c r="B89" s="1" t="str">
        <f t="shared" si="5"/>
        <v>61,55</v>
      </c>
      <c r="C89" s="5">
        <v>6</v>
      </c>
      <c r="D89" s="15">
        <v>1.55</v>
      </c>
      <c r="E89" s="15">
        <v>1</v>
      </c>
      <c r="F89" s="15">
        <v>1.35</v>
      </c>
      <c r="G89" s="15">
        <v>1.35</v>
      </c>
      <c r="H89" s="22">
        <v>45.2</v>
      </c>
      <c r="I89" s="22">
        <v>152</v>
      </c>
      <c r="J89" s="22">
        <v>20.100000000000001</v>
      </c>
      <c r="K89" s="23">
        <v>27</v>
      </c>
      <c r="L89" s="22"/>
    </row>
    <row r="90" spans="2:12" x14ac:dyDescent="0.25">
      <c r="B90" s="1" t="str">
        <f t="shared" si="5"/>
        <v>61,6</v>
      </c>
      <c r="C90" s="5">
        <v>6</v>
      </c>
      <c r="D90" s="15">
        <v>1.6</v>
      </c>
      <c r="E90" s="15">
        <v>1</v>
      </c>
      <c r="F90" s="15">
        <v>1.39</v>
      </c>
      <c r="G90" s="15">
        <v>1.39</v>
      </c>
      <c r="H90" s="22">
        <v>46.1</v>
      </c>
      <c r="I90" s="22">
        <v>163</v>
      </c>
      <c r="J90" s="22">
        <v>20.5</v>
      </c>
      <c r="K90" s="23">
        <v>27.9</v>
      </c>
      <c r="L90" s="22"/>
    </row>
    <row r="91" spans="2:12" x14ac:dyDescent="0.25">
      <c r="B91" s="1" t="str">
        <f t="shared" si="5"/>
        <v>61,8</v>
      </c>
      <c r="C91" s="5">
        <v>6</v>
      </c>
      <c r="D91" s="15">
        <v>1.8</v>
      </c>
      <c r="E91" s="15">
        <v>1</v>
      </c>
      <c r="F91" s="15">
        <v>1.39</v>
      </c>
      <c r="G91" s="15">
        <v>1.39</v>
      </c>
      <c r="H91" s="22">
        <v>48.8</v>
      </c>
      <c r="I91" s="22">
        <v>190</v>
      </c>
      <c r="J91" s="22">
        <v>22</v>
      </c>
      <c r="K91" s="23">
        <v>31.4</v>
      </c>
      <c r="L91" s="22"/>
    </row>
    <row r="92" spans="2:12" ht="15.75" thickBot="1" x14ac:dyDescent="0.3">
      <c r="B92" s="1" t="str">
        <f t="shared" si="5"/>
        <v>62</v>
      </c>
      <c r="C92" s="8">
        <v>6</v>
      </c>
      <c r="D92" s="16">
        <v>2</v>
      </c>
      <c r="E92" s="16">
        <v>1</v>
      </c>
      <c r="F92" s="16">
        <v>1.39</v>
      </c>
      <c r="G92" s="16">
        <v>1.39</v>
      </c>
      <c r="H92" s="24">
        <v>50</v>
      </c>
      <c r="I92" s="24">
        <v>210</v>
      </c>
      <c r="J92" s="24">
        <v>24</v>
      </c>
      <c r="K92" s="25">
        <v>35</v>
      </c>
      <c r="L92" s="22"/>
    </row>
  </sheetData>
  <sortState ref="W3:AB28">
    <sortCondition descending="1" ref="W3"/>
  </sortState>
  <mergeCells count="1">
    <mergeCell ref="Y2:Z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5A7D-A1BA-45AA-A425-C9A5BA2365DA}">
  <dimension ref="B2:AG124"/>
  <sheetViews>
    <sheetView showGridLines="0" topLeftCell="A45" zoomScale="85" zoomScaleNormal="85" workbookViewId="0">
      <selection activeCell="C67" sqref="C67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10" width="17.140625" customWidth="1"/>
    <col min="11" max="11" width="17" customWidth="1"/>
    <col min="12" max="24" width="17.140625" customWidth="1"/>
  </cols>
  <sheetData>
    <row r="2" spans="2:21" ht="18.75" x14ac:dyDescent="0.3">
      <c r="B2" s="52" t="s">
        <v>209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1" t="s">
        <v>19</v>
      </c>
      <c r="C4" s="110">
        <v>16</v>
      </c>
      <c r="E4" s="297" t="s">
        <v>29</v>
      </c>
      <c r="F4" s="298"/>
      <c r="H4" s="297" t="s">
        <v>30</v>
      </c>
      <c r="I4" s="298"/>
      <c r="K4" s="297" t="s">
        <v>39</v>
      </c>
      <c r="L4" s="298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187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2.04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07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$\phi8@17$</v>
      </c>
      <c r="I13" s="39"/>
      <c r="J13" s="39"/>
      <c r="K13" s="39"/>
      <c r="L13" s="39"/>
      <c r="M13" s="39"/>
      <c r="N13" s="39"/>
      <c r="O13" s="39"/>
      <c r="P13" s="107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07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08"/>
      <c r="K15" s="108"/>
      <c r="L15" s="108"/>
      <c r="M15" s="108"/>
      <c r="N15" s="108"/>
      <c r="O15" s="108"/>
      <c r="P15" s="108"/>
      <c r="Q15" s="108"/>
      <c r="T15" s="40"/>
      <c r="U15" s="41"/>
    </row>
    <row r="16" spans="2:21" hidden="1" x14ac:dyDescent="0.25">
      <c r="B16" s="63" t="s">
        <v>211</v>
      </c>
      <c r="C16" s="6">
        <v>6.05</v>
      </c>
      <c r="D16" s="6">
        <v>10</v>
      </c>
      <c r="E16" s="6">
        <v>16</v>
      </c>
      <c r="F16" s="6">
        <v>6</v>
      </c>
      <c r="G16" s="6">
        <v>100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212</v>
      </c>
      <c r="C17" s="6">
        <v>4.6500000000000004</v>
      </c>
      <c r="D17" s="6">
        <v>5.6</v>
      </c>
      <c r="E17" s="6">
        <v>16</v>
      </c>
      <c r="F17" s="6">
        <v>6</v>
      </c>
      <c r="G17" s="6">
        <v>100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25">
      <c r="B18" s="63" t="s">
        <v>213</v>
      </c>
      <c r="C18" s="6">
        <v>4.6500000000000004</v>
      </c>
      <c r="D18" s="6">
        <v>5.6</v>
      </c>
      <c r="E18" s="6">
        <v>16</v>
      </c>
      <c r="F18" s="6">
        <v>6</v>
      </c>
      <c r="G18" s="6">
        <v>100</v>
      </c>
      <c r="H18" s="6" t="s">
        <v>187</v>
      </c>
      <c r="I18" s="7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3" t="s">
        <v>214</v>
      </c>
      <c r="C19" s="6">
        <v>6.05</v>
      </c>
      <c r="D19" s="6">
        <v>7.89</v>
      </c>
      <c r="E19" s="6">
        <v>16</v>
      </c>
      <c r="F19" s="6">
        <v>6</v>
      </c>
      <c r="G19" s="6">
        <v>100</v>
      </c>
      <c r="H19" s="6" t="s">
        <v>187</v>
      </c>
      <c r="I19" s="7">
        <v>2.04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3" t="s">
        <v>215</v>
      </c>
      <c r="C20" s="6">
        <v>5.82</v>
      </c>
      <c r="D20" s="6">
        <v>6.96</v>
      </c>
      <c r="E20" s="6">
        <v>16</v>
      </c>
      <c r="F20" s="6">
        <v>6</v>
      </c>
      <c r="G20" s="6">
        <v>100</v>
      </c>
      <c r="H20" s="6" t="s">
        <v>187</v>
      </c>
      <c r="I20" s="7">
        <v>2.04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3" t="s">
        <v>216</v>
      </c>
      <c r="C21" s="6">
        <v>5</v>
      </c>
      <c r="D21" s="6">
        <v>5.0199999999999996</v>
      </c>
      <c r="E21" s="6">
        <v>16</v>
      </c>
      <c r="F21" s="6">
        <v>6</v>
      </c>
      <c r="G21" s="6">
        <v>100</v>
      </c>
      <c r="H21" s="6" t="s">
        <v>187</v>
      </c>
      <c r="I21" s="7">
        <v>2.04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3" t="s">
        <v>217</v>
      </c>
      <c r="C22" s="6">
        <v>2.1</v>
      </c>
      <c r="D22" s="6">
        <v>4.04</v>
      </c>
      <c r="E22" s="6">
        <v>16</v>
      </c>
      <c r="F22" s="6" t="s">
        <v>10</v>
      </c>
      <c r="G22" s="6">
        <v>100</v>
      </c>
      <c r="H22" s="6" t="s">
        <v>187</v>
      </c>
      <c r="I22" s="7">
        <v>2.04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3" t="s">
        <v>218</v>
      </c>
      <c r="C23" s="6">
        <v>1.4</v>
      </c>
      <c r="D23" s="6">
        <v>11.2</v>
      </c>
      <c r="E23" s="6">
        <v>16</v>
      </c>
      <c r="F23" s="6">
        <v>6</v>
      </c>
      <c r="G23" s="6">
        <v>100</v>
      </c>
      <c r="H23" s="6" t="s">
        <v>187</v>
      </c>
      <c r="I23" s="7">
        <v>2.04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3" t="s">
        <v>219</v>
      </c>
      <c r="C24" s="6">
        <v>2.9</v>
      </c>
      <c r="D24" s="6">
        <v>6.36</v>
      </c>
      <c r="E24" s="6">
        <v>16</v>
      </c>
      <c r="F24" s="6">
        <v>6</v>
      </c>
      <c r="G24" s="6">
        <v>100</v>
      </c>
      <c r="H24" s="6" t="s">
        <v>187</v>
      </c>
      <c r="I24" s="7">
        <v>2.04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3" t="s">
        <v>220</v>
      </c>
      <c r="C25" s="6">
        <v>5</v>
      </c>
      <c r="D25" s="6">
        <v>5.0199999999999996</v>
      </c>
      <c r="E25" s="6">
        <v>16</v>
      </c>
      <c r="F25" s="6">
        <v>6</v>
      </c>
      <c r="G25" s="6">
        <v>100</v>
      </c>
      <c r="H25" s="6" t="s">
        <v>187</v>
      </c>
      <c r="I25" s="7">
        <v>2.04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3" t="s">
        <v>221</v>
      </c>
      <c r="C26" s="6">
        <v>5.82</v>
      </c>
      <c r="D26" s="6">
        <v>6.49</v>
      </c>
      <c r="E26" s="6">
        <v>16</v>
      </c>
      <c r="F26" s="6">
        <v>6</v>
      </c>
      <c r="G26" s="6">
        <v>100</v>
      </c>
      <c r="H26" s="6" t="s">
        <v>187</v>
      </c>
      <c r="I26" s="7">
        <v>2.04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3" t="s">
        <v>222</v>
      </c>
      <c r="C27" s="6">
        <v>1.51</v>
      </c>
      <c r="D27" s="6">
        <v>9.1</v>
      </c>
      <c r="E27" s="6">
        <v>16</v>
      </c>
      <c r="F27" s="6" t="s">
        <v>8</v>
      </c>
      <c r="G27" s="6">
        <v>100</v>
      </c>
      <c r="H27" s="6" t="s">
        <v>187</v>
      </c>
      <c r="I27" s="7">
        <v>2.04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3" t="s">
        <v>223</v>
      </c>
      <c r="C28" s="6">
        <v>1.51</v>
      </c>
      <c r="D28" s="6">
        <v>5.6</v>
      </c>
      <c r="E28" s="6">
        <v>16</v>
      </c>
      <c r="F28" s="6" t="s">
        <v>10</v>
      </c>
      <c r="G28" s="6">
        <v>100</v>
      </c>
      <c r="H28" s="6" t="s">
        <v>187</v>
      </c>
      <c r="I28" s="7">
        <v>2.04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3" t="s">
        <v>224</v>
      </c>
      <c r="C29" s="6">
        <v>1.51</v>
      </c>
      <c r="D29" s="6">
        <v>5.6</v>
      </c>
      <c r="E29" s="6">
        <v>16</v>
      </c>
      <c r="F29" s="6" t="s">
        <v>10</v>
      </c>
      <c r="G29" s="6">
        <v>100</v>
      </c>
      <c r="H29" s="6" t="s">
        <v>187</v>
      </c>
      <c r="I29" s="7">
        <v>2.04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3" t="s">
        <v>225</v>
      </c>
      <c r="C30" s="6">
        <v>1.51</v>
      </c>
      <c r="D30" s="6">
        <v>8.93</v>
      </c>
      <c r="E30" s="6">
        <v>16</v>
      </c>
      <c r="F30" s="6" t="s">
        <v>8</v>
      </c>
      <c r="G30" s="6">
        <v>100</v>
      </c>
      <c r="H30" s="6" t="s">
        <v>187</v>
      </c>
      <c r="I30" s="7">
        <v>2.04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3" t="s">
        <v>226</v>
      </c>
      <c r="C31" s="6">
        <v>1.04</v>
      </c>
      <c r="D31" s="6">
        <v>3.83</v>
      </c>
      <c r="E31" s="6">
        <v>16</v>
      </c>
      <c r="F31" s="6">
        <v>4</v>
      </c>
      <c r="G31" s="6">
        <v>100</v>
      </c>
      <c r="H31" s="6" t="s">
        <v>187</v>
      </c>
      <c r="I31" s="7">
        <v>2.04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3" t="s">
        <v>227</v>
      </c>
      <c r="C32" s="6">
        <v>1.04</v>
      </c>
      <c r="D32" s="6">
        <v>3.83</v>
      </c>
      <c r="E32" s="6">
        <v>16</v>
      </c>
      <c r="F32" s="6">
        <v>4</v>
      </c>
      <c r="G32" s="6">
        <v>100</v>
      </c>
      <c r="H32" s="6" t="s">
        <v>187</v>
      </c>
      <c r="I32" s="7">
        <v>2.04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25">
      <c r="B33" s="63" t="s">
        <v>228</v>
      </c>
      <c r="C33" s="6">
        <v>1.34</v>
      </c>
      <c r="D33" s="6">
        <v>10.69</v>
      </c>
      <c r="E33" s="6">
        <v>16</v>
      </c>
      <c r="F33" s="6" t="s">
        <v>8</v>
      </c>
      <c r="G33" s="6">
        <v>100</v>
      </c>
      <c r="H33" s="6" t="s">
        <v>187</v>
      </c>
      <c r="I33" s="7">
        <v>2.04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25">
      <c r="B34" s="63" t="s">
        <v>229</v>
      </c>
      <c r="C34" s="6">
        <v>1.34</v>
      </c>
      <c r="D34" s="6">
        <v>10.86</v>
      </c>
      <c r="E34" s="6">
        <v>16</v>
      </c>
      <c r="F34" s="6" t="s">
        <v>8</v>
      </c>
      <c r="G34" s="6">
        <v>100</v>
      </c>
      <c r="H34" s="6" t="s">
        <v>187</v>
      </c>
      <c r="I34" s="7">
        <v>2.04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25">
      <c r="B35" s="63" t="s">
        <v>230</v>
      </c>
      <c r="C35" s="6">
        <v>0.74</v>
      </c>
      <c r="D35" s="6">
        <v>3.83</v>
      </c>
      <c r="E35" s="6">
        <v>16</v>
      </c>
      <c r="F35" s="109">
        <v>4</v>
      </c>
      <c r="G35" s="6">
        <v>100</v>
      </c>
      <c r="H35" s="6" t="s">
        <v>187</v>
      </c>
      <c r="I35" s="7">
        <v>2.04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25">
      <c r="B36" s="63" t="s">
        <v>231</v>
      </c>
      <c r="C36" s="6">
        <v>0.7</v>
      </c>
      <c r="D36" s="6">
        <v>3.83</v>
      </c>
      <c r="E36" s="6">
        <v>16</v>
      </c>
      <c r="F36" s="6">
        <v>4</v>
      </c>
      <c r="G36" s="6">
        <v>100</v>
      </c>
      <c r="H36" s="6" t="s">
        <v>187</v>
      </c>
      <c r="I36" s="7">
        <v>2.04</v>
      </c>
      <c r="J36" s="64"/>
      <c r="K36" s="6"/>
      <c r="L36" s="6"/>
      <c r="M36" s="6"/>
      <c r="N36" s="109"/>
      <c r="O36" s="6"/>
      <c r="P36" s="6"/>
      <c r="Q36" s="6"/>
      <c r="T36" s="40"/>
      <c r="U36" s="41"/>
    </row>
    <row r="37" spans="2:24" ht="15.75" hidden="1" thickBot="1" x14ac:dyDescent="0.3">
      <c r="B37" s="66" t="s">
        <v>232</v>
      </c>
      <c r="C37" s="9">
        <v>2.3199999999999998</v>
      </c>
      <c r="D37" s="9">
        <v>4.3</v>
      </c>
      <c r="E37" s="9">
        <v>16</v>
      </c>
      <c r="F37" s="106" t="s">
        <v>10</v>
      </c>
      <c r="G37" s="9">
        <v>100</v>
      </c>
      <c r="H37" s="9" t="s">
        <v>187</v>
      </c>
      <c r="I37" s="10">
        <v>2.04</v>
      </c>
      <c r="P37" s="40"/>
      <c r="T37" s="40"/>
      <c r="U37" s="41"/>
    </row>
    <row r="38" spans="2:24" hidden="1" x14ac:dyDescent="0.25">
      <c r="B38" s="64"/>
      <c r="C38" s="6"/>
      <c r="D38" s="6"/>
      <c r="E38" s="6"/>
      <c r="F38" s="109"/>
      <c r="G38" s="6"/>
      <c r="H38" s="6"/>
      <c r="I38" s="6"/>
      <c r="P38" s="40"/>
      <c r="T38" s="40"/>
      <c r="U38" s="41"/>
    </row>
    <row r="39" spans="2:24" hidden="1" x14ac:dyDescent="0.25">
      <c r="B39" s="64"/>
      <c r="C39" s="6"/>
      <c r="D39" s="6"/>
      <c r="E39" s="6"/>
      <c r="F39" s="109"/>
      <c r="G39" s="6"/>
      <c r="H39" s="6"/>
      <c r="I39" s="6"/>
      <c r="P39" s="40"/>
      <c r="T39" s="40"/>
      <c r="U39" s="41"/>
    </row>
    <row r="40" spans="2:24" hidden="1" x14ac:dyDescent="0.25">
      <c r="B40" s="64"/>
      <c r="C40" s="6"/>
      <c r="D40" s="6"/>
      <c r="E40" s="6"/>
      <c r="F40" s="109"/>
      <c r="G40" s="6"/>
      <c r="H40" s="6"/>
      <c r="I40" s="6"/>
      <c r="P40" s="40"/>
      <c r="T40" s="40"/>
      <c r="U40" s="41"/>
    </row>
    <row r="41" spans="2:24" hidden="1" x14ac:dyDescent="0.25">
      <c r="B41" s="64"/>
      <c r="C41" s="6"/>
      <c r="D41" s="6"/>
      <c r="E41" s="6"/>
      <c r="F41" s="109"/>
      <c r="G41" s="6"/>
      <c r="H41" s="6"/>
      <c r="I41" s="6"/>
      <c r="P41" s="40"/>
      <c r="T41" s="40"/>
      <c r="U41" s="41"/>
    </row>
    <row r="42" spans="2:24" hidden="1" x14ac:dyDescent="0.25">
      <c r="B42" s="64"/>
      <c r="C42" s="6"/>
      <c r="D42" s="6"/>
      <c r="E42" s="6"/>
      <c r="F42" s="109"/>
      <c r="G42" s="6"/>
      <c r="H42" s="6"/>
      <c r="I42" s="6"/>
      <c r="P42" s="40"/>
      <c r="T42" s="40"/>
      <c r="U42" s="41"/>
    </row>
    <row r="43" spans="2:24" hidden="1" x14ac:dyDescent="0.25">
      <c r="B43" s="64"/>
      <c r="C43" s="6"/>
      <c r="D43" s="6"/>
      <c r="E43" s="6"/>
      <c r="F43" s="109"/>
      <c r="G43" s="6"/>
      <c r="H43" s="6"/>
      <c r="I43" s="6"/>
      <c r="P43" s="40"/>
      <c r="T43" s="40"/>
      <c r="U43" s="41"/>
    </row>
    <row r="44" spans="2:24" s="39" customFormat="1" hidden="1" x14ac:dyDescent="0.25">
      <c r="B44" s="64"/>
      <c r="C44" s="6"/>
      <c r="D44" s="6"/>
      <c r="E44" s="6"/>
      <c r="F44" s="109"/>
      <c r="G44" s="6"/>
      <c r="H44" s="6"/>
      <c r="I44" s="6"/>
      <c r="P44" s="107"/>
      <c r="T44" s="107"/>
      <c r="U44" s="151"/>
    </row>
    <row r="45" spans="2:24" ht="15.75" thickBot="1" x14ac:dyDescent="0.3">
      <c r="B45" s="67"/>
      <c r="C45" s="9"/>
      <c r="D45" s="9"/>
      <c r="E45" s="9"/>
      <c r="F45" s="106"/>
      <c r="G45" s="9"/>
      <c r="H45" s="9"/>
      <c r="I45" s="9"/>
      <c r="P45" s="40"/>
      <c r="T45" s="40"/>
      <c r="U45" s="41"/>
    </row>
    <row r="46" spans="2:24" ht="15.75" thickBot="1" x14ac:dyDescent="0.3">
      <c r="B46" s="73" t="s">
        <v>43</v>
      </c>
      <c r="C46" s="74" t="s">
        <v>211</v>
      </c>
      <c r="D46" s="74" t="s">
        <v>212</v>
      </c>
      <c r="E46" s="74" t="s">
        <v>213</v>
      </c>
      <c r="F46" s="74" t="s">
        <v>214</v>
      </c>
      <c r="G46" s="74" t="s">
        <v>215</v>
      </c>
      <c r="H46" s="74" t="s">
        <v>216</v>
      </c>
      <c r="I46" s="74" t="s">
        <v>217</v>
      </c>
      <c r="J46" s="74" t="s">
        <v>218</v>
      </c>
      <c r="K46" s="74" t="s">
        <v>219</v>
      </c>
      <c r="L46" s="74" t="s">
        <v>220</v>
      </c>
      <c r="M46" s="74" t="s">
        <v>221</v>
      </c>
      <c r="N46" s="74" t="s">
        <v>222</v>
      </c>
      <c r="O46" s="74" t="s">
        <v>223</v>
      </c>
      <c r="P46" s="74" t="s">
        <v>224</v>
      </c>
      <c r="Q46" s="74" t="s">
        <v>225</v>
      </c>
      <c r="R46" s="74" t="s">
        <v>226</v>
      </c>
      <c r="S46" s="74" t="s">
        <v>227</v>
      </c>
      <c r="T46" s="74" t="s">
        <v>228</v>
      </c>
      <c r="U46" s="74" t="s">
        <v>229</v>
      </c>
      <c r="V46" s="74" t="s">
        <v>230</v>
      </c>
      <c r="W46" s="74" t="s">
        <v>231</v>
      </c>
      <c r="X46" s="74" t="s">
        <v>232</v>
      </c>
    </row>
    <row r="47" spans="2:24" ht="15.75" thickBot="1" x14ac:dyDescent="0.3">
      <c r="B47" s="71" t="s">
        <v>95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72"/>
      <c r="X47" s="72"/>
    </row>
    <row r="48" spans="2:24" x14ac:dyDescent="0.25">
      <c r="B48" s="94" t="s">
        <v>81</v>
      </c>
      <c r="C48" s="76">
        <f>VLOOKUP(C$46,$B$16:$H$37,2)</f>
        <v>6.05</v>
      </c>
      <c r="D48" s="76">
        <f t="shared" ref="D48:X48" si="0">VLOOKUP(D$46,$B$16:$H$37,2)</f>
        <v>4.6500000000000004</v>
      </c>
      <c r="E48" s="76">
        <f t="shared" si="0"/>
        <v>4.6500000000000004</v>
      </c>
      <c r="F48" s="76">
        <f t="shared" si="0"/>
        <v>6.05</v>
      </c>
      <c r="G48" s="76">
        <f t="shared" si="0"/>
        <v>5.82</v>
      </c>
      <c r="H48" s="76">
        <f t="shared" si="0"/>
        <v>5</v>
      </c>
      <c r="I48" s="76">
        <f t="shared" si="0"/>
        <v>2.1</v>
      </c>
      <c r="J48" s="76">
        <f t="shared" si="0"/>
        <v>1.4</v>
      </c>
      <c r="K48" s="76">
        <f t="shared" si="0"/>
        <v>2.9</v>
      </c>
      <c r="L48" s="76">
        <f t="shared" si="0"/>
        <v>5</v>
      </c>
      <c r="M48" s="76">
        <f t="shared" si="0"/>
        <v>5.82</v>
      </c>
      <c r="N48" s="76">
        <f t="shared" si="0"/>
        <v>1.51</v>
      </c>
      <c r="O48" s="76">
        <f t="shared" si="0"/>
        <v>1.51</v>
      </c>
      <c r="P48" s="76">
        <f t="shared" si="0"/>
        <v>1.51</v>
      </c>
      <c r="Q48" s="76">
        <f t="shared" si="0"/>
        <v>1.51</v>
      </c>
      <c r="R48" s="76">
        <f t="shared" si="0"/>
        <v>1.04</v>
      </c>
      <c r="S48" s="76">
        <f t="shared" si="0"/>
        <v>1.04</v>
      </c>
      <c r="T48" s="76">
        <f t="shared" si="0"/>
        <v>1.34</v>
      </c>
      <c r="U48" s="76">
        <f t="shared" si="0"/>
        <v>1.34</v>
      </c>
      <c r="V48" s="76">
        <f t="shared" si="0"/>
        <v>0.74</v>
      </c>
      <c r="W48" s="76">
        <f t="shared" si="0"/>
        <v>0.7</v>
      </c>
      <c r="X48" s="76">
        <f t="shared" si="0"/>
        <v>2.3199999999999998</v>
      </c>
    </row>
    <row r="49" spans="2:33" x14ac:dyDescent="0.25">
      <c r="B49" s="94" t="s">
        <v>82</v>
      </c>
      <c r="C49" s="76">
        <f>VLOOKUP(C$46,$B$16:$H$37,3)</f>
        <v>10</v>
      </c>
      <c r="D49" s="76">
        <f t="shared" ref="D49:X49" si="1">VLOOKUP(D$46,$B$16:$H$37,3)</f>
        <v>5.6</v>
      </c>
      <c r="E49" s="76">
        <f t="shared" si="1"/>
        <v>5.6</v>
      </c>
      <c r="F49" s="76">
        <f t="shared" si="1"/>
        <v>7.89</v>
      </c>
      <c r="G49" s="76">
        <f t="shared" si="1"/>
        <v>6.96</v>
      </c>
      <c r="H49" s="76">
        <f t="shared" si="1"/>
        <v>5.0199999999999996</v>
      </c>
      <c r="I49" s="76">
        <f t="shared" si="1"/>
        <v>4.04</v>
      </c>
      <c r="J49" s="76">
        <f t="shared" si="1"/>
        <v>11.2</v>
      </c>
      <c r="K49" s="76">
        <f t="shared" si="1"/>
        <v>6.36</v>
      </c>
      <c r="L49" s="76">
        <f t="shared" si="1"/>
        <v>5.0199999999999996</v>
      </c>
      <c r="M49" s="76">
        <f t="shared" si="1"/>
        <v>6.49</v>
      </c>
      <c r="N49" s="76">
        <f t="shared" si="1"/>
        <v>9.1</v>
      </c>
      <c r="O49" s="76">
        <f t="shared" si="1"/>
        <v>5.6</v>
      </c>
      <c r="P49" s="76">
        <f t="shared" si="1"/>
        <v>5.6</v>
      </c>
      <c r="Q49" s="76">
        <f t="shared" si="1"/>
        <v>8.93</v>
      </c>
      <c r="R49" s="76">
        <f t="shared" si="1"/>
        <v>3.83</v>
      </c>
      <c r="S49" s="76">
        <f t="shared" si="1"/>
        <v>3.83</v>
      </c>
      <c r="T49" s="76">
        <f t="shared" si="1"/>
        <v>10.69</v>
      </c>
      <c r="U49" s="76">
        <f t="shared" si="1"/>
        <v>10.86</v>
      </c>
      <c r="V49" s="76">
        <f t="shared" si="1"/>
        <v>3.83</v>
      </c>
      <c r="W49" s="76">
        <f t="shared" si="1"/>
        <v>3.83</v>
      </c>
      <c r="X49" s="76">
        <f t="shared" si="1"/>
        <v>4.3</v>
      </c>
    </row>
    <row r="50" spans="2:33" x14ac:dyDescent="0.25">
      <c r="B50" s="97" t="s">
        <v>86</v>
      </c>
      <c r="C50" s="76">
        <f>ROUNDUP((C54*C48*100)/C55+$C$5,0)</f>
        <v>9</v>
      </c>
      <c r="D50" s="76">
        <f t="shared" ref="D50:X50" si="2">ROUNDUP((D54*D48*100)/D55+$C$5,0)</f>
        <v>10</v>
      </c>
      <c r="E50" s="76">
        <f t="shared" si="2"/>
        <v>10</v>
      </c>
      <c r="F50" s="76">
        <f t="shared" si="2"/>
        <v>12</v>
      </c>
      <c r="G50" s="76">
        <f t="shared" si="2"/>
        <v>12</v>
      </c>
      <c r="H50" s="76">
        <f t="shared" si="2"/>
        <v>10</v>
      </c>
      <c r="I50" s="76">
        <f t="shared" si="2"/>
        <v>7</v>
      </c>
      <c r="J50" s="76">
        <f t="shared" si="2"/>
        <v>5</v>
      </c>
      <c r="K50" s="76">
        <f t="shared" si="2"/>
        <v>7</v>
      </c>
      <c r="L50" s="76">
        <f t="shared" si="2"/>
        <v>10</v>
      </c>
      <c r="M50" s="76">
        <f t="shared" si="2"/>
        <v>12</v>
      </c>
      <c r="N50" s="76">
        <f t="shared" si="2"/>
        <v>6</v>
      </c>
      <c r="O50" s="76">
        <f t="shared" si="2"/>
        <v>6</v>
      </c>
      <c r="P50" s="76">
        <f t="shared" si="2"/>
        <v>6</v>
      </c>
      <c r="Q50" s="76">
        <f t="shared" si="2"/>
        <v>6</v>
      </c>
      <c r="R50" s="76">
        <f t="shared" si="2"/>
        <v>5</v>
      </c>
      <c r="S50" s="76">
        <f t="shared" si="2"/>
        <v>5</v>
      </c>
      <c r="T50" s="76">
        <f t="shared" si="2"/>
        <v>6</v>
      </c>
      <c r="U50" s="76">
        <f t="shared" si="2"/>
        <v>6</v>
      </c>
      <c r="V50" s="76">
        <f t="shared" si="2"/>
        <v>4</v>
      </c>
      <c r="W50" s="76">
        <f t="shared" si="2"/>
        <v>4</v>
      </c>
      <c r="X50" s="76">
        <f t="shared" si="2"/>
        <v>6</v>
      </c>
    </row>
    <row r="51" spans="2:33" ht="15.75" thickBot="1" x14ac:dyDescent="0.3">
      <c r="B51" s="98" t="s">
        <v>0</v>
      </c>
      <c r="C51" s="113">
        <f>VLOOKUP(C$46,$B$16:$I$37,5)</f>
        <v>6</v>
      </c>
      <c r="D51" s="113">
        <f t="shared" ref="D51:X51" si="3">VLOOKUP(D$46,$B$16:$I$37,5)</f>
        <v>6</v>
      </c>
      <c r="E51" s="113">
        <f t="shared" si="3"/>
        <v>6</v>
      </c>
      <c r="F51" s="113">
        <f t="shared" si="3"/>
        <v>6</v>
      </c>
      <c r="G51" s="113">
        <f t="shared" si="3"/>
        <v>6</v>
      </c>
      <c r="H51" s="113">
        <f t="shared" si="3"/>
        <v>6</v>
      </c>
      <c r="I51" s="113" t="str">
        <f t="shared" si="3"/>
        <v>5b</v>
      </c>
      <c r="J51" s="113">
        <f t="shared" si="3"/>
        <v>6</v>
      </c>
      <c r="K51" s="113">
        <f t="shared" si="3"/>
        <v>6</v>
      </c>
      <c r="L51" s="113">
        <f t="shared" si="3"/>
        <v>6</v>
      </c>
      <c r="M51" s="113">
        <f t="shared" si="3"/>
        <v>6</v>
      </c>
      <c r="N51" s="113" t="str">
        <f t="shared" si="3"/>
        <v>2a</v>
      </c>
      <c r="O51" s="113" t="str">
        <f t="shared" si="3"/>
        <v>5b</v>
      </c>
      <c r="P51" s="113" t="str">
        <f t="shared" si="3"/>
        <v>5b</v>
      </c>
      <c r="Q51" s="113" t="str">
        <f t="shared" si="3"/>
        <v>2a</v>
      </c>
      <c r="R51" s="113">
        <f t="shared" si="3"/>
        <v>4</v>
      </c>
      <c r="S51" s="113">
        <f t="shared" si="3"/>
        <v>4</v>
      </c>
      <c r="T51" s="113" t="str">
        <f t="shared" si="3"/>
        <v>2a</v>
      </c>
      <c r="U51" s="113" t="str">
        <f t="shared" si="3"/>
        <v>2a</v>
      </c>
      <c r="V51" s="113">
        <f t="shared" si="3"/>
        <v>4</v>
      </c>
      <c r="W51" s="113">
        <f t="shared" si="3"/>
        <v>4</v>
      </c>
      <c r="X51" s="113" t="str">
        <f t="shared" si="3"/>
        <v>5b</v>
      </c>
    </row>
    <row r="52" spans="2:33" ht="15.75" thickBot="1" x14ac:dyDescent="0.3">
      <c r="B52" s="71" t="s">
        <v>94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72"/>
      <c r="X52" s="72"/>
    </row>
    <row r="53" spans="2:33" x14ac:dyDescent="0.25">
      <c r="B53" s="97" t="s">
        <v>84</v>
      </c>
      <c r="C53" s="256">
        <f t="shared" ref="C53:X53" si="4">ROUNDUP(C49/C48,1)</f>
        <v>1.7000000000000002</v>
      </c>
      <c r="D53" s="80">
        <f t="shared" si="4"/>
        <v>1.3</v>
      </c>
      <c r="E53" s="80">
        <f t="shared" si="4"/>
        <v>1.3</v>
      </c>
      <c r="F53" s="80">
        <f t="shared" si="4"/>
        <v>1.4000000000000001</v>
      </c>
      <c r="G53" s="80">
        <f t="shared" si="4"/>
        <v>1.2000000000000002</v>
      </c>
      <c r="H53" s="80">
        <f t="shared" si="4"/>
        <v>1.1000000000000001</v>
      </c>
      <c r="I53" s="80">
        <f t="shared" si="4"/>
        <v>2</v>
      </c>
      <c r="J53" s="80">
        <f t="shared" si="4"/>
        <v>8</v>
      </c>
      <c r="K53" s="80">
        <f t="shared" si="4"/>
        <v>2.2000000000000002</v>
      </c>
      <c r="L53" s="80">
        <f t="shared" si="4"/>
        <v>1.1000000000000001</v>
      </c>
      <c r="M53" s="80">
        <f t="shared" si="4"/>
        <v>1.2000000000000002</v>
      </c>
      <c r="N53" s="80">
        <f t="shared" si="4"/>
        <v>6.1</v>
      </c>
      <c r="O53" s="80">
        <f t="shared" si="4"/>
        <v>3.8000000000000003</v>
      </c>
      <c r="P53" s="80">
        <f t="shared" si="4"/>
        <v>3.8000000000000003</v>
      </c>
      <c r="Q53" s="80">
        <f t="shared" si="4"/>
        <v>6</v>
      </c>
      <c r="R53" s="80">
        <f t="shared" si="4"/>
        <v>3.7</v>
      </c>
      <c r="S53" s="80">
        <f t="shared" si="4"/>
        <v>3.7</v>
      </c>
      <c r="T53" s="80">
        <f t="shared" si="4"/>
        <v>8</v>
      </c>
      <c r="U53" s="80">
        <f t="shared" si="4"/>
        <v>8.1999999999999993</v>
      </c>
      <c r="V53" s="80">
        <f t="shared" si="4"/>
        <v>5.1999999999999993</v>
      </c>
      <c r="W53" s="80">
        <f t="shared" si="4"/>
        <v>5.5</v>
      </c>
      <c r="X53" s="256">
        <f t="shared" si="4"/>
        <v>1.9000000000000001</v>
      </c>
    </row>
    <row r="54" spans="2:33" x14ac:dyDescent="0.25">
      <c r="B54" s="97" t="s">
        <v>337</v>
      </c>
      <c r="C54" s="76">
        <f>IF(C53&gt;1.5,VLOOKUP(C51&amp;1.5,tablas!$M$3:$P$56,4,FALSE),VLOOKUP(C51&amp;C53,tablas!$M$3:$P$56,4,FALSE))</f>
        <v>0.57999999999999996</v>
      </c>
      <c r="D54" s="76">
        <f>IF(D53&gt;1.5,VLOOKUP(D51&amp;1.5,tablas!$M$3:$P$56,4,FALSE),VLOOKUP(D51&amp;D53,tablas!$M$3:$P$56,4,FALSE))</f>
        <v>0.56000000000000005</v>
      </c>
      <c r="E54" s="76">
        <f>IF(E53&gt;1.5,VLOOKUP(E51&amp;1.5,tablas!$M$3:$P$56,4,FALSE),VLOOKUP(E51&amp;E53,tablas!$M$3:$P$56,4,FALSE))</f>
        <v>0.56000000000000005</v>
      </c>
      <c r="F54" s="76">
        <f>IF(F53&gt;1.5,VLOOKUP(F51&amp;1.5,tablas!$M$3:$P$56,4,FALSE),VLOOKUP(F51&amp;F53,tablas!$M$3:$P$56,4,FALSE))</f>
        <v>0.56999999999999995</v>
      </c>
      <c r="G54" s="76">
        <f>IF(G53&gt;1.5,VLOOKUP(G51&amp;1.5,tablas!$M$3:$P$56,4,FALSE),VLOOKUP(G51&amp;G53,tablas!$M$3:$P$56,4,FALSE))</f>
        <v>0.56000000000000005</v>
      </c>
      <c r="H54" s="76">
        <f>IF(H53&gt;1.5,VLOOKUP(H51&amp;1.5,tablas!$M$3:$P$56,4,FALSE),VLOOKUP(H51&amp;H53,tablas!$M$3:$P$56,4,FALSE))</f>
        <v>0.55000000000000004</v>
      </c>
      <c r="I54" s="76">
        <f>IF(I53&gt;1.5,VLOOKUP(I51&amp;1.5,tablas!$M$3:$P$56,4,FALSE),VLOOKUP(I51&amp;I53,tablas!$M$3:$P$56,4,FALSE))</f>
        <v>0.75</v>
      </c>
      <c r="J54" s="76">
        <f>IF(J53&gt;1.5,VLOOKUP(J51&amp;1.5,tablas!$M$3:$P$56,4,FALSE),VLOOKUP(J51&amp;J53,tablas!$M$3:$P$56,4,FALSE))</f>
        <v>0.57999999999999996</v>
      </c>
      <c r="K54" s="76">
        <f>IF(K53&gt;1.5,VLOOKUP(K51&amp;1.5,tablas!$M$3:$P$56,4,FALSE),VLOOKUP(K51&amp;K53,tablas!$M$3:$P$56,4,FALSE))</f>
        <v>0.57999999999999996</v>
      </c>
      <c r="L54" s="76">
        <f>IF(L53&gt;1.5,VLOOKUP(L51&amp;1.5,tablas!$M$3:$P$56,4,FALSE),VLOOKUP(L51&amp;L53,tablas!$M$3:$P$56,4,FALSE))</f>
        <v>0.55000000000000004</v>
      </c>
      <c r="M54" s="76">
        <f>IF(M53&gt;1.5,VLOOKUP(M51&amp;1.5,tablas!$M$3:$P$56,4,FALSE),VLOOKUP(M51&amp;M53,tablas!$M$3:$P$56,4,FALSE))</f>
        <v>0.56000000000000005</v>
      </c>
      <c r="N54" s="76">
        <f>IF(N53&gt;1.5,VLOOKUP(N51&amp;1.5,tablas!$M$3:$P$56,4,FALSE),VLOOKUP(N51&amp;N53,tablas!$M$3:$P$56,4,FALSE))</f>
        <v>0.8</v>
      </c>
      <c r="O54" s="76">
        <f>IF(O53&gt;1.5,VLOOKUP(O51&amp;1.5,tablas!$M$3:$P$56,4,FALSE),VLOOKUP(O51&amp;O53,tablas!$M$3:$P$56,4,FALSE))</f>
        <v>0.75</v>
      </c>
      <c r="P54" s="76">
        <f>IF(P53&gt;1.5,VLOOKUP(P51&amp;1.5,tablas!$M$3:$P$56,4,FALSE),VLOOKUP(P51&amp;P53,tablas!$M$3:$P$56,4,FALSE))</f>
        <v>0.75</v>
      </c>
      <c r="Q54" s="76">
        <f>IF(Q53&gt;1.5,VLOOKUP(Q51&amp;1.5,tablas!$M$3:$P$56,4,FALSE),VLOOKUP(Q51&amp;Q53,tablas!$M$3:$P$56,4,FALSE))</f>
        <v>0.8</v>
      </c>
      <c r="R54" s="76">
        <f>IF(R53&gt;1.5,VLOOKUP(R51&amp;1.5,tablas!$M$3:$P$56,4,FALSE),VLOOKUP(R51&amp;R53,tablas!$M$3:$P$56,4,FALSE))</f>
        <v>0.76</v>
      </c>
      <c r="S54" s="76">
        <f>IF(S53&gt;1.5,VLOOKUP(S51&amp;1.5,tablas!$M$3:$P$56,4,FALSE),VLOOKUP(S51&amp;S53,tablas!$M$3:$P$56,4,FALSE))</f>
        <v>0.76</v>
      </c>
      <c r="T54" s="76">
        <f>IF(T53&gt;1.5,VLOOKUP(T51&amp;1.5,tablas!$M$3:$P$56,4,FALSE),VLOOKUP(T51&amp;T53,tablas!$M$3:$P$56,4,FALSE))</f>
        <v>0.8</v>
      </c>
      <c r="U54" s="76">
        <f>IF(U53&gt;1.5,VLOOKUP(U51&amp;1.5,tablas!$M$3:$P$56,4,FALSE),VLOOKUP(U51&amp;U53,tablas!$M$3:$P$56,4,FALSE))</f>
        <v>0.8</v>
      </c>
      <c r="V54" s="76">
        <f>IF(V53&gt;1.5,VLOOKUP(V51&amp;1.5,tablas!$M$3:$P$56,4,FALSE),VLOOKUP(V51&amp;V53,tablas!$M$3:$P$56,4,FALSE))</f>
        <v>0.76</v>
      </c>
      <c r="W54" s="76">
        <f>IF(W53&gt;1.5,VLOOKUP(W51&amp;1.5,tablas!$M$3:$P$56,4,FALSE),VLOOKUP(W51&amp;W53,tablas!$M$3:$P$56,4,FALSE))</f>
        <v>0.76</v>
      </c>
      <c r="X54" s="76">
        <f>IF(X53&gt;1.5,VLOOKUP(X51&amp;1.5,tablas!$M$3:$P$56,4,FALSE),VLOOKUP(X51&amp;X53,tablas!$M$3:$P$56,4,FALSE))</f>
        <v>0.75</v>
      </c>
      <c r="Y54" s="193"/>
      <c r="Z54" s="193"/>
      <c r="AA54" s="193"/>
      <c r="AB54" s="193"/>
      <c r="AC54" s="193"/>
      <c r="AD54" s="193"/>
      <c r="AE54" s="193"/>
      <c r="AF54" s="39"/>
      <c r="AG54" s="39"/>
    </row>
    <row r="55" spans="2:33" x14ac:dyDescent="0.25">
      <c r="B55" s="97" t="s">
        <v>85</v>
      </c>
      <c r="C55" s="76">
        <v>53</v>
      </c>
      <c r="D55" s="76">
        <v>35</v>
      </c>
      <c r="E55" s="76">
        <v>35</v>
      </c>
      <c r="F55" s="76">
        <v>35</v>
      </c>
      <c r="G55" s="76">
        <v>35</v>
      </c>
      <c r="H55" s="76">
        <v>35</v>
      </c>
      <c r="I55" s="76">
        <v>35</v>
      </c>
      <c r="J55" s="76">
        <v>35</v>
      </c>
      <c r="K55" s="76">
        <v>35</v>
      </c>
      <c r="L55" s="76">
        <v>35</v>
      </c>
      <c r="M55" s="76">
        <v>35</v>
      </c>
      <c r="N55" s="76">
        <v>35</v>
      </c>
      <c r="O55" s="76">
        <v>35</v>
      </c>
      <c r="P55" s="76">
        <v>35</v>
      </c>
      <c r="Q55" s="76">
        <v>35</v>
      </c>
      <c r="R55" s="76">
        <v>35</v>
      </c>
      <c r="S55" s="76">
        <v>35</v>
      </c>
      <c r="T55" s="76">
        <v>35</v>
      </c>
      <c r="U55" s="76">
        <v>35</v>
      </c>
      <c r="V55" s="76">
        <v>35</v>
      </c>
      <c r="W55" s="76">
        <v>35</v>
      </c>
      <c r="X55" s="76">
        <v>53</v>
      </c>
    </row>
    <row r="56" spans="2:33" x14ac:dyDescent="0.25">
      <c r="B56" s="97" t="s">
        <v>11</v>
      </c>
      <c r="C56" s="76">
        <f>IF(C53&lt;=2,VLOOKUP(C51&amp;C53-0.1,tablas!$B$3:$K$92,4,FALSE),"Franja de losa")</f>
        <v>1</v>
      </c>
      <c r="D56" s="76">
        <f>IF(D53&lt;=2,VLOOKUP(D51&amp;D53,tablas!$B$3:$K$92,4,FALSE),"Franja de losa")</f>
        <v>1</v>
      </c>
      <c r="E56" s="76">
        <f>IF(E53&lt;=2,VLOOKUP(E51&amp;E53,tablas!$B$3:$K$92,4,FALSE),"Franja de losa")</f>
        <v>1</v>
      </c>
      <c r="F56" s="76">
        <f>IF(F53&lt;=2,VLOOKUP(F51&amp;F53,tablas!$B$3:$K$92,4,FALSE),"Franja de losa")</f>
        <v>1</v>
      </c>
      <c r="G56" s="76">
        <f>IF(G53&lt;=2,VLOOKUP(G51&amp;G53,tablas!$B$3:$K$92,4,FALSE),"Franja de losa")</f>
        <v>1</v>
      </c>
      <c r="H56" s="76">
        <f>IF(H53&lt;=2,VLOOKUP(H51&amp;H53,tablas!$B$3:$K$92,4,FALSE),"Franja de losa")</f>
        <v>1</v>
      </c>
      <c r="I56" s="76">
        <f>IF(I53&lt;=2,VLOOKUP(I51&amp;I53,tablas!$B$3:$K$92,4,FALSE),"Franja de losa")</f>
        <v>1</v>
      </c>
      <c r="J56" s="76" t="str">
        <f>IF(J53&lt;=2,VLOOKUP(J51&amp;J53,tablas!$B$3:$K$92,4,FALSE),"Franja de losa")</f>
        <v>Franja de losa</v>
      </c>
      <c r="K56" s="76" t="str">
        <f>IF(K53&lt;=2,VLOOKUP(K51&amp;K53,tablas!$B$3:$K$92,4,FALSE),"Franja de losa")</f>
        <v>Franja de losa</v>
      </c>
      <c r="L56" s="76">
        <f>IF(L53&lt;=2,VLOOKUP(L51&amp;L53,tablas!$B$3:$K$92,4,FALSE),"Franja de losa")</f>
        <v>1</v>
      </c>
      <c r="M56" s="76">
        <f>IF(M53&lt;=2,VLOOKUP(M51&amp;M53,tablas!$B$3:$K$92,4,FALSE),"Franja de losa")</f>
        <v>1</v>
      </c>
      <c r="N56" s="76" t="str">
        <f>IF(N53&lt;=2,VLOOKUP(N51&amp;N53,tablas!$B$3:$K$92,4,FALSE),"Franja de losa")</f>
        <v>Franja de losa</v>
      </c>
      <c r="O56" s="76" t="str">
        <f>IF(O53&lt;=2,VLOOKUP(O51&amp;O53,tablas!$B$3:$K$92,4,FALSE),"Franja de losa")</f>
        <v>Franja de losa</v>
      </c>
      <c r="P56" s="76" t="str">
        <f>IF(P53&lt;=2,VLOOKUP(P51&amp;P53,tablas!$B$3:$K$92,4,FALSE),"Franja de losa")</f>
        <v>Franja de losa</v>
      </c>
      <c r="Q56" s="76" t="str">
        <f>IF(Q53&lt;=2,VLOOKUP(Q51&amp;Q53,tablas!$B$3:$K$92,4,FALSE),"Franja de losa")</f>
        <v>Franja de losa</v>
      </c>
      <c r="R56" s="76" t="str">
        <f>IF(R53&lt;=2,VLOOKUP(R51&amp;R53,tablas!$B$3:$K$92,4,FALSE),"Franja de losa")</f>
        <v>Franja de losa</v>
      </c>
      <c r="S56" s="76" t="str">
        <f>IF(S53&lt;=2,VLOOKUP(S51&amp;S53,tablas!$B$3:$K$92,4,FALSE),"Franja de losa")</f>
        <v>Franja de losa</v>
      </c>
      <c r="T56" s="76" t="str">
        <f>IF(T53&lt;=2,VLOOKUP(T51&amp;T53,tablas!$B$3:$K$92,4,FALSE),"Franja de losa")</f>
        <v>Franja de losa</v>
      </c>
      <c r="U56" s="76" t="str">
        <f>IF(U53&lt;=2,VLOOKUP(U51&amp;U53,tablas!$B$3:$K$92,4,FALSE),"Franja de losa")</f>
        <v>Franja de losa</v>
      </c>
      <c r="V56" s="76" t="str">
        <f>IF(V53&lt;=2,VLOOKUP(V51&amp;V53,tablas!$B$3:$K$92,4,FALSE),"Franja de losa")</f>
        <v>Franja de losa</v>
      </c>
      <c r="W56" s="76" t="str">
        <f>IF(W53&lt;=2,VLOOKUP(W51&amp;W53,tablas!$B$3:$K$92,4,FALSE),"Franja de losa")</f>
        <v>Franja de losa</v>
      </c>
      <c r="X56" s="76">
        <f>IF(X53&lt;=2,VLOOKUP(X51&amp;X53-0.1,tablas!$B$3:$K$92,4,FALSE),"Franja de losa")</f>
        <v>1</v>
      </c>
      <c r="Y56" s="193"/>
      <c r="Z56" s="193"/>
      <c r="AA56" s="193"/>
      <c r="AB56" s="193"/>
      <c r="AC56" s="193"/>
      <c r="AD56" s="193"/>
      <c r="AE56" s="193"/>
      <c r="AF56" s="39"/>
      <c r="AG56" s="39"/>
    </row>
    <row r="57" spans="2:33" x14ac:dyDescent="0.25">
      <c r="B57" s="94" t="s">
        <v>4</v>
      </c>
      <c r="C57" s="76">
        <f>IF(C53&lt;=2,VLOOKUP(C51&amp;C53-0.1,tablas!$B$3:$K$92,7,FALSE),"Franja de losa")</f>
        <v>46.1</v>
      </c>
      <c r="D57" s="76">
        <f>IF(D53&lt;=2,VLOOKUP(D51&amp;D53,tablas!$B$3:$K$92,7,FALSE),"Franja de losa")</f>
        <v>45.2</v>
      </c>
      <c r="E57" s="76">
        <f>IF(E53&lt;=2,VLOOKUP(E51&amp;E53,tablas!$B$3:$K$92,7,FALSE),"Franja de losa")</f>
        <v>45.2</v>
      </c>
      <c r="F57" s="76">
        <f>IF(F53&lt;=2,VLOOKUP(F51&amp;F53,tablas!$B$3:$K$92,7,FALSE),"Franja de losa")</f>
        <v>44.6</v>
      </c>
      <c r="G57" s="76">
        <f>IF(G53&lt;=2,VLOOKUP(G51&amp;G53,tablas!$B$3:$K$92,7,FALSE),"Franja de losa")</f>
        <v>47.2</v>
      </c>
      <c r="H57" s="76">
        <f>IF(H53&lt;=2,VLOOKUP(H51&amp;H53,tablas!$B$3:$K$92,7,FALSE),"Franja de losa")</f>
        <v>50.7</v>
      </c>
      <c r="I57" s="76">
        <f>IF(I53&lt;=2,VLOOKUP(I51&amp;I53,tablas!$B$3:$K$92,7,FALSE),"Franja de losa")</f>
        <v>37.5</v>
      </c>
      <c r="J57" s="76" t="str">
        <f>IF(J53&lt;=2,VLOOKUP(J51&amp;J53,tablas!$B$3:$K$92,7,FALSE),"Franja de losa")</f>
        <v>Franja de losa</v>
      </c>
      <c r="K57" s="76" t="str">
        <f>IF(K53&lt;=2,VLOOKUP(K51&amp;K53,tablas!$B$3:$K$92,7,FALSE),"Franja de losa")</f>
        <v>Franja de losa</v>
      </c>
      <c r="L57" s="76">
        <f>IF(L53&lt;=2,VLOOKUP(L51&amp;L53,tablas!$B$3:$K$92,7,FALSE),"Franja de losa")</f>
        <v>50.7</v>
      </c>
      <c r="M57" s="76">
        <f>IF(M53&lt;=2,VLOOKUP(M51&amp;M53,tablas!$B$3:$K$92,7,FALSE),"Franja de losa")</f>
        <v>47.2</v>
      </c>
      <c r="N57" s="76" t="str">
        <f>IF(N53&lt;=2,VLOOKUP(N51&amp;N53,tablas!$B$3:$K$92,7,FALSE),"Franja de losa")</f>
        <v>Franja de losa</v>
      </c>
      <c r="O57" s="76" t="str">
        <f>IF(O53&lt;=2,VLOOKUP(O51&amp;O53,tablas!$B$3:$K$92,7,FALSE),"Franja de losa")</f>
        <v>Franja de losa</v>
      </c>
      <c r="P57" s="76" t="str">
        <f>IF(P53&lt;=2,VLOOKUP(P51&amp;P53,tablas!$B$3:$K$92,7,FALSE),"Franja de losa")</f>
        <v>Franja de losa</v>
      </c>
      <c r="Q57" s="76" t="str">
        <f>IF(Q53&lt;=2,VLOOKUP(Q51&amp;Q53,tablas!$B$3:$K$92,7,FALSE),"Franja de losa")</f>
        <v>Franja de losa</v>
      </c>
      <c r="R57" s="76" t="str">
        <f>IF(R53&lt;=2,VLOOKUP(R51&amp;R53,tablas!$B$3:$K$92,7,FALSE),"Franja de losa")</f>
        <v>Franja de losa</v>
      </c>
      <c r="S57" s="76" t="str">
        <f>IF(S53&lt;=2,VLOOKUP(S51&amp;S53,tablas!$B$3:$K$92,7,FALSE),"Franja de losa")</f>
        <v>Franja de losa</v>
      </c>
      <c r="T57" s="76" t="str">
        <f>IF(T53&lt;=2,VLOOKUP(T51&amp;T53,tablas!$B$3:$K$92,7,FALSE),"Franja de losa")</f>
        <v>Franja de losa</v>
      </c>
      <c r="U57" s="76" t="str">
        <f>IF(U53&lt;=2,VLOOKUP(U51&amp;U53,tablas!$B$3:$K$92,7,FALSE),"Franja de losa")</f>
        <v>Franja de losa</v>
      </c>
      <c r="V57" s="76" t="str">
        <f>IF(V53&lt;=2,VLOOKUP(V51&amp;V53,tablas!$B$3:$K$92,7,FALSE),"Franja de losa")</f>
        <v>Franja de losa</v>
      </c>
      <c r="W57" s="76" t="str">
        <f>IF(W53&lt;=2,VLOOKUP(W51&amp;W53,tablas!$B$3:$K$92,7,FALSE),"Franja de losa")</f>
        <v>Franja de losa</v>
      </c>
      <c r="X57" s="76">
        <f>IF(X53&lt;=2,VLOOKUP(X51&amp;X53-0.1,tablas!$B$3:$K$92,7,FALSE),"Franja de losa")</f>
        <v>37.6</v>
      </c>
    </row>
    <row r="58" spans="2:33" x14ac:dyDescent="0.25">
      <c r="B58" s="94" t="s">
        <v>5</v>
      </c>
      <c r="C58" s="76">
        <f>IF(C53&lt;=2,VLOOKUP(C51&amp;C53-0.1,tablas!$B$3:$K$92,8,FALSE),"Franja de losa")</f>
        <v>163</v>
      </c>
      <c r="D58" s="76">
        <f>IF(D53&lt;=2,VLOOKUP(D51&amp;D53,tablas!$B$3:$K$92,8,FALSE),"Franja de losa")</f>
        <v>95.6</v>
      </c>
      <c r="E58" s="76">
        <f>IF(E53&lt;=2,VLOOKUP(E51&amp;E53,tablas!$B$3:$K$92,8,FALSE),"Franja de losa")</f>
        <v>95.6</v>
      </c>
      <c r="F58" s="76">
        <f>IF(F53&lt;=2,VLOOKUP(F51&amp;F53,tablas!$B$3:$K$92,8,FALSE),"Franja de losa")</f>
        <v>116.6</v>
      </c>
      <c r="G58" s="76">
        <f>IF(G53&lt;=2,VLOOKUP(G51&amp;G53,tablas!$B$3:$K$92,8,FALSE),"Franja de losa")</f>
        <v>78.900000000000006</v>
      </c>
      <c r="H58" s="76">
        <f>IF(H53&lt;=2,VLOOKUP(H51&amp;H53,tablas!$B$3:$K$92,8,FALSE),"Franja de losa")</f>
        <v>66.3</v>
      </c>
      <c r="I58" s="76">
        <f>IF(I53&lt;=2,VLOOKUP(I51&amp;I53,tablas!$B$3:$K$92,8,FALSE),"Franja de losa")</f>
        <v>202</v>
      </c>
      <c r="J58" s="76" t="str">
        <f>IF(J53&lt;=2,VLOOKUP(J51&amp;J53,tablas!$B$3:$K$92,8,FALSE),"Franja de losa")</f>
        <v>Franja de losa</v>
      </c>
      <c r="K58" s="76" t="str">
        <f>IF(K53&lt;=2,VLOOKUP(K51&amp;K53,tablas!$B$3:$K$92,8,FALSE),"Franja de losa")</f>
        <v>Franja de losa</v>
      </c>
      <c r="L58" s="76">
        <f>IF(L53&lt;=2,VLOOKUP(L51&amp;L53,tablas!$B$3:$K$92,8,FALSE),"Franja de losa")</f>
        <v>66.3</v>
      </c>
      <c r="M58" s="76">
        <f>IF(M53&lt;=2,VLOOKUP(M51&amp;M53,tablas!$B$3:$K$92,8,FALSE),"Franja de losa")</f>
        <v>78.900000000000006</v>
      </c>
      <c r="N58" s="76" t="str">
        <f>IF(N53&lt;=2,VLOOKUP(N51&amp;N53,tablas!$B$3:$K$92,8,FALSE),"Franja de losa")</f>
        <v>Franja de losa</v>
      </c>
      <c r="O58" s="76" t="str">
        <f>IF(O53&lt;=2,VLOOKUP(O51&amp;O53,tablas!$B$3:$K$92,8,FALSE),"Franja de losa")</f>
        <v>Franja de losa</v>
      </c>
      <c r="P58" s="76" t="str">
        <f>IF(P53&lt;=2,VLOOKUP(P51&amp;P53,tablas!$B$3:$K$92,8,FALSE),"Franja de losa")</f>
        <v>Franja de losa</v>
      </c>
      <c r="Q58" s="76" t="str">
        <f>IF(Q53&lt;=2,VLOOKUP(Q51&amp;Q53,tablas!$B$3:$K$92,8,FALSE),"Franja de losa")</f>
        <v>Franja de losa</v>
      </c>
      <c r="R58" s="76" t="str">
        <f>IF(R53&lt;=2,VLOOKUP(R51&amp;R53,tablas!$B$3:$K$92,8,FALSE),"Franja de losa")</f>
        <v>Franja de losa</v>
      </c>
      <c r="S58" s="76" t="str">
        <f>IF(S53&lt;=2,VLOOKUP(S51&amp;S53,tablas!$B$3:$K$92,8,FALSE),"Franja de losa")</f>
        <v>Franja de losa</v>
      </c>
      <c r="T58" s="76" t="str">
        <f>IF(T53&lt;=2,VLOOKUP(T51&amp;T53,tablas!$B$3:$K$92,8,FALSE),"Franja de losa")</f>
        <v>Franja de losa</v>
      </c>
      <c r="U58" s="76" t="str">
        <f>IF(U53&lt;=2,VLOOKUP(U51&amp;U53,tablas!$B$3:$K$92,8,FALSE),"Franja de losa")</f>
        <v>Franja de losa</v>
      </c>
      <c r="V58" s="76" t="str">
        <f>IF(V53&lt;=2,VLOOKUP(V51&amp;V53,tablas!$B$3:$K$92,8,FALSE),"Franja de losa")</f>
        <v>Franja de losa</v>
      </c>
      <c r="W58" s="76" t="str">
        <f>IF(W53&lt;=2,VLOOKUP(W51&amp;W53,tablas!$B$3:$K$92,8,FALSE),"Franja de losa")</f>
        <v>Franja de losa</v>
      </c>
      <c r="X58" s="76">
        <f>IF(X53&lt;=2,VLOOKUP(X51&amp;X53-0.1,tablas!$B$3:$K$92,8,FALSE),"Franja de losa")</f>
        <v>143</v>
      </c>
    </row>
    <row r="59" spans="2:33" x14ac:dyDescent="0.25">
      <c r="B59" s="94" t="s">
        <v>6</v>
      </c>
      <c r="C59" s="76">
        <f>IF(C53&lt;=2,VLOOKUP(C51&amp;C53-0.1,tablas!$B$3:$K$92,9,FALSE),"Franja de losa")</f>
        <v>20.5</v>
      </c>
      <c r="D59" s="76">
        <f>IF(D53&lt;=2,VLOOKUP(D51&amp;D53,tablas!$B$3:$K$92,9,FALSE),"Franja de losa")</f>
        <v>18.8</v>
      </c>
      <c r="E59" s="76">
        <f>IF(E53&lt;=2,VLOOKUP(E51&amp;E53,tablas!$B$3:$K$92,9,FALSE),"Franja de losa")</f>
        <v>18.8</v>
      </c>
      <c r="F59" s="76">
        <f>IF(F53&lt;=2,VLOOKUP(F51&amp;F53,tablas!$B$3:$K$92,9,FALSE),"Franja de losa")</f>
        <v>19.2</v>
      </c>
      <c r="G59" s="76">
        <f>IF(G53&lt;=2,VLOOKUP(G51&amp;G53,tablas!$B$3:$K$92,9,FALSE),"Franja de losa")</f>
        <v>18.600000000000001</v>
      </c>
      <c r="H59" s="76">
        <f>IF(H53&lt;=2,VLOOKUP(H51&amp;H53,tablas!$B$3:$K$92,9,FALSE),"Franja de losa")</f>
        <v>18.8</v>
      </c>
      <c r="I59" s="76">
        <f>IF(I53&lt;=2,VLOOKUP(I51&amp;I53,tablas!$B$3:$K$92,9,FALSE),"Franja de losa")</f>
        <v>17.600000000000001</v>
      </c>
      <c r="J59" s="76" t="str">
        <f>IF(J53&lt;=2,VLOOKUP(J51&amp;J53,tablas!$B$3:$K$92,9,FALSE),"Franja de losa")</f>
        <v>Franja de losa</v>
      </c>
      <c r="K59" s="76" t="str">
        <f>IF(K53&lt;=2,VLOOKUP(K51&amp;K53,tablas!$B$3:$K$92,9,FALSE),"Franja de losa")</f>
        <v>Franja de losa</v>
      </c>
      <c r="L59" s="76">
        <f>IF(L53&lt;=2,VLOOKUP(L51&amp;L53,tablas!$B$3:$K$92,9,FALSE),"Franja de losa")</f>
        <v>18.8</v>
      </c>
      <c r="M59" s="76">
        <f>IF(M53&lt;=2,VLOOKUP(M51&amp;M53,tablas!$B$3:$K$92,9,FALSE),"Franja de losa")</f>
        <v>18.600000000000001</v>
      </c>
      <c r="N59" s="76" t="str">
        <f>IF(N53&lt;=2,VLOOKUP(N51&amp;N53,tablas!$B$3:$K$92,9,FALSE),"Franja de losa")</f>
        <v>Franja de losa</v>
      </c>
      <c r="O59" s="76" t="str">
        <f>IF(O53&lt;=2,VLOOKUP(O51&amp;O53,tablas!$B$3:$K$92,9,FALSE),"Franja de losa")</f>
        <v>Franja de losa</v>
      </c>
      <c r="P59" s="76" t="str">
        <f>IF(P53&lt;=2,VLOOKUP(P51&amp;P53,tablas!$B$3:$K$92,9,FALSE),"Franja de losa")</f>
        <v>Franja de losa</v>
      </c>
      <c r="Q59" s="76" t="str">
        <f>IF(Q53&lt;=2,VLOOKUP(Q51&amp;Q53,tablas!$B$3:$K$92,9,FALSE),"Franja de losa")</f>
        <v>Franja de losa</v>
      </c>
      <c r="R59" s="76" t="str">
        <f>IF(R53&lt;=2,VLOOKUP(R51&amp;R53,tablas!$B$3:$K$92,9,FALSE),"Franja de losa")</f>
        <v>Franja de losa</v>
      </c>
      <c r="S59" s="76" t="str">
        <f>IF(S53&lt;=2,VLOOKUP(S51&amp;S53,tablas!$B$3:$K$92,9,FALSE),"Franja de losa")</f>
        <v>Franja de losa</v>
      </c>
      <c r="T59" s="76" t="str">
        <f>IF(T53&lt;=2,VLOOKUP(T51&amp;T53,tablas!$B$3:$K$92,9,FALSE),"Franja de losa")</f>
        <v>Franja de losa</v>
      </c>
      <c r="U59" s="76" t="str">
        <f>IF(U53&lt;=2,VLOOKUP(U51&amp;U53,tablas!$B$3:$K$92,9,FALSE),"Franja de losa")</f>
        <v>Franja de losa</v>
      </c>
      <c r="V59" s="76" t="str">
        <f>IF(V53&lt;=2,VLOOKUP(V51&amp;V53,tablas!$B$3:$K$92,9,FALSE),"Franja de losa")</f>
        <v>Franja de losa</v>
      </c>
      <c r="W59" s="76" t="str">
        <f>IF(W53&lt;=2,VLOOKUP(W51&amp;W53,tablas!$B$3:$K$92,9,FALSE),"Franja de losa")</f>
        <v>Franja de losa</v>
      </c>
      <c r="X59" s="76">
        <f>IF(X53&lt;=2,VLOOKUP(X51&amp;X53-0.1,tablas!$B$3:$K$92,9,FALSE),"Franja de losa")</f>
        <v>16.7</v>
      </c>
    </row>
    <row r="60" spans="2:33" x14ac:dyDescent="0.25">
      <c r="B60" s="94" t="s">
        <v>7</v>
      </c>
      <c r="C60" s="76">
        <f>IF(C53&lt;=2,VLOOKUP(C51&amp;C53-0.1,tablas!$B$3:$K$92,10,FALSE),"Franja de losa")</f>
        <v>27.9</v>
      </c>
      <c r="D60" s="76">
        <f>IF(D53&lt;=2,VLOOKUP(D51&amp;D53,tablas!$B$3:$K$92,10,FALSE),"Franja de losa")</f>
        <v>22.9</v>
      </c>
      <c r="E60" s="76">
        <f>IF(E53&lt;=2,VLOOKUP(E51&amp;E53,tablas!$B$3:$K$92,10,FALSE),"Franja de losa")</f>
        <v>22.9</v>
      </c>
      <c r="F60" s="76">
        <f>IF(F53&lt;=2,VLOOKUP(F51&amp;F53,tablas!$B$3:$K$92,10,FALSE),"Franja de losa")</f>
        <v>24.5</v>
      </c>
      <c r="G60" s="76">
        <f>IF(G53&lt;=2,VLOOKUP(G51&amp;G53,tablas!$B$3:$K$92,10,FALSE),"Franja de losa")</f>
        <v>21.5</v>
      </c>
      <c r="H60" s="76">
        <f>IF(H53&lt;=2,VLOOKUP(H51&amp;H53,tablas!$B$3:$K$92,10,FALSE),"Franja de losa")</f>
        <v>20.3</v>
      </c>
      <c r="I60" s="76">
        <f>IF(I53&lt;=2,VLOOKUP(I51&amp;I53,tablas!$B$3:$K$92,10,FALSE),"Franja de losa")</f>
        <v>24.6</v>
      </c>
      <c r="J60" s="76" t="str">
        <f>IF(J53&lt;=2,VLOOKUP(J51&amp;J53,tablas!$B$3:$K$92,10,FALSE),"Franja de losa")</f>
        <v>Franja de losa</v>
      </c>
      <c r="K60" s="76" t="str">
        <f>IF(K53&lt;=2,VLOOKUP(K51&amp;K53,tablas!$B$3:$K$92,10,FALSE),"Franja de losa")</f>
        <v>Franja de losa</v>
      </c>
      <c r="L60" s="76">
        <f>IF(L53&lt;=2,VLOOKUP(L51&amp;L53,tablas!$B$3:$K$92,10,FALSE),"Franja de losa")</f>
        <v>20.3</v>
      </c>
      <c r="M60" s="76">
        <f>IF(M53&lt;=2,VLOOKUP(M51&amp;M53,tablas!$B$3:$K$92,10,FALSE),"Franja de losa")</f>
        <v>21.5</v>
      </c>
      <c r="N60" s="76" t="str">
        <f>IF(N53&lt;=2,VLOOKUP(N51&amp;N53,tablas!$B$3:$K$92,10,FALSE),"Franja de losa")</f>
        <v>Franja de losa</v>
      </c>
      <c r="O60" s="76" t="str">
        <f>IF(O53&lt;=2,VLOOKUP(O51&amp;O53,tablas!$B$3:$K$92,10,FALSE),"Franja de losa")</f>
        <v>Franja de losa</v>
      </c>
      <c r="P60" s="76" t="str">
        <f>IF(P53&lt;=2,VLOOKUP(P51&amp;P53,tablas!$B$3:$K$92,10,FALSE),"Franja de losa")</f>
        <v>Franja de losa</v>
      </c>
      <c r="Q60" s="76" t="str">
        <f>IF(Q53&lt;=2,VLOOKUP(Q51&amp;Q53,tablas!$B$3:$K$92,10,FALSE),"Franja de losa")</f>
        <v>Franja de losa</v>
      </c>
      <c r="R60" s="76" t="str">
        <f>IF(R53&lt;=2,VLOOKUP(R51&amp;R53,tablas!$B$3:$K$92,10,FALSE),"Franja de losa")</f>
        <v>Franja de losa</v>
      </c>
      <c r="S60" s="76" t="str">
        <f>IF(S53&lt;=2,VLOOKUP(S51&amp;S53,tablas!$B$3:$K$92,10,FALSE),"Franja de losa")</f>
        <v>Franja de losa</v>
      </c>
      <c r="T60" s="76" t="str">
        <f>IF(T53&lt;=2,VLOOKUP(T51&amp;T53,tablas!$B$3:$K$92,10,FALSE),"Franja de losa")</f>
        <v>Franja de losa</v>
      </c>
      <c r="U60" s="76" t="str">
        <f>IF(U53&lt;=2,VLOOKUP(U51&amp;U53,tablas!$B$3:$K$92,10,FALSE),"Franja de losa")</f>
        <v>Franja de losa</v>
      </c>
      <c r="V60" s="76" t="str">
        <f>IF(V53&lt;=2,VLOOKUP(V51&amp;V53,tablas!$B$3:$K$92,10,FALSE),"Franja de losa")</f>
        <v>Franja de losa</v>
      </c>
      <c r="W60" s="76" t="str">
        <f>IF(W53&lt;=2,VLOOKUP(W51&amp;W53,tablas!$B$3:$K$92,10,FALSE),"Franja de losa")</f>
        <v>Franja de losa</v>
      </c>
      <c r="X60" s="76">
        <f>IF(X53&lt;=2,VLOOKUP(X51&amp;X53-0.1,tablas!$B$3:$K$92,10,FALSE),"Franja de losa")</f>
        <v>22.1</v>
      </c>
    </row>
    <row r="61" spans="2:33" x14ac:dyDescent="0.25">
      <c r="B61" s="97" t="s">
        <v>2</v>
      </c>
      <c r="C61" s="76">
        <f>IF(C53&lt;=2,VLOOKUP(C51&amp;C53-0.1,tablas!$B$3:$K$92,5,FALSE),"Franja de losa")</f>
        <v>1.39</v>
      </c>
      <c r="D61" s="76">
        <f>IF(D53&lt;=2,VLOOKUP(D51&amp;D53,tablas!$B$3:$K$92,5,FALSE),"Franja de losa")</f>
        <v>1.17</v>
      </c>
      <c r="E61" s="76">
        <f>IF(E53&lt;=2,VLOOKUP(E51&amp;E53,tablas!$B$3:$K$92,5,FALSE),"Franja de losa")</f>
        <v>1.17</v>
      </c>
      <c r="F61" s="76">
        <f>IF(F53&lt;=2,VLOOKUP(F51&amp;F53,tablas!$B$3:$K$92,5,FALSE),"Franja de losa")</f>
        <v>1.24</v>
      </c>
      <c r="G61" s="76">
        <f>IF(G53&lt;=2,VLOOKUP(G51&amp;G53,tablas!$B$3:$K$92,5,FALSE),"Franja de losa")</f>
        <v>1.1000000000000001</v>
      </c>
      <c r="H61" s="76">
        <f>IF(H53&lt;=2,VLOOKUP(H51&amp;H53,tablas!$B$3:$K$92,5,FALSE),"Franja de losa")</f>
        <v>1.05</v>
      </c>
      <c r="I61" s="76">
        <f>IF(I53&lt;=2,VLOOKUP(I51&amp;I53,tablas!$B$3:$K$92,5,FALSE),"Franja de losa")</f>
        <v>0.68</v>
      </c>
      <c r="J61" s="76" t="str">
        <f>IF(J53&lt;=2,VLOOKUP(J51&amp;J53,tablas!$B$3:$K$92,5,FALSE),"Franja de losa")</f>
        <v>Franja de losa</v>
      </c>
      <c r="K61" s="76" t="str">
        <f>IF(K53&lt;=2,VLOOKUP(K51&amp;K53,tablas!$B$3:$K$92,5,FALSE),"Franja de losa")</f>
        <v>Franja de losa</v>
      </c>
      <c r="L61" s="76">
        <f>IF(L53&lt;=2,VLOOKUP(L51&amp;L53,tablas!$B$3:$K$92,5,FALSE),"Franja de losa")</f>
        <v>1.05</v>
      </c>
      <c r="M61" s="76">
        <f>IF(M53&lt;=2,VLOOKUP(M51&amp;M53,tablas!$B$3:$K$92,5,FALSE),"Franja de losa")</f>
        <v>1.1000000000000001</v>
      </c>
      <c r="N61" s="76" t="str">
        <f>IF(N53&lt;=2,VLOOKUP(N51&amp;N53,tablas!$B$3:$K$92,5,FALSE),"Franja de losa")</f>
        <v>Franja de losa</v>
      </c>
      <c r="O61" s="76" t="str">
        <f>IF(O53&lt;=2,VLOOKUP(O51&amp;O53,tablas!$B$3:$K$92,5,FALSE),"Franja de losa")</f>
        <v>Franja de losa</v>
      </c>
      <c r="P61" s="76" t="str">
        <f>IF(P53&lt;=2,VLOOKUP(P51&amp;P53,tablas!$B$3:$K$92,5,FALSE),"Franja de losa")</f>
        <v>Franja de losa</v>
      </c>
      <c r="Q61" s="76" t="str">
        <f>IF(Q53&lt;=2,VLOOKUP(Q51&amp;Q53,tablas!$B$3:$K$92,5,FALSE),"Franja de losa")</f>
        <v>Franja de losa</v>
      </c>
      <c r="R61" s="76" t="str">
        <f>IF(R53&lt;=2,VLOOKUP(R51&amp;R53,tablas!$B$3:$K$92,5,FALSE),"Franja de losa")</f>
        <v>Franja de losa</v>
      </c>
      <c r="S61" s="76" t="str">
        <f>IF(S53&lt;=2,VLOOKUP(S51&amp;S53,tablas!$B$3:$K$92,5,FALSE),"Franja de losa")</f>
        <v>Franja de losa</v>
      </c>
      <c r="T61" s="76" t="str">
        <f>IF(T53&lt;=2,VLOOKUP(T51&amp;T53,tablas!$B$3:$K$92,5,FALSE),"Franja de losa")</f>
        <v>Franja de losa</v>
      </c>
      <c r="U61" s="76" t="str">
        <f>IF(U53&lt;=2,VLOOKUP(U51&amp;U53,tablas!$B$3:$K$92,5,FALSE),"Franja de losa")</f>
        <v>Franja de losa</v>
      </c>
      <c r="V61" s="76" t="str">
        <f>IF(V53&lt;=2,VLOOKUP(V51&amp;V53,tablas!$B$3:$K$92,5,FALSE),"Franja de losa")</f>
        <v>Franja de losa</v>
      </c>
      <c r="W61" s="76" t="str">
        <f>IF(W53&lt;=2,VLOOKUP(W51&amp;W53,tablas!$B$3:$K$92,5,FALSE),"Franja de losa")</f>
        <v>Franja de losa</v>
      </c>
      <c r="X61" s="76">
        <f>IF(X53&lt;=2,VLOOKUP(X51&amp;X53-0.1,tablas!$B$3:$K$92,5,FALSE),"Franja de losa")</f>
        <v>0.68</v>
      </c>
    </row>
    <row r="62" spans="2:33" ht="15.75" thickBot="1" x14ac:dyDescent="0.3">
      <c r="B62" s="98" t="s">
        <v>3</v>
      </c>
      <c r="C62" s="82">
        <f>IF(C53&lt;=2,VLOOKUP(C51&amp;C53-0.1,tablas!$B$3:$K$92,6,FALSE),"Franja de losa")</f>
        <v>1.39</v>
      </c>
      <c r="D62" s="82">
        <f>IF(D53&lt;=2,VLOOKUP(D51&amp;D53,tablas!$B$3:$K$92,6,FALSE),"Franja de losa")</f>
        <v>1.17</v>
      </c>
      <c r="E62" s="82">
        <f>IF(E53&lt;=2,VLOOKUP(E51&amp;E53,tablas!$B$3:$K$92,6,FALSE),"Franja de losa")</f>
        <v>1.17</v>
      </c>
      <c r="F62" s="82">
        <f>IF(F53&lt;=2,VLOOKUP(F51&amp;F53,tablas!$B$3:$K$92,6,FALSE),"Franja de losa")</f>
        <v>1.24</v>
      </c>
      <c r="G62" s="82">
        <f>IF(G53&lt;=2,VLOOKUP(G51&amp;G53,tablas!$B$3:$K$92,6,FALSE),"Franja de losa")</f>
        <v>1.1000000000000001</v>
      </c>
      <c r="H62" s="82">
        <f>IF(H53&lt;=2,VLOOKUP(H51&amp;H53,tablas!$B$3:$K$92,6,FALSE),"Franja de losa")</f>
        <v>1.05</v>
      </c>
      <c r="I62" s="82">
        <f>IF(I53&lt;=2,VLOOKUP(I51&amp;I53,tablas!$B$3:$K$92,6,FALSE),"Franja de losa")</f>
        <v>0.46</v>
      </c>
      <c r="J62" s="82" t="str">
        <f>IF(J53&lt;=2,VLOOKUP(J51&amp;J53,tablas!$B$3:$K$92,6,FALSE),"Franja de losa")</f>
        <v>Franja de losa</v>
      </c>
      <c r="K62" s="82" t="str">
        <f>IF(K53&lt;=2,VLOOKUP(K51&amp;K53,tablas!$B$3:$K$92,6,FALSE),"Franja de losa")</f>
        <v>Franja de losa</v>
      </c>
      <c r="L62" s="82">
        <f>IF(L53&lt;=2,VLOOKUP(L51&amp;L53,tablas!$B$3:$K$92,6,FALSE),"Franja de losa")</f>
        <v>1.05</v>
      </c>
      <c r="M62" s="82">
        <f>IF(M53&lt;=2,VLOOKUP(M51&amp;M53,tablas!$B$3:$K$92,6,FALSE),"Franja de losa")</f>
        <v>1.1000000000000001</v>
      </c>
      <c r="N62" s="82" t="str">
        <f>IF(N53&lt;=2,VLOOKUP(N51&amp;N53,tablas!$B$3:$K$92,6,FALSE),"Franja de losa")</f>
        <v>Franja de losa</v>
      </c>
      <c r="O62" s="82" t="str">
        <f>IF(O53&lt;=2,VLOOKUP(O51&amp;O53,tablas!$B$3:$K$92,6,FALSE),"Franja de losa")</f>
        <v>Franja de losa</v>
      </c>
      <c r="P62" s="82" t="str">
        <f>IF(P53&lt;=2,VLOOKUP(P51&amp;P53,tablas!$B$3:$K$92,6,FALSE),"Franja de losa")</f>
        <v>Franja de losa</v>
      </c>
      <c r="Q62" s="82" t="str">
        <f>IF(Q53&lt;=2,VLOOKUP(Q51&amp;Q53,tablas!$B$3:$K$92,6,FALSE),"Franja de losa")</f>
        <v>Franja de losa</v>
      </c>
      <c r="R62" s="82" t="str">
        <f>IF(R53&lt;=2,VLOOKUP(R51&amp;R53,tablas!$B$3:$K$92,6,FALSE),"Franja de losa")</f>
        <v>Franja de losa</v>
      </c>
      <c r="S62" s="82" t="str">
        <f>IF(S53&lt;=2,VLOOKUP(S51&amp;S53,tablas!$B$3:$K$92,6,FALSE),"Franja de losa")</f>
        <v>Franja de losa</v>
      </c>
      <c r="T62" s="82" t="str">
        <f>IF(T53&lt;=2,VLOOKUP(T51&amp;T53,tablas!$B$3:$K$92,6,FALSE),"Franja de losa")</f>
        <v>Franja de losa</v>
      </c>
      <c r="U62" s="82" t="str">
        <f>IF(U53&lt;=2,VLOOKUP(U51&amp;U53,tablas!$B$3:$K$92,6,FALSE),"Franja de losa")</f>
        <v>Franja de losa</v>
      </c>
      <c r="V62" s="82" t="str">
        <f>IF(V53&lt;=2,VLOOKUP(V51&amp;V53,tablas!$B$3:$K$92,6,FALSE),"Franja de losa")</f>
        <v>Franja de losa</v>
      </c>
      <c r="W62" s="82" t="str">
        <f>IF(W53&lt;=2,VLOOKUP(W51&amp;W53,tablas!$B$3:$K$92,6,FALSE),"Franja de losa")</f>
        <v>Franja de losa</v>
      </c>
      <c r="X62" s="82">
        <f>IF(X53&lt;=2,VLOOKUP(X51&amp;X53-0.1,tablas!$B$3:$K$92,6,FALSE),"Franja de losa")</f>
        <v>0.46</v>
      </c>
    </row>
    <row r="63" spans="2:33" ht="15.75" thickBot="1" x14ac:dyDescent="0.3">
      <c r="B63" s="71" t="s">
        <v>87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72"/>
      <c r="X63" s="72"/>
    </row>
    <row r="64" spans="2:33" x14ac:dyDescent="0.25">
      <c r="B64" s="94" t="s">
        <v>83</v>
      </c>
      <c r="C64" s="83">
        <f>VLOOKUP(C$46,$B$16:$H$35,6)</f>
        <v>100</v>
      </c>
      <c r="D64" s="83">
        <f t="shared" ref="D64:X64" si="5">VLOOKUP(D$46,$B$16:$H$35,6)</f>
        <v>100</v>
      </c>
      <c r="E64" s="83">
        <f t="shared" si="5"/>
        <v>100</v>
      </c>
      <c r="F64" s="83">
        <f t="shared" si="5"/>
        <v>100</v>
      </c>
      <c r="G64" s="83">
        <f t="shared" si="5"/>
        <v>100</v>
      </c>
      <c r="H64" s="83">
        <f t="shared" si="5"/>
        <v>100</v>
      </c>
      <c r="I64" s="83">
        <f t="shared" si="5"/>
        <v>100</v>
      </c>
      <c r="J64" s="83">
        <f t="shared" si="5"/>
        <v>100</v>
      </c>
      <c r="K64" s="83">
        <f t="shared" si="5"/>
        <v>100</v>
      </c>
      <c r="L64" s="83">
        <f t="shared" si="5"/>
        <v>100</v>
      </c>
      <c r="M64" s="83">
        <f t="shared" si="5"/>
        <v>100</v>
      </c>
      <c r="N64" s="83">
        <f t="shared" si="5"/>
        <v>100</v>
      </c>
      <c r="O64" s="83">
        <f t="shared" si="5"/>
        <v>100</v>
      </c>
      <c r="P64" s="83">
        <f t="shared" si="5"/>
        <v>100</v>
      </c>
      <c r="Q64" s="83">
        <f t="shared" si="5"/>
        <v>100</v>
      </c>
      <c r="R64" s="83">
        <f t="shared" si="5"/>
        <v>100</v>
      </c>
      <c r="S64" s="83">
        <f t="shared" si="5"/>
        <v>100</v>
      </c>
      <c r="T64" s="83">
        <f t="shared" si="5"/>
        <v>100</v>
      </c>
      <c r="U64" s="83">
        <f t="shared" si="5"/>
        <v>100</v>
      </c>
      <c r="V64" s="83">
        <f t="shared" si="5"/>
        <v>100</v>
      </c>
      <c r="W64" s="83">
        <f t="shared" si="5"/>
        <v>100</v>
      </c>
      <c r="X64" s="83">
        <f t="shared" si="5"/>
        <v>100</v>
      </c>
    </row>
    <row r="65" spans="2:24" x14ac:dyDescent="0.25">
      <c r="B65" s="94" t="s">
        <v>89</v>
      </c>
      <c r="C65" s="76">
        <f>$L$7*($C$4/100)</f>
        <v>400</v>
      </c>
      <c r="D65" s="77">
        <f>$L$7*($C$4/100)</f>
        <v>400</v>
      </c>
      <c r="E65" s="77">
        <f t="shared" ref="E65:X65" si="6">$L$7*($C$4/100)</f>
        <v>400</v>
      </c>
      <c r="F65" s="77">
        <f t="shared" si="6"/>
        <v>400</v>
      </c>
      <c r="G65" s="77">
        <f t="shared" si="6"/>
        <v>400</v>
      </c>
      <c r="H65" s="77">
        <f t="shared" si="6"/>
        <v>400</v>
      </c>
      <c r="I65" s="77">
        <f t="shared" si="6"/>
        <v>400</v>
      </c>
      <c r="J65" s="77">
        <f t="shared" si="6"/>
        <v>400</v>
      </c>
      <c r="K65" s="77">
        <f t="shared" si="6"/>
        <v>400</v>
      </c>
      <c r="L65" s="77">
        <f t="shared" si="6"/>
        <v>400</v>
      </c>
      <c r="M65" s="77">
        <f t="shared" si="6"/>
        <v>400</v>
      </c>
      <c r="N65" s="77">
        <f t="shared" si="6"/>
        <v>400</v>
      </c>
      <c r="O65" s="77">
        <f t="shared" si="6"/>
        <v>400</v>
      </c>
      <c r="P65" s="77">
        <f t="shared" si="6"/>
        <v>400</v>
      </c>
      <c r="Q65" s="77">
        <f t="shared" si="6"/>
        <v>400</v>
      </c>
      <c r="R65" s="77">
        <f t="shared" si="6"/>
        <v>400</v>
      </c>
      <c r="S65" s="77">
        <f t="shared" si="6"/>
        <v>400</v>
      </c>
      <c r="T65" s="77">
        <f t="shared" si="6"/>
        <v>400</v>
      </c>
      <c r="U65" s="77">
        <f t="shared" si="6"/>
        <v>400</v>
      </c>
      <c r="V65" s="77">
        <f t="shared" si="6"/>
        <v>400</v>
      </c>
      <c r="W65" s="77">
        <f t="shared" si="6"/>
        <v>400</v>
      </c>
      <c r="X65" s="77">
        <f t="shared" si="6"/>
        <v>400</v>
      </c>
    </row>
    <row r="66" spans="2:24" x14ac:dyDescent="0.25">
      <c r="B66" s="94" t="s">
        <v>90</v>
      </c>
      <c r="C66" s="76">
        <f>C65+$I$8</f>
        <v>625</v>
      </c>
      <c r="D66" s="77">
        <f>D65+$I$8</f>
        <v>625</v>
      </c>
      <c r="E66" s="77">
        <f t="shared" ref="E66:X66" si="7">E65+$I$8</f>
        <v>625</v>
      </c>
      <c r="F66" s="77">
        <f t="shared" si="7"/>
        <v>625</v>
      </c>
      <c r="G66" s="77">
        <f t="shared" si="7"/>
        <v>625</v>
      </c>
      <c r="H66" s="77">
        <f t="shared" si="7"/>
        <v>625</v>
      </c>
      <c r="I66" s="77">
        <f t="shared" si="7"/>
        <v>625</v>
      </c>
      <c r="J66" s="77">
        <f t="shared" si="7"/>
        <v>625</v>
      </c>
      <c r="K66" s="77">
        <f t="shared" si="7"/>
        <v>625</v>
      </c>
      <c r="L66" s="77">
        <f t="shared" si="7"/>
        <v>625</v>
      </c>
      <c r="M66" s="77">
        <f t="shared" si="7"/>
        <v>625</v>
      </c>
      <c r="N66" s="77">
        <f t="shared" si="7"/>
        <v>625</v>
      </c>
      <c r="O66" s="77">
        <f t="shared" si="7"/>
        <v>625</v>
      </c>
      <c r="P66" s="77">
        <f t="shared" si="7"/>
        <v>625</v>
      </c>
      <c r="Q66" s="77">
        <f t="shared" si="7"/>
        <v>625</v>
      </c>
      <c r="R66" s="77">
        <f t="shared" si="7"/>
        <v>625</v>
      </c>
      <c r="S66" s="77">
        <f t="shared" si="7"/>
        <v>625</v>
      </c>
      <c r="T66" s="77">
        <f t="shared" si="7"/>
        <v>625</v>
      </c>
      <c r="U66" s="77">
        <f t="shared" si="7"/>
        <v>625</v>
      </c>
      <c r="V66" s="77">
        <f t="shared" si="7"/>
        <v>625</v>
      </c>
      <c r="W66" s="77">
        <f t="shared" si="7"/>
        <v>625</v>
      </c>
      <c r="X66" s="77">
        <f t="shared" si="7"/>
        <v>625</v>
      </c>
    </row>
    <row r="67" spans="2:24" x14ac:dyDescent="0.25">
      <c r="B67" s="94" t="s">
        <v>91</v>
      </c>
      <c r="C67" s="76">
        <f>1.2*C66+1.6*C64</f>
        <v>910</v>
      </c>
      <c r="D67" s="76">
        <f t="shared" ref="D67:X67" si="8">1.2*D66+1.6*D64</f>
        <v>910</v>
      </c>
      <c r="E67" s="76">
        <f t="shared" si="8"/>
        <v>910</v>
      </c>
      <c r="F67" s="76">
        <f t="shared" si="8"/>
        <v>910</v>
      </c>
      <c r="G67" s="76">
        <f t="shared" si="8"/>
        <v>910</v>
      </c>
      <c r="H67" s="76">
        <f t="shared" si="8"/>
        <v>910</v>
      </c>
      <c r="I67" s="76">
        <f t="shared" si="8"/>
        <v>910</v>
      </c>
      <c r="J67" s="76">
        <f t="shared" si="8"/>
        <v>910</v>
      </c>
      <c r="K67" s="76">
        <f t="shared" si="8"/>
        <v>910</v>
      </c>
      <c r="L67" s="76">
        <f t="shared" si="8"/>
        <v>910</v>
      </c>
      <c r="M67" s="76">
        <f t="shared" si="8"/>
        <v>910</v>
      </c>
      <c r="N67" s="76">
        <f t="shared" si="8"/>
        <v>910</v>
      </c>
      <c r="O67" s="76">
        <f t="shared" si="8"/>
        <v>910</v>
      </c>
      <c r="P67" s="76">
        <f t="shared" si="8"/>
        <v>910</v>
      </c>
      <c r="Q67" s="76">
        <f t="shared" si="8"/>
        <v>910</v>
      </c>
      <c r="R67" s="76">
        <f t="shared" si="8"/>
        <v>910</v>
      </c>
      <c r="S67" s="76">
        <f t="shared" si="8"/>
        <v>910</v>
      </c>
      <c r="T67" s="76">
        <f t="shared" si="8"/>
        <v>910</v>
      </c>
      <c r="U67" s="76">
        <f t="shared" si="8"/>
        <v>910</v>
      </c>
      <c r="V67" s="76">
        <f t="shared" si="8"/>
        <v>910</v>
      </c>
      <c r="W67" s="76">
        <f>1.2*W66+1.6*W64</f>
        <v>910</v>
      </c>
      <c r="X67" s="76">
        <f t="shared" si="8"/>
        <v>910</v>
      </c>
    </row>
    <row r="68" spans="2:24" x14ac:dyDescent="0.25">
      <c r="B68" s="95" t="s">
        <v>92</v>
      </c>
      <c r="C68" s="84">
        <f>C67*C48*C49</f>
        <v>55055</v>
      </c>
      <c r="D68" s="85">
        <f>D67*D48*D49</f>
        <v>23696.399999999998</v>
      </c>
      <c r="E68" s="85">
        <f t="shared" ref="E68:X68" si="9">E67*E48*E49</f>
        <v>23696.399999999998</v>
      </c>
      <c r="F68" s="85">
        <f t="shared" si="9"/>
        <v>43438.394999999997</v>
      </c>
      <c r="G68" s="85">
        <f t="shared" si="9"/>
        <v>36861.551999999996</v>
      </c>
      <c r="H68" s="85">
        <f t="shared" si="9"/>
        <v>22840.999999999996</v>
      </c>
      <c r="I68" s="85">
        <f t="shared" si="9"/>
        <v>7720.4400000000005</v>
      </c>
      <c r="J68" s="85">
        <f t="shared" si="9"/>
        <v>14268.8</v>
      </c>
      <c r="K68" s="85">
        <f t="shared" si="9"/>
        <v>16784.04</v>
      </c>
      <c r="L68" s="85">
        <f>L67*L48*L49</f>
        <v>22840.999999999996</v>
      </c>
      <c r="M68" s="85">
        <f t="shared" si="9"/>
        <v>34372.338000000003</v>
      </c>
      <c r="N68" s="85">
        <f t="shared" si="9"/>
        <v>12504.31</v>
      </c>
      <c r="O68" s="85">
        <f t="shared" si="9"/>
        <v>7694.9599999999991</v>
      </c>
      <c r="P68" s="85">
        <f t="shared" si="9"/>
        <v>7694.9599999999991</v>
      </c>
      <c r="Q68" s="85">
        <f t="shared" si="9"/>
        <v>12270.712999999998</v>
      </c>
      <c r="R68" s="85">
        <f t="shared" si="9"/>
        <v>3624.712</v>
      </c>
      <c r="S68" s="85">
        <f t="shared" si="9"/>
        <v>3624.712</v>
      </c>
      <c r="T68" s="85">
        <f t="shared" si="9"/>
        <v>13035.386</v>
      </c>
      <c r="U68" s="85">
        <f t="shared" si="9"/>
        <v>13242.684000000001</v>
      </c>
      <c r="V68" s="85">
        <f t="shared" si="9"/>
        <v>2579.1219999999998</v>
      </c>
      <c r="W68" s="85">
        <f t="shared" si="9"/>
        <v>2439.71</v>
      </c>
      <c r="X68" s="85">
        <f t="shared" si="9"/>
        <v>9078.159999999998</v>
      </c>
    </row>
    <row r="69" spans="2:24" ht="15.75" thickBot="1" x14ac:dyDescent="0.3">
      <c r="B69" s="96" t="s">
        <v>93</v>
      </c>
      <c r="C69" s="86">
        <f>C64/(2*C67)</f>
        <v>5.4945054945054944E-2</v>
      </c>
      <c r="D69" s="87">
        <f>D64/(2*D67)</f>
        <v>5.4945054945054944E-2</v>
      </c>
      <c r="E69" s="87">
        <f t="shared" ref="E69:X69" si="10">E64/(2*E67)</f>
        <v>5.4945054945054944E-2</v>
      </c>
      <c r="F69" s="87">
        <f t="shared" si="10"/>
        <v>5.4945054945054944E-2</v>
      </c>
      <c r="G69" s="87">
        <f t="shared" si="10"/>
        <v>5.4945054945054944E-2</v>
      </c>
      <c r="H69" s="87">
        <f t="shared" si="10"/>
        <v>5.4945054945054944E-2</v>
      </c>
      <c r="I69" s="87">
        <f t="shared" si="10"/>
        <v>5.4945054945054944E-2</v>
      </c>
      <c r="J69" s="87">
        <f t="shared" si="10"/>
        <v>5.4945054945054944E-2</v>
      </c>
      <c r="K69" s="87">
        <f t="shared" si="10"/>
        <v>5.4945054945054944E-2</v>
      </c>
      <c r="L69" s="87">
        <f t="shared" si="10"/>
        <v>5.4945054945054944E-2</v>
      </c>
      <c r="M69" s="87">
        <f t="shared" si="10"/>
        <v>5.4945054945054944E-2</v>
      </c>
      <c r="N69" s="87">
        <f t="shared" si="10"/>
        <v>5.4945054945054944E-2</v>
      </c>
      <c r="O69" s="87">
        <f t="shared" si="10"/>
        <v>5.4945054945054944E-2</v>
      </c>
      <c r="P69" s="87">
        <f t="shared" si="10"/>
        <v>5.4945054945054944E-2</v>
      </c>
      <c r="Q69" s="87">
        <f t="shared" si="10"/>
        <v>5.4945054945054944E-2</v>
      </c>
      <c r="R69" s="87">
        <f t="shared" si="10"/>
        <v>5.4945054945054944E-2</v>
      </c>
      <c r="S69" s="87">
        <f t="shared" si="10"/>
        <v>5.4945054945054944E-2</v>
      </c>
      <c r="T69" s="87">
        <f t="shared" si="10"/>
        <v>5.4945054945054944E-2</v>
      </c>
      <c r="U69" s="87">
        <f t="shared" si="10"/>
        <v>5.4945054945054944E-2</v>
      </c>
      <c r="V69" s="87">
        <f t="shared" si="10"/>
        <v>5.4945054945054944E-2</v>
      </c>
      <c r="W69" s="87">
        <f t="shared" si="10"/>
        <v>5.4945054945054944E-2</v>
      </c>
      <c r="X69" s="87">
        <f t="shared" si="10"/>
        <v>5.4945054945054944E-2</v>
      </c>
    </row>
    <row r="70" spans="2:24" ht="15.75" thickBot="1" x14ac:dyDescent="0.3">
      <c r="B70" s="71" t="s">
        <v>96</v>
      </c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72"/>
      <c r="X70" s="72"/>
    </row>
    <row r="71" spans="2:24" x14ac:dyDescent="0.25">
      <c r="B71" s="93" t="s">
        <v>97</v>
      </c>
      <c r="C71" s="88">
        <f t="shared" ref="C71:X71" si="11">IF(C53&lt;=2,C68/C57*(1+C69*C61)*C56,IF(OR(C51=6,C51="5a",C51="3a"),C67*C48^2/17,(IF(OR(C51="2a",C51=4,C51="5b"),C67*C48^2/12,IF(OR(C51=1,C51="2b",C51="3b"),C67*C48^2/8)))))</f>
        <v>1285.4609544468547</v>
      </c>
      <c r="D71" s="88">
        <f t="shared" si="11"/>
        <v>557.95884955752206</v>
      </c>
      <c r="E71" s="88">
        <f t="shared" si="11"/>
        <v>557.95884955752206</v>
      </c>
      <c r="F71" s="88">
        <f t="shared" si="11"/>
        <v>1040.3124215246635</v>
      </c>
      <c r="G71" s="88">
        <f t="shared" si="11"/>
        <v>828.16627118644055</v>
      </c>
      <c r="H71" s="88">
        <f t="shared" si="11"/>
        <v>476.50394477317548</v>
      </c>
      <c r="I71" s="88">
        <f t="shared" si="11"/>
        <v>213.57056000000006</v>
      </c>
      <c r="J71" s="88">
        <f t="shared" si="11"/>
        <v>104.9176470588235</v>
      </c>
      <c r="K71" s="88">
        <f t="shared" si="11"/>
        <v>450.18235294117648</v>
      </c>
      <c r="L71" s="88">
        <f t="shared" si="11"/>
        <v>476.50394477317548</v>
      </c>
      <c r="M71" s="88">
        <f t="shared" si="11"/>
        <v>772.24125000000004</v>
      </c>
      <c r="N71" s="88">
        <f t="shared" si="11"/>
        <v>172.90758333333335</v>
      </c>
      <c r="O71" s="88">
        <f t="shared" si="11"/>
        <v>172.90758333333335</v>
      </c>
      <c r="P71" s="88">
        <f t="shared" si="11"/>
        <v>172.90758333333335</v>
      </c>
      <c r="Q71" s="88">
        <f t="shared" si="11"/>
        <v>172.90758333333335</v>
      </c>
      <c r="R71" s="88">
        <f t="shared" si="11"/>
        <v>82.021333333333345</v>
      </c>
      <c r="S71" s="88">
        <f t="shared" si="11"/>
        <v>82.021333333333345</v>
      </c>
      <c r="T71" s="88">
        <f t="shared" si="11"/>
        <v>136.16633333333337</v>
      </c>
      <c r="U71" s="88">
        <f t="shared" si="11"/>
        <v>136.16633333333337</v>
      </c>
      <c r="V71" s="88">
        <f t="shared" si="11"/>
        <v>41.526333333333334</v>
      </c>
      <c r="W71" s="88">
        <f t="shared" si="11"/>
        <v>37.158333333333324</v>
      </c>
      <c r="X71" s="88">
        <f t="shared" si="11"/>
        <v>250.46127659574464</v>
      </c>
    </row>
    <row r="72" spans="2:24" x14ac:dyDescent="0.25">
      <c r="B72" s="94" t="s">
        <v>15</v>
      </c>
      <c r="C72" s="89">
        <f t="shared" ref="C72:X72" si="12">C71/(0.9*(0.9*($C$7/100))*($L$9*1000))</f>
        <v>2.648512738068153</v>
      </c>
      <c r="D72" s="89">
        <f t="shared" si="12"/>
        <v>1.1495962714844523</v>
      </c>
      <c r="E72" s="89">
        <f t="shared" si="12"/>
        <v>1.1495962714844523</v>
      </c>
      <c r="F72" s="89">
        <f t="shared" si="12"/>
        <v>2.1434184293557319</v>
      </c>
      <c r="G72" s="89">
        <f t="shared" si="12"/>
        <v>1.7063209200465648</v>
      </c>
      <c r="H72" s="89">
        <f t="shared" si="12"/>
        <v>0.98176981813853725</v>
      </c>
      <c r="I72" s="89">
        <f t="shared" si="12"/>
        <v>0.44003230644975194</v>
      </c>
      <c r="J72" s="89">
        <f t="shared" si="12"/>
        <v>0.21616815642837256</v>
      </c>
      <c r="K72" s="89">
        <f t="shared" si="12"/>
        <v>0.92753785487888452</v>
      </c>
      <c r="L72" s="89">
        <f t="shared" si="12"/>
        <v>0.98176981813853725</v>
      </c>
      <c r="M72" s="89">
        <f t="shared" si="12"/>
        <v>1.5910952257330757</v>
      </c>
      <c r="N72" s="89">
        <f t="shared" si="12"/>
        <v>0.35625192300296132</v>
      </c>
      <c r="O72" s="89">
        <f t="shared" si="12"/>
        <v>0.35625192300296132</v>
      </c>
      <c r="P72" s="89">
        <f t="shared" si="12"/>
        <v>0.35625192300296132</v>
      </c>
      <c r="Q72" s="89">
        <f t="shared" si="12"/>
        <v>0.35625192300296132</v>
      </c>
      <c r="R72" s="89">
        <f t="shared" si="12"/>
        <v>0.16899350024999035</v>
      </c>
      <c r="S72" s="89">
        <f t="shared" si="12"/>
        <v>0.16899350024999035</v>
      </c>
      <c r="T72" s="89">
        <f t="shared" si="12"/>
        <v>0.28055170954963271</v>
      </c>
      <c r="U72" s="89">
        <f t="shared" si="12"/>
        <v>0.28055170954963271</v>
      </c>
      <c r="V72" s="89">
        <f t="shared" si="12"/>
        <v>8.555920926118224E-2</v>
      </c>
      <c r="W72" s="89">
        <f t="shared" si="12"/>
        <v>7.6559555401715274E-2</v>
      </c>
      <c r="X72" s="89">
        <f t="shared" si="12"/>
        <v>0.51604047494549221</v>
      </c>
    </row>
    <row r="73" spans="2:24" x14ac:dyDescent="0.25">
      <c r="B73" s="94" t="s">
        <v>98</v>
      </c>
      <c r="C73" s="91">
        <f t="shared" ref="C73:X73" si="13">(C72*($L$9))/(0.85*$L$6*100)</f>
        <v>6.537274809072488E-2</v>
      </c>
      <c r="D73" s="91">
        <f t="shared" si="13"/>
        <v>2.8375271291542423E-2</v>
      </c>
      <c r="E73" s="91">
        <f t="shared" si="13"/>
        <v>2.8375271291542423E-2</v>
      </c>
      <c r="F73" s="91">
        <f t="shared" si="13"/>
        <v>5.2905599063682432E-2</v>
      </c>
      <c r="G73" s="91">
        <f t="shared" si="13"/>
        <v>4.2116802409453848E-2</v>
      </c>
      <c r="H73" s="91">
        <f t="shared" si="13"/>
        <v>2.4232842108609799E-2</v>
      </c>
      <c r="I73" s="91">
        <f t="shared" si="13"/>
        <v>1.0861235707064236E-2</v>
      </c>
      <c r="J73" s="91">
        <f t="shared" si="13"/>
        <v>5.3356384631685965E-3</v>
      </c>
      <c r="K73" s="91">
        <f t="shared" si="13"/>
        <v>2.2894244630228523E-2</v>
      </c>
      <c r="L73" s="91">
        <f t="shared" si="13"/>
        <v>2.4232842108609799E-2</v>
      </c>
      <c r="M73" s="91">
        <f t="shared" si="13"/>
        <v>3.9272707993872918E-2</v>
      </c>
      <c r="N73" s="91">
        <f t="shared" si="13"/>
        <v>8.7933000602807062E-3</v>
      </c>
      <c r="O73" s="91">
        <f t="shared" si="13"/>
        <v>8.7933000602807062E-3</v>
      </c>
      <c r="P73" s="91">
        <f t="shared" si="13"/>
        <v>8.7933000602807062E-3</v>
      </c>
      <c r="Q73" s="91">
        <f t="shared" si="13"/>
        <v>8.7933000602807062E-3</v>
      </c>
      <c r="R73" s="91">
        <f t="shared" si="13"/>
        <v>4.1712351849478588E-3</v>
      </c>
      <c r="S73" s="91">
        <f t="shared" si="13"/>
        <v>4.1712351849478588E-3</v>
      </c>
      <c r="T73" s="91">
        <f t="shared" si="13"/>
        <v>6.9248057489759403E-3</v>
      </c>
      <c r="U73" s="91">
        <f t="shared" si="13"/>
        <v>6.9248057489759403E-3</v>
      </c>
      <c r="V73" s="91">
        <f t="shared" si="13"/>
        <v>2.1118420740361015E-3</v>
      </c>
      <c r="W73" s="91">
        <f t="shared" si="13"/>
        <v>1.8897052890388777E-3</v>
      </c>
      <c r="X73" s="91">
        <f t="shared" si="13"/>
        <v>1.2737331215494271E-2</v>
      </c>
    </row>
    <row r="74" spans="2:24" ht="15.75" thickBot="1" x14ac:dyDescent="0.3">
      <c r="B74" s="94" t="s">
        <v>15</v>
      </c>
      <c r="C74" s="76">
        <f t="shared" ref="C74:X74" si="14">ROUNDUP(C71/(0.9*(($C$7-C73/2)/100)*($L$9*1000)),2)</f>
        <v>2.3899999999999997</v>
      </c>
      <c r="D74" s="76">
        <f t="shared" si="14"/>
        <v>1.04</v>
      </c>
      <c r="E74" s="76">
        <f t="shared" si="14"/>
        <v>1.04</v>
      </c>
      <c r="F74" s="76">
        <f t="shared" si="14"/>
        <v>1.94</v>
      </c>
      <c r="G74" s="76">
        <f t="shared" si="14"/>
        <v>1.54</v>
      </c>
      <c r="H74" s="76">
        <f t="shared" si="14"/>
        <v>0.89</v>
      </c>
      <c r="I74" s="76">
        <f t="shared" si="14"/>
        <v>0.4</v>
      </c>
      <c r="J74" s="76">
        <f t="shared" si="14"/>
        <v>0.2</v>
      </c>
      <c r="K74" s="76">
        <f t="shared" si="14"/>
        <v>0.84</v>
      </c>
      <c r="L74" s="76">
        <f t="shared" si="14"/>
        <v>0.89</v>
      </c>
      <c r="M74" s="76">
        <f t="shared" si="14"/>
        <v>1.44</v>
      </c>
      <c r="N74" s="76">
        <f t="shared" si="14"/>
        <v>0.33</v>
      </c>
      <c r="O74" s="76">
        <f t="shared" si="14"/>
        <v>0.33</v>
      </c>
      <c r="P74" s="76">
        <f t="shared" si="14"/>
        <v>0.33</v>
      </c>
      <c r="Q74" s="76">
        <f t="shared" si="14"/>
        <v>0.33</v>
      </c>
      <c r="R74" s="76">
        <f t="shared" si="14"/>
        <v>0.16</v>
      </c>
      <c r="S74" s="76">
        <f t="shared" si="14"/>
        <v>0.16</v>
      </c>
      <c r="T74" s="76">
        <f t="shared" si="14"/>
        <v>0.26</v>
      </c>
      <c r="U74" s="76">
        <f t="shared" si="14"/>
        <v>0.26</v>
      </c>
      <c r="V74" s="76">
        <f t="shared" si="14"/>
        <v>0.08</v>
      </c>
      <c r="W74" s="76">
        <f t="shared" si="14"/>
        <v>6.9999999999999993E-2</v>
      </c>
      <c r="X74" s="76">
        <f t="shared" si="14"/>
        <v>0.47000000000000003</v>
      </c>
    </row>
    <row r="75" spans="2:24" ht="16.5" thickBot="1" x14ac:dyDescent="0.3">
      <c r="B75" s="61" t="s">
        <v>100</v>
      </c>
      <c r="C75" s="192" t="str">
        <f>IF(C74&gt;$C$12,"$\phi"&amp;IF(VLOOKUP(VLOOKUP(C74,tablas!$S$3:$U$66,2,TRUE)&amp;VLOOKUP(C74,tablas!$S$3:$U$66,3,TRUE),tablas!$R$3:$S$66,2,FALSE)&lt;C74,VLOOKUP(C74+0.1,tablas!$S$3:$U$66,2,TRUE),VLOOKUP(C74,tablas!$S$3:$U$66,2,TRUE))&amp;"@"&amp;IF(VLOOKUP(VLOOKUP(C74,tablas!$S$3:$U$66,2,TRUE)&amp;VLOOKUP(C74,tablas!$S$3:$U$66,3,TRUE),tablas!$R$3:$S$66,2,FALSE)&lt;C74,VLOOKUP(C74+0.1,tablas!$S$3:$U$66,3,TRUE),VLOOKUP(C74,tablas!$S$3:$U$66,3,TRUE))&amp;"$",$C$13)</f>
        <v>$\phi8@17$</v>
      </c>
      <c r="D75" s="192" t="str">
        <f>IF(D74&gt;$C$12,"$\phi"&amp;IF(VLOOKUP(VLOOKUP(D74,tablas!$S$3:$U$66,2,TRUE)&amp;VLOOKUP(D74,tablas!$S$3:$U$66,3,TRUE),tablas!$R$3:$S$66,2,FALSE)&lt;D74,VLOOKUP(D74+0.1,tablas!$S$3:$U$66,2,TRUE),VLOOKUP(D74,tablas!$S$3:$U$66,2,TRUE))&amp;"@"&amp;IF(VLOOKUP(VLOOKUP(D74,tablas!$S$3:$U$66,2,TRUE)&amp;VLOOKUP(D74,tablas!$S$3:$U$66,3,TRUE),tablas!$R$3:$S$66,2,FALSE)&lt;D74,VLOOKUP(D74+0.1,tablas!$S$3:$U$66,3,TRUE),VLOOKUP(D74,tablas!$S$3:$U$66,3,TRUE))&amp;"$",$C$13)</f>
        <v>$\phi8@17$</v>
      </c>
      <c r="E75" s="192" t="str">
        <f>IF(E74&gt;$C$12,"$\phi"&amp;IF(VLOOKUP(VLOOKUP(E74,tablas!$S$3:$U$66,2,TRUE)&amp;VLOOKUP(E74,tablas!$S$3:$U$66,3,TRUE),tablas!$R$3:$S$66,2,FALSE)&lt;E74,VLOOKUP(E74+0.1,tablas!$S$3:$U$66,2,TRUE),VLOOKUP(E74,tablas!$S$3:$U$66,2,TRUE))&amp;"@"&amp;IF(VLOOKUP(VLOOKUP(E74,tablas!$S$3:$U$66,2,TRUE)&amp;VLOOKUP(E74,tablas!$S$3:$U$66,3,TRUE),tablas!$R$3:$S$66,2,FALSE)&lt;E74,VLOOKUP(E74+0.1,tablas!$S$3:$U$66,3,TRUE),VLOOKUP(E74,tablas!$S$3:$U$66,3,TRUE))&amp;"$",$C$13)</f>
        <v>$\phi8@17$</v>
      </c>
      <c r="F75" s="192" t="str">
        <f>IF(F74&gt;$C$12,"$\phi"&amp;IF(VLOOKUP(VLOOKUP(F74,tablas!$S$3:$U$66,2,TRUE)&amp;VLOOKUP(F74,tablas!$S$3:$U$66,3,TRUE),tablas!$R$3:$S$66,2,FALSE)&lt;F74,VLOOKUP(F74+0.1,tablas!$S$3:$U$66,2,TRUE),VLOOKUP(F74,tablas!$S$3:$U$66,2,TRUE))&amp;"@"&amp;IF(VLOOKUP(VLOOKUP(F74,tablas!$S$3:$U$66,2,TRUE)&amp;VLOOKUP(F74,tablas!$S$3:$U$66,3,TRUE),tablas!$R$3:$S$66,2,FALSE)&lt;F74,VLOOKUP(F74+0.1,tablas!$S$3:$U$66,3,TRUE),VLOOKUP(F74,tablas!$S$3:$U$66,3,TRUE))&amp;"$",$C$13)</f>
        <v>$\phi8@17$</v>
      </c>
      <c r="G75" s="192" t="str">
        <f>IF(G74&gt;$C$12,"$\phi"&amp;IF(VLOOKUP(VLOOKUP(G74,tablas!$S$3:$U$66,2,TRUE)&amp;VLOOKUP(G74,tablas!$S$3:$U$66,3,TRUE),tablas!$R$3:$S$66,2,FALSE)&lt;G74,VLOOKUP(G74+0.1,tablas!$S$3:$U$66,2,TRUE),VLOOKUP(G74,tablas!$S$3:$U$66,2,TRUE))&amp;"@"&amp;IF(VLOOKUP(VLOOKUP(G74,tablas!$S$3:$U$66,2,TRUE)&amp;VLOOKUP(G74,tablas!$S$3:$U$66,3,TRUE),tablas!$R$3:$S$66,2,FALSE)&lt;G74,VLOOKUP(G74+0.1,tablas!$S$3:$U$66,3,TRUE),VLOOKUP(G74,tablas!$S$3:$U$66,3,TRUE))&amp;"$",$C$13)</f>
        <v>$\phi8@17$</v>
      </c>
      <c r="H75" s="192" t="str">
        <f>IF(H74&gt;$C$12,"$\phi"&amp;IF(VLOOKUP(VLOOKUP(H74,tablas!$S$3:$U$66,2,TRUE)&amp;VLOOKUP(H74,tablas!$S$3:$U$66,3,TRUE),tablas!$R$3:$S$66,2,FALSE)&lt;H74,VLOOKUP(H74+0.1,tablas!$S$3:$U$66,2,TRUE),VLOOKUP(H74,tablas!$S$3:$U$66,2,TRUE))&amp;"@"&amp;IF(VLOOKUP(VLOOKUP(H74,tablas!$S$3:$U$66,2,TRUE)&amp;VLOOKUP(H74,tablas!$S$3:$U$66,3,TRUE),tablas!$R$3:$S$66,2,FALSE)&lt;H74,VLOOKUP(H74+0.1,tablas!$S$3:$U$66,3,TRUE),VLOOKUP(H74,tablas!$S$3:$U$66,3,TRUE))&amp;"$",$C$13)</f>
        <v>$\phi8@17$</v>
      </c>
      <c r="I75" s="192" t="str">
        <f>IF(I74&gt;$C$12,"$\phi"&amp;IF(VLOOKUP(VLOOKUP(I74,tablas!$S$3:$U$66,2,TRUE)&amp;VLOOKUP(I74,tablas!$S$3:$U$66,3,TRUE),tablas!$R$3:$S$66,2,FALSE)&lt;I74,VLOOKUP(I74+0.1,tablas!$S$3:$U$66,2,TRUE),VLOOKUP(I74,tablas!$S$3:$U$66,2,TRUE))&amp;"@"&amp;IF(VLOOKUP(VLOOKUP(I74,tablas!$S$3:$U$66,2,TRUE)&amp;VLOOKUP(I74,tablas!$S$3:$U$66,3,TRUE),tablas!$R$3:$S$66,2,FALSE)&lt;I74,VLOOKUP(I74+0.1,tablas!$S$3:$U$66,3,TRUE),VLOOKUP(I74,tablas!$S$3:$U$66,3,TRUE))&amp;"$",$C$13)</f>
        <v>$\phi8@17$</v>
      </c>
      <c r="J75" s="192" t="str">
        <f>IF(J74&gt;$C$12,"$\phi"&amp;IF(VLOOKUP(VLOOKUP(J74,tablas!$S$3:$U$66,2,TRUE)&amp;VLOOKUP(J74,tablas!$S$3:$U$66,3,TRUE),tablas!$R$3:$S$66,2,FALSE)&lt;J74,VLOOKUP(J74+0.1,tablas!$S$3:$U$66,2,TRUE),VLOOKUP(J74,tablas!$S$3:$U$66,2,TRUE))&amp;"@"&amp;IF(VLOOKUP(VLOOKUP(J74,tablas!$S$3:$U$66,2,TRUE)&amp;VLOOKUP(J74,tablas!$S$3:$U$66,3,TRUE),tablas!$R$3:$S$66,2,FALSE)&lt;J74,VLOOKUP(J74+0.1,tablas!$S$3:$U$66,3,TRUE),VLOOKUP(J74,tablas!$S$3:$U$66,3,TRUE))&amp;"$",$C$13)</f>
        <v>$\phi8@17$</v>
      </c>
      <c r="K75" s="192" t="str">
        <f>IF(K74&gt;$C$12,"$\phi"&amp;IF(VLOOKUP(VLOOKUP(K74,tablas!$S$3:$U$66,2,TRUE)&amp;VLOOKUP(K74,tablas!$S$3:$U$66,3,TRUE),tablas!$R$3:$S$66,2,FALSE)&lt;K74,VLOOKUP(K74+0.1,tablas!$S$3:$U$66,2,TRUE),VLOOKUP(K74,tablas!$S$3:$U$66,2,TRUE))&amp;"@"&amp;IF(VLOOKUP(VLOOKUP(K74,tablas!$S$3:$U$66,2,TRUE)&amp;VLOOKUP(K74,tablas!$S$3:$U$66,3,TRUE),tablas!$R$3:$S$66,2,FALSE)&lt;K74,VLOOKUP(K74+0.1,tablas!$S$3:$U$66,3,TRUE),VLOOKUP(K74,tablas!$S$3:$U$66,3,TRUE))&amp;"$",$C$13)</f>
        <v>$\phi8@17$</v>
      </c>
      <c r="L75" s="192" t="str">
        <f>IF(L74&gt;$C$12,"$\phi"&amp;IF(VLOOKUP(VLOOKUP(L74,tablas!$S$3:$U$66,2,TRUE)&amp;VLOOKUP(L74,tablas!$S$3:$U$66,3,TRUE),tablas!$R$3:$S$66,2,FALSE)&lt;L74,VLOOKUP(L74+0.1,tablas!$S$3:$U$66,2,TRUE),VLOOKUP(L74,tablas!$S$3:$U$66,2,TRUE))&amp;"@"&amp;IF(VLOOKUP(VLOOKUP(L74,tablas!$S$3:$U$66,2,TRUE)&amp;VLOOKUP(L74,tablas!$S$3:$U$66,3,TRUE),tablas!$R$3:$S$66,2,FALSE)&lt;L74,VLOOKUP(L74+0.1,tablas!$S$3:$U$66,3,TRUE),VLOOKUP(L74,tablas!$S$3:$U$66,3,TRUE))&amp;"$",$C$13)</f>
        <v>$\phi8@17$</v>
      </c>
      <c r="M75" s="192" t="str">
        <f>IF(M74&gt;$C$12,"$\phi"&amp;IF(VLOOKUP(VLOOKUP(M74,tablas!$S$3:$U$66,2,TRUE)&amp;VLOOKUP(M74,tablas!$S$3:$U$66,3,TRUE),tablas!$R$3:$S$66,2,FALSE)&lt;M74,VLOOKUP(M74+0.1,tablas!$S$3:$U$66,2,TRUE),VLOOKUP(M74,tablas!$S$3:$U$66,2,TRUE))&amp;"@"&amp;IF(VLOOKUP(VLOOKUP(M74,tablas!$S$3:$U$66,2,TRUE)&amp;VLOOKUP(M74,tablas!$S$3:$U$66,3,TRUE),tablas!$R$3:$S$66,2,FALSE)&lt;M74,VLOOKUP(M74+0.1,tablas!$S$3:$U$66,3,TRUE),VLOOKUP(M74,tablas!$S$3:$U$66,3,TRUE))&amp;"$",$C$13)</f>
        <v>$\phi8@17$</v>
      </c>
      <c r="N75" s="192" t="str">
        <f>IF(N74&gt;$C$12,"$\phi"&amp;IF(VLOOKUP(VLOOKUP(N74,tablas!$S$3:$U$66,2,TRUE)&amp;VLOOKUP(N74,tablas!$S$3:$U$66,3,TRUE),tablas!$R$3:$S$66,2,FALSE)&lt;N74,VLOOKUP(N74+0.1,tablas!$S$3:$U$66,2,TRUE),VLOOKUP(N74,tablas!$S$3:$U$66,2,TRUE))&amp;"@"&amp;IF(VLOOKUP(VLOOKUP(N74,tablas!$S$3:$U$66,2,TRUE)&amp;VLOOKUP(N74,tablas!$S$3:$U$66,3,TRUE),tablas!$R$3:$S$66,2,FALSE)&lt;N74,VLOOKUP(N74+0.1,tablas!$S$3:$U$66,3,TRUE),VLOOKUP(N74,tablas!$S$3:$U$66,3,TRUE))&amp;"$",$C$13)</f>
        <v>$\phi8@17$</v>
      </c>
      <c r="O75" s="192" t="str">
        <f>IF(O74&gt;$C$12,"$\phi"&amp;IF(VLOOKUP(VLOOKUP(O74,tablas!$S$3:$U$66,2,TRUE)&amp;VLOOKUP(O74,tablas!$S$3:$U$66,3,TRUE),tablas!$R$3:$S$66,2,FALSE)&lt;O74,VLOOKUP(O74+0.1,tablas!$S$3:$U$66,2,TRUE),VLOOKUP(O74,tablas!$S$3:$U$66,2,TRUE))&amp;"@"&amp;IF(VLOOKUP(VLOOKUP(O74,tablas!$S$3:$U$66,2,TRUE)&amp;VLOOKUP(O74,tablas!$S$3:$U$66,3,TRUE),tablas!$R$3:$S$66,2,FALSE)&lt;O74,VLOOKUP(O74+0.1,tablas!$S$3:$U$66,3,TRUE),VLOOKUP(O74,tablas!$S$3:$U$66,3,TRUE))&amp;"$",$C$13)</f>
        <v>$\phi8@17$</v>
      </c>
      <c r="P75" s="192" t="str">
        <f>IF(P74&gt;$C$12,"$\phi"&amp;IF(VLOOKUP(VLOOKUP(P74,tablas!$S$3:$U$66,2,TRUE)&amp;VLOOKUP(P74,tablas!$S$3:$U$66,3,TRUE),tablas!$R$3:$S$66,2,FALSE)&lt;P74,VLOOKUP(P74+0.1,tablas!$S$3:$U$66,2,TRUE),VLOOKUP(P74,tablas!$S$3:$U$66,2,TRUE))&amp;"@"&amp;IF(VLOOKUP(VLOOKUP(P74,tablas!$S$3:$U$66,2,TRUE)&amp;VLOOKUP(P74,tablas!$S$3:$U$66,3,TRUE),tablas!$R$3:$S$66,2,FALSE)&lt;P74,VLOOKUP(P74+0.1,tablas!$S$3:$U$66,3,TRUE),VLOOKUP(P74,tablas!$S$3:$U$66,3,TRUE))&amp;"$",$C$13)</f>
        <v>$\phi8@17$</v>
      </c>
      <c r="Q75" s="192" t="str">
        <f>IF(Q74&gt;$C$12,"$\phi"&amp;IF(VLOOKUP(VLOOKUP(Q74,tablas!$S$3:$U$66,2,TRUE)&amp;VLOOKUP(Q74,tablas!$S$3:$U$66,3,TRUE),tablas!$R$3:$S$66,2,FALSE)&lt;Q74,VLOOKUP(Q74+0.1,tablas!$S$3:$U$66,2,TRUE),VLOOKUP(Q74,tablas!$S$3:$U$66,2,TRUE))&amp;"@"&amp;IF(VLOOKUP(VLOOKUP(Q74,tablas!$S$3:$U$66,2,TRUE)&amp;VLOOKUP(Q74,tablas!$S$3:$U$66,3,TRUE),tablas!$R$3:$S$66,2,FALSE)&lt;Q74,VLOOKUP(Q74+0.1,tablas!$S$3:$U$66,3,TRUE),VLOOKUP(Q74,tablas!$S$3:$U$66,3,TRUE))&amp;"$",$C$13)</f>
        <v>$\phi8@17$</v>
      </c>
      <c r="R75" s="192" t="str">
        <f>IF(R74&gt;$C$12,"$\phi"&amp;IF(VLOOKUP(VLOOKUP(R74,tablas!$S$3:$U$66,2,TRUE)&amp;VLOOKUP(R74,tablas!$S$3:$U$66,3,TRUE),tablas!$R$3:$S$66,2,FALSE)&lt;R74,VLOOKUP(R74+0.1,tablas!$S$3:$U$66,2,TRUE),VLOOKUP(R74,tablas!$S$3:$U$66,2,TRUE))&amp;"@"&amp;IF(VLOOKUP(VLOOKUP(R74,tablas!$S$3:$U$66,2,TRUE)&amp;VLOOKUP(R74,tablas!$S$3:$U$66,3,TRUE),tablas!$R$3:$S$66,2,FALSE)&lt;R74,VLOOKUP(R74+0.1,tablas!$S$3:$U$66,3,TRUE),VLOOKUP(R74,tablas!$S$3:$U$66,3,TRUE))&amp;"$",$C$13)</f>
        <v>$\phi8@17$</v>
      </c>
      <c r="S75" s="192" t="str">
        <f>IF(S74&gt;$C$12,"$\phi"&amp;IF(VLOOKUP(VLOOKUP(S74,tablas!$S$3:$U$66,2,TRUE)&amp;VLOOKUP(S74,tablas!$S$3:$U$66,3,TRUE),tablas!$R$3:$S$66,2,FALSE)&lt;S74,VLOOKUP(S74+0.1,tablas!$S$3:$U$66,2,TRUE),VLOOKUP(S74,tablas!$S$3:$U$66,2,TRUE))&amp;"@"&amp;IF(VLOOKUP(VLOOKUP(S74,tablas!$S$3:$U$66,2,TRUE)&amp;VLOOKUP(S74,tablas!$S$3:$U$66,3,TRUE),tablas!$R$3:$S$66,2,FALSE)&lt;S74,VLOOKUP(S74+0.1,tablas!$S$3:$U$66,3,TRUE),VLOOKUP(S74,tablas!$S$3:$U$66,3,TRUE))&amp;"$",$C$13)</f>
        <v>$\phi8@17$</v>
      </c>
      <c r="T75" s="192" t="str">
        <f>IF(T74&gt;$C$12,"$\phi"&amp;IF(VLOOKUP(VLOOKUP(T74,tablas!$S$3:$U$66,2,TRUE)&amp;VLOOKUP(T74,tablas!$S$3:$U$66,3,TRUE),tablas!$R$3:$S$66,2,FALSE)&lt;T74,VLOOKUP(T74+0.1,tablas!$S$3:$U$66,2,TRUE),VLOOKUP(T74,tablas!$S$3:$U$66,2,TRUE))&amp;"@"&amp;IF(VLOOKUP(VLOOKUP(T74,tablas!$S$3:$U$66,2,TRUE)&amp;VLOOKUP(T74,tablas!$S$3:$U$66,3,TRUE),tablas!$R$3:$S$66,2,FALSE)&lt;T74,VLOOKUP(T74+0.1,tablas!$S$3:$U$66,3,TRUE),VLOOKUP(T74,tablas!$S$3:$U$66,3,TRUE))&amp;"$",$C$13)</f>
        <v>$\phi8@17$</v>
      </c>
      <c r="U75" s="192" t="str">
        <f>IF(U74&gt;$C$12,"$\phi"&amp;IF(VLOOKUP(VLOOKUP(U74,tablas!$S$3:$U$66,2,TRUE)&amp;VLOOKUP(U74,tablas!$S$3:$U$66,3,TRUE),tablas!$R$3:$S$66,2,FALSE)&lt;U74,VLOOKUP(U74+0.1,tablas!$S$3:$U$66,2,TRUE),VLOOKUP(U74,tablas!$S$3:$U$66,2,TRUE))&amp;"@"&amp;IF(VLOOKUP(VLOOKUP(U74,tablas!$S$3:$U$66,2,TRUE)&amp;VLOOKUP(U74,tablas!$S$3:$U$66,3,TRUE),tablas!$R$3:$S$66,2,FALSE)&lt;U74,VLOOKUP(U74+0.1,tablas!$S$3:$U$66,3,TRUE),VLOOKUP(U74,tablas!$S$3:$U$66,3,TRUE))&amp;"$",$C$13)</f>
        <v>$\phi8@17$</v>
      </c>
      <c r="V75" s="192" t="str">
        <f>IF(V74&gt;$C$12,"$\phi"&amp;IF(VLOOKUP(VLOOKUP(V74,tablas!$S$3:$U$66,2,TRUE)&amp;VLOOKUP(V74,tablas!$S$3:$U$66,3,TRUE),tablas!$R$3:$S$66,2,FALSE)&lt;V74,VLOOKUP(V74+0.1,tablas!$S$3:$U$66,2,TRUE),VLOOKUP(V74,tablas!$S$3:$U$66,2,TRUE))&amp;"@"&amp;IF(VLOOKUP(VLOOKUP(V74,tablas!$S$3:$U$66,2,TRUE)&amp;VLOOKUP(V74,tablas!$S$3:$U$66,3,TRUE),tablas!$R$3:$S$66,2,FALSE)&lt;V74,VLOOKUP(V74+0.1,tablas!$S$3:$U$66,3,TRUE),VLOOKUP(V74,tablas!$S$3:$U$66,3,TRUE))&amp;"$",$C$13)</f>
        <v>$\phi8@17$</v>
      </c>
      <c r="W75" s="192" t="str">
        <f>IF(W74&gt;$C$12,"$\phi"&amp;IF(VLOOKUP(VLOOKUP(W74,tablas!$S$3:$U$66,2,TRUE)&amp;VLOOKUP(W74,tablas!$S$3:$U$66,3,TRUE),tablas!$R$3:$S$66,2,FALSE)&lt;W74,VLOOKUP(W74+0.1,tablas!$S$3:$U$66,2,TRUE),VLOOKUP(W74,tablas!$S$3:$U$66,2,TRUE))&amp;"@"&amp;IF(VLOOKUP(VLOOKUP(W74,tablas!$S$3:$U$66,2,TRUE)&amp;VLOOKUP(W74,tablas!$S$3:$U$66,3,TRUE),tablas!$R$3:$S$66,2,FALSE)&lt;W74,VLOOKUP(W74+0.1,tablas!$S$3:$U$66,3,TRUE),VLOOKUP(W74,tablas!$S$3:$U$66,3,TRUE))&amp;"$",$C$13)</f>
        <v>$\phi8@17$</v>
      </c>
      <c r="X75" s="192" t="str">
        <f>IF(X74&gt;$C$12,"$\phi"&amp;IF(VLOOKUP(VLOOKUP(X74,tablas!$S$3:$U$66,2,TRUE)&amp;VLOOKUP(X74,tablas!$S$3:$U$66,3,TRUE),tablas!$R$3:$S$66,2,FALSE)&lt;X74,VLOOKUP(X74+0.1,tablas!$S$3:$U$66,2,TRUE),VLOOKUP(X74,tablas!$S$3:$U$66,2,TRUE))&amp;"@"&amp;IF(VLOOKUP(VLOOKUP(X74,tablas!$S$3:$U$66,2,TRUE)&amp;VLOOKUP(X74,tablas!$S$3:$U$66,3,TRUE),tablas!$R$3:$S$66,2,FALSE)&lt;X74,VLOOKUP(X74+0.1,tablas!$S$3:$U$66,3,TRUE),VLOOKUP(X74,tablas!$S$3:$U$66,3,TRUE))&amp;"$",$C$13)</f>
        <v>$\phi8@17$</v>
      </c>
    </row>
    <row r="76" spans="2:24" x14ac:dyDescent="0.25">
      <c r="B76" s="93" t="s">
        <v>102</v>
      </c>
      <c r="C76" s="88">
        <f t="shared" ref="C76:X76" si="15">IF(C53&lt;=2,C68/C58*(1+C69*C62)*C56,"0")</f>
        <v>363.55674846625766</v>
      </c>
      <c r="D76" s="88">
        <f t="shared" si="15"/>
        <v>263.80481171548115</v>
      </c>
      <c r="E76" s="88">
        <f t="shared" si="15"/>
        <v>263.80481171548115</v>
      </c>
      <c r="F76" s="88">
        <f t="shared" si="15"/>
        <v>397.92396226415093</v>
      </c>
      <c r="G76" s="88">
        <f t="shared" si="15"/>
        <v>495.43026615969575</v>
      </c>
      <c r="H76" s="88">
        <f t="shared" si="15"/>
        <v>364.38536953242829</v>
      </c>
      <c r="I76" s="88">
        <f t="shared" si="15"/>
        <v>39.186</v>
      </c>
      <c r="J76" s="88" t="str">
        <f t="shared" si="15"/>
        <v>0</v>
      </c>
      <c r="K76" s="88" t="str">
        <f t="shared" si="15"/>
        <v>0</v>
      </c>
      <c r="L76" s="88">
        <f t="shared" si="15"/>
        <v>364.38536953242829</v>
      </c>
      <c r="M76" s="88">
        <f t="shared" si="15"/>
        <v>461.97448669201526</v>
      </c>
      <c r="N76" s="88" t="str">
        <f t="shared" si="15"/>
        <v>0</v>
      </c>
      <c r="O76" s="88" t="str">
        <f t="shared" si="15"/>
        <v>0</v>
      </c>
      <c r="P76" s="88" t="str">
        <f t="shared" si="15"/>
        <v>0</v>
      </c>
      <c r="Q76" s="88" t="str">
        <f t="shared" si="15"/>
        <v>0</v>
      </c>
      <c r="R76" s="88" t="str">
        <f t="shared" si="15"/>
        <v>0</v>
      </c>
      <c r="S76" s="88" t="str">
        <f t="shared" si="15"/>
        <v>0</v>
      </c>
      <c r="T76" s="88" t="str">
        <f t="shared" si="15"/>
        <v>0</v>
      </c>
      <c r="U76" s="88" t="str">
        <f t="shared" si="15"/>
        <v>0</v>
      </c>
      <c r="V76" s="88" t="str">
        <f t="shared" si="15"/>
        <v>0</v>
      </c>
      <c r="W76" s="88" t="str">
        <f t="shared" si="15"/>
        <v>0</v>
      </c>
      <c r="X76" s="88">
        <f t="shared" si="15"/>
        <v>65.088167832167812</v>
      </c>
    </row>
    <row r="77" spans="2:24" x14ac:dyDescent="0.25">
      <c r="B77" s="94" t="s">
        <v>15</v>
      </c>
      <c r="C77" s="84">
        <f t="shared" ref="C77:X77" si="16">C76/(0.9*(0.9*($C$7/100))*($L$9*1000))</f>
        <v>0.74905789708553283</v>
      </c>
      <c r="D77" s="84">
        <f t="shared" si="16"/>
        <v>0.54353296517884153</v>
      </c>
      <c r="E77" s="84">
        <f t="shared" si="16"/>
        <v>0.54353296517884153</v>
      </c>
      <c r="F77" s="84">
        <f t="shared" si="16"/>
        <v>0.81986674055973974</v>
      </c>
      <c r="G77" s="84">
        <f t="shared" si="16"/>
        <v>1.0207648596476282</v>
      </c>
      <c r="H77" s="84">
        <f t="shared" si="16"/>
        <v>0.75076515504711672</v>
      </c>
      <c r="I77" s="84">
        <f t="shared" si="16"/>
        <v>8.0737279335410153E-2</v>
      </c>
      <c r="J77" s="84">
        <f t="shared" si="16"/>
        <v>0</v>
      </c>
      <c r="K77" s="84">
        <f t="shared" si="16"/>
        <v>0</v>
      </c>
      <c r="L77" s="84">
        <f t="shared" si="16"/>
        <v>0.75076515504711672</v>
      </c>
      <c r="M77" s="84">
        <f t="shared" si="16"/>
        <v>0.95183389929786033</v>
      </c>
      <c r="N77" s="84">
        <f t="shared" si="16"/>
        <v>0</v>
      </c>
      <c r="O77" s="84">
        <f t="shared" si="16"/>
        <v>0</v>
      </c>
      <c r="P77" s="84">
        <f t="shared" si="16"/>
        <v>0</v>
      </c>
      <c r="Q77" s="84">
        <f t="shared" si="16"/>
        <v>0</v>
      </c>
      <c r="R77" s="84">
        <f t="shared" si="16"/>
        <v>0</v>
      </c>
      <c r="S77" s="84">
        <f t="shared" si="16"/>
        <v>0</v>
      </c>
      <c r="T77" s="84">
        <f t="shared" si="16"/>
        <v>0</v>
      </c>
      <c r="U77" s="84">
        <f t="shared" si="16"/>
        <v>0</v>
      </c>
      <c r="V77" s="84">
        <f t="shared" si="16"/>
        <v>0</v>
      </c>
      <c r="W77" s="84">
        <f t="shared" si="16"/>
        <v>0</v>
      </c>
      <c r="X77" s="84">
        <f t="shared" si="16"/>
        <v>0.1341050780303116</v>
      </c>
    </row>
    <row r="78" spans="2:24" x14ac:dyDescent="0.25">
      <c r="B78" s="94" t="s">
        <v>98</v>
      </c>
      <c r="C78" s="84">
        <f t="shared" ref="C78:X78" si="17">(C77*($L$9))/(0.85*$L$6*100)</f>
        <v>1.8488856975352252E-2</v>
      </c>
      <c r="D78" s="84">
        <f t="shared" si="17"/>
        <v>1.3415923246628846E-2</v>
      </c>
      <c r="E78" s="84">
        <f t="shared" si="17"/>
        <v>1.3415923246628846E-2</v>
      </c>
      <c r="F78" s="84">
        <f t="shared" si="17"/>
        <v>2.0236618509779043E-2</v>
      </c>
      <c r="G78" s="84">
        <f t="shared" si="17"/>
        <v>2.519534947688494E-2</v>
      </c>
      <c r="H78" s="84">
        <f t="shared" si="17"/>
        <v>1.8530996906583965E-2</v>
      </c>
      <c r="I78" s="84">
        <f t="shared" si="17"/>
        <v>1.9928232731000889E-3</v>
      </c>
      <c r="J78" s="84">
        <f t="shared" si="17"/>
        <v>0</v>
      </c>
      <c r="K78" s="84">
        <f t="shared" si="17"/>
        <v>0</v>
      </c>
      <c r="L78" s="84">
        <f t="shared" si="17"/>
        <v>1.8530996906583965E-2</v>
      </c>
      <c r="M78" s="84">
        <f t="shared" si="17"/>
        <v>2.3493939382899898E-2</v>
      </c>
      <c r="N78" s="84">
        <f t="shared" si="17"/>
        <v>0</v>
      </c>
      <c r="O78" s="84">
        <f t="shared" si="17"/>
        <v>0</v>
      </c>
      <c r="P78" s="84">
        <f t="shared" si="17"/>
        <v>0</v>
      </c>
      <c r="Q78" s="84">
        <f t="shared" si="17"/>
        <v>0</v>
      </c>
      <c r="R78" s="84">
        <f t="shared" si="17"/>
        <v>0</v>
      </c>
      <c r="S78" s="84">
        <f t="shared" si="17"/>
        <v>0</v>
      </c>
      <c r="T78" s="84">
        <f t="shared" si="17"/>
        <v>0</v>
      </c>
      <c r="U78" s="84">
        <f t="shared" si="17"/>
        <v>0</v>
      </c>
      <c r="V78" s="84">
        <f t="shared" si="17"/>
        <v>0</v>
      </c>
      <c r="W78" s="84">
        <f t="shared" si="17"/>
        <v>0</v>
      </c>
      <c r="X78" s="84">
        <f t="shared" si="17"/>
        <v>3.3100907380030778E-3</v>
      </c>
    </row>
    <row r="79" spans="2:24" ht="15.75" thickBot="1" x14ac:dyDescent="0.3">
      <c r="B79" s="94" t="s">
        <v>15</v>
      </c>
      <c r="C79" s="76">
        <f t="shared" ref="C79:X79" si="18">ROUNDUP(C76/(0.9*(($C$7-C78/2)/100)*($L$9*1000)),2)</f>
        <v>0.68</v>
      </c>
      <c r="D79" s="76">
        <f t="shared" si="18"/>
        <v>0.49</v>
      </c>
      <c r="E79" s="76">
        <f t="shared" si="18"/>
        <v>0.49</v>
      </c>
      <c r="F79" s="76">
        <f t="shared" si="18"/>
        <v>0.74</v>
      </c>
      <c r="G79" s="76">
        <f t="shared" si="18"/>
        <v>0.92</v>
      </c>
      <c r="H79" s="76">
        <f t="shared" si="18"/>
        <v>0.68</v>
      </c>
      <c r="I79" s="76">
        <f t="shared" si="18"/>
        <v>0.08</v>
      </c>
      <c r="J79" s="76">
        <f t="shared" si="18"/>
        <v>0</v>
      </c>
      <c r="K79" s="76">
        <f t="shared" si="18"/>
        <v>0</v>
      </c>
      <c r="L79" s="76">
        <f t="shared" si="18"/>
        <v>0.68</v>
      </c>
      <c r="M79" s="76">
        <f t="shared" si="18"/>
        <v>0.86</v>
      </c>
      <c r="N79" s="76">
        <f t="shared" si="18"/>
        <v>0</v>
      </c>
      <c r="O79" s="76">
        <f t="shared" si="18"/>
        <v>0</v>
      </c>
      <c r="P79" s="76">
        <f t="shared" si="18"/>
        <v>0</v>
      </c>
      <c r="Q79" s="76">
        <f t="shared" si="18"/>
        <v>0</v>
      </c>
      <c r="R79" s="76">
        <f t="shared" si="18"/>
        <v>0</v>
      </c>
      <c r="S79" s="76">
        <f t="shared" si="18"/>
        <v>0</v>
      </c>
      <c r="T79" s="76">
        <f t="shared" si="18"/>
        <v>0</v>
      </c>
      <c r="U79" s="76">
        <f t="shared" si="18"/>
        <v>0</v>
      </c>
      <c r="V79" s="76">
        <f t="shared" si="18"/>
        <v>0</v>
      </c>
      <c r="W79" s="76">
        <f t="shared" si="18"/>
        <v>0</v>
      </c>
      <c r="X79" s="76">
        <f t="shared" si="18"/>
        <v>0.13</v>
      </c>
    </row>
    <row r="80" spans="2:24" ht="16.5" thickBot="1" x14ac:dyDescent="0.3">
      <c r="B80" s="61" t="s">
        <v>101</v>
      </c>
      <c r="C80" s="192" t="str">
        <f>IF(C79&gt;$C$12,"$\phi"&amp;IF(VLOOKUP(VLOOKUP(C79,tablas!$S$3:$U$66,2,TRUE)&amp;VLOOKUP(C79,tablas!$S$3:$U$66,3,TRUE),tablas!$R$3:$S$66,2,FALSE)&lt;C79,VLOOKUP(C79+0.1,tablas!$S$3:$U$66,2,TRUE),VLOOKUP(C79,tablas!$S$3:$U$66,2,TRUE))&amp;"@"&amp;IF(VLOOKUP(VLOOKUP(C79,tablas!$S$3:$U$66,2,TRUE)&amp;VLOOKUP(C79,tablas!$S$3:$U$66,3,TRUE),tablas!$R$3:$S$66,2,FALSE)&lt;C79,VLOOKUP(C79+0.1,tablas!$S$3:$U$66,3,TRUE),VLOOKUP(C79,tablas!$S$3:$U$66,3,TRUE))&amp;"$",$C$13)</f>
        <v>$\phi8@17$</v>
      </c>
      <c r="D80" s="192" t="str">
        <f>IF(D79&gt;$C$12,"$\phi"&amp;IF(VLOOKUP(VLOOKUP(D79,tablas!$S$3:$U$66,2,TRUE)&amp;VLOOKUP(D79,tablas!$S$3:$U$66,3,TRUE),tablas!$R$3:$S$66,2,FALSE)&lt;D79,VLOOKUP(D79+0.1,tablas!$S$3:$U$66,2,TRUE),VLOOKUP(D79,tablas!$S$3:$U$66,2,TRUE))&amp;"@"&amp;IF(VLOOKUP(VLOOKUP(D79,tablas!$S$3:$U$66,2,TRUE)&amp;VLOOKUP(D79,tablas!$S$3:$U$66,3,TRUE),tablas!$R$3:$S$66,2,FALSE)&lt;D79,VLOOKUP(D79+0.1,tablas!$S$3:$U$66,3,TRUE),VLOOKUP(D79,tablas!$S$3:$U$66,3,TRUE))&amp;"$",$C$13)</f>
        <v>$\phi8@17$</v>
      </c>
      <c r="E80" s="192" t="str">
        <f>IF(E79&gt;$C$12,"$\phi"&amp;IF(VLOOKUP(VLOOKUP(E79,tablas!$S$3:$U$66,2,TRUE)&amp;VLOOKUP(E79,tablas!$S$3:$U$66,3,TRUE),tablas!$R$3:$S$66,2,FALSE)&lt;E79,VLOOKUP(E79+0.1,tablas!$S$3:$U$66,2,TRUE),VLOOKUP(E79,tablas!$S$3:$U$66,2,TRUE))&amp;"@"&amp;IF(VLOOKUP(VLOOKUP(E79,tablas!$S$3:$U$66,2,TRUE)&amp;VLOOKUP(E79,tablas!$S$3:$U$66,3,TRUE),tablas!$R$3:$S$66,2,FALSE)&lt;E79,VLOOKUP(E79+0.1,tablas!$S$3:$U$66,3,TRUE),VLOOKUP(E79,tablas!$S$3:$U$66,3,TRUE))&amp;"$",$C$13)</f>
        <v>$\phi8@17$</v>
      </c>
      <c r="F80" s="192" t="str">
        <f>IF(F79&gt;$C$12,"$\phi"&amp;IF(VLOOKUP(VLOOKUP(F79,tablas!$S$3:$U$66,2,TRUE)&amp;VLOOKUP(F79,tablas!$S$3:$U$66,3,TRUE),tablas!$R$3:$S$66,2,FALSE)&lt;F79,VLOOKUP(F79+0.1,tablas!$S$3:$U$66,2,TRUE),VLOOKUP(F79,tablas!$S$3:$U$66,2,TRUE))&amp;"@"&amp;IF(VLOOKUP(VLOOKUP(F79,tablas!$S$3:$U$66,2,TRUE)&amp;VLOOKUP(F79,tablas!$S$3:$U$66,3,TRUE),tablas!$R$3:$S$66,2,FALSE)&lt;F79,VLOOKUP(F79+0.1,tablas!$S$3:$U$66,3,TRUE),VLOOKUP(F79,tablas!$S$3:$U$66,3,TRUE))&amp;"$",$C$13)</f>
        <v>$\phi8@17$</v>
      </c>
      <c r="G80" s="192" t="str">
        <f>IF(G79&gt;$C$12,"$\phi"&amp;IF(VLOOKUP(VLOOKUP(G79,tablas!$S$3:$U$66,2,TRUE)&amp;VLOOKUP(G79,tablas!$S$3:$U$66,3,TRUE),tablas!$R$3:$S$66,2,FALSE)&lt;G79,VLOOKUP(G79+0.1,tablas!$S$3:$U$66,2,TRUE),VLOOKUP(G79,tablas!$S$3:$U$66,2,TRUE))&amp;"@"&amp;IF(VLOOKUP(VLOOKUP(G79,tablas!$S$3:$U$66,2,TRUE)&amp;VLOOKUP(G79,tablas!$S$3:$U$66,3,TRUE),tablas!$R$3:$S$66,2,FALSE)&lt;G79,VLOOKUP(G79+0.1,tablas!$S$3:$U$66,3,TRUE),VLOOKUP(G79,tablas!$S$3:$U$66,3,TRUE))&amp;"$",$C$13)</f>
        <v>$\phi8@17$</v>
      </c>
      <c r="H80" s="192" t="str">
        <f>IF(H79&gt;$C$12,"$\phi"&amp;IF(VLOOKUP(VLOOKUP(H79,tablas!$S$3:$U$66,2,TRUE)&amp;VLOOKUP(H79,tablas!$S$3:$U$66,3,TRUE),tablas!$R$3:$S$66,2,FALSE)&lt;H79,VLOOKUP(H79+0.1,tablas!$S$3:$U$66,2,TRUE),VLOOKUP(H79,tablas!$S$3:$U$66,2,TRUE))&amp;"@"&amp;IF(VLOOKUP(VLOOKUP(H79,tablas!$S$3:$U$66,2,TRUE)&amp;VLOOKUP(H79,tablas!$S$3:$U$66,3,TRUE),tablas!$R$3:$S$66,2,FALSE)&lt;H79,VLOOKUP(H79+0.1,tablas!$S$3:$U$66,3,TRUE),VLOOKUP(H79,tablas!$S$3:$U$66,3,TRUE))&amp;"$",$C$13)</f>
        <v>$\phi8@17$</v>
      </c>
      <c r="I80" s="192" t="str">
        <f>IF(I79&gt;$C$12,"$\phi"&amp;IF(VLOOKUP(VLOOKUP(I79,tablas!$S$3:$U$66,2,TRUE)&amp;VLOOKUP(I79,tablas!$S$3:$U$66,3,TRUE),tablas!$R$3:$S$66,2,FALSE)&lt;I79,VLOOKUP(I79+0.1,tablas!$S$3:$U$66,2,TRUE),VLOOKUP(I79,tablas!$S$3:$U$66,2,TRUE))&amp;"@"&amp;IF(VLOOKUP(VLOOKUP(I79,tablas!$S$3:$U$66,2,TRUE)&amp;VLOOKUP(I79,tablas!$S$3:$U$66,3,TRUE),tablas!$R$3:$S$66,2,FALSE)&lt;I79,VLOOKUP(I79+0.1,tablas!$S$3:$U$66,3,TRUE),VLOOKUP(I79,tablas!$S$3:$U$66,3,TRUE))&amp;"$",$C$13)</f>
        <v>$\phi8@17$</v>
      </c>
      <c r="J80" s="192" t="str">
        <f>IF(J79&gt;$C$12,"$\phi"&amp;IF(VLOOKUP(VLOOKUP(J79,tablas!$S$3:$U$66,2,TRUE)&amp;VLOOKUP(J79,tablas!$S$3:$U$66,3,TRUE),tablas!$R$3:$S$66,2,FALSE)&lt;J79,VLOOKUP(J79+0.1,tablas!$S$3:$U$66,2,TRUE),VLOOKUP(J79,tablas!$S$3:$U$66,2,TRUE))&amp;"@"&amp;IF(VLOOKUP(VLOOKUP(J79,tablas!$S$3:$U$66,2,TRUE)&amp;VLOOKUP(J79,tablas!$S$3:$U$66,3,TRUE),tablas!$R$3:$S$66,2,FALSE)&lt;J79,VLOOKUP(J79+0.1,tablas!$S$3:$U$66,3,TRUE),VLOOKUP(J79,tablas!$S$3:$U$66,3,TRUE))&amp;"$",$C$13)</f>
        <v>$\phi8@17$</v>
      </c>
      <c r="K80" s="192" t="str">
        <f>IF(K79&gt;$C$12,"$\phi"&amp;IF(VLOOKUP(VLOOKUP(K79,tablas!$S$3:$U$66,2,TRUE)&amp;VLOOKUP(K79,tablas!$S$3:$U$66,3,TRUE),tablas!$R$3:$S$66,2,FALSE)&lt;K79,VLOOKUP(K79+0.1,tablas!$S$3:$U$66,2,TRUE),VLOOKUP(K79,tablas!$S$3:$U$66,2,TRUE))&amp;"@"&amp;IF(VLOOKUP(VLOOKUP(K79,tablas!$S$3:$U$66,2,TRUE)&amp;VLOOKUP(K79,tablas!$S$3:$U$66,3,TRUE),tablas!$R$3:$S$66,2,FALSE)&lt;K79,VLOOKUP(K79+0.1,tablas!$S$3:$U$66,3,TRUE),VLOOKUP(K79,tablas!$S$3:$U$66,3,TRUE))&amp;"$",$C$13)</f>
        <v>$\phi8@17$</v>
      </c>
      <c r="L80" s="192" t="str">
        <f>IF(L79&gt;$C$12,"$\phi"&amp;IF(VLOOKUP(VLOOKUP(L79,tablas!$S$3:$U$66,2,TRUE)&amp;VLOOKUP(L79,tablas!$S$3:$U$66,3,TRUE),tablas!$R$3:$S$66,2,FALSE)&lt;L79,VLOOKUP(L79+0.1,tablas!$S$3:$U$66,2,TRUE),VLOOKUP(L79,tablas!$S$3:$U$66,2,TRUE))&amp;"@"&amp;IF(VLOOKUP(VLOOKUP(L79,tablas!$S$3:$U$66,2,TRUE)&amp;VLOOKUP(L79,tablas!$S$3:$U$66,3,TRUE),tablas!$R$3:$S$66,2,FALSE)&lt;L79,VLOOKUP(L79+0.1,tablas!$S$3:$U$66,3,TRUE),VLOOKUP(L79,tablas!$S$3:$U$66,3,TRUE))&amp;"$",$C$13)</f>
        <v>$\phi8@17$</v>
      </c>
      <c r="M80" s="192" t="str">
        <f>IF(M79&gt;$C$12,"$\phi"&amp;IF(VLOOKUP(VLOOKUP(M79,tablas!$S$3:$U$66,2,TRUE)&amp;VLOOKUP(M79,tablas!$S$3:$U$66,3,TRUE),tablas!$R$3:$S$66,2,FALSE)&lt;M79,VLOOKUP(M79+0.1,tablas!$S$3:$U$66,2,TRUE),VLOOKUP(M79,tablas!$S$3:$U$66,2,TRUE))&amp;"@"&amp;IF(VLOOKUP(VLOOKUP(M79,tablas!$S$3:$U$66,2,TRUE)&amp;VLOOKUP(M79,tablas!$S$3:$U$66,3,TRUE),tablas!$R$3:$S$66,2,FALSE)&lt;M79,VLOOKUP(M79+0.1,tablas!$S$3:$U$66,3,TRUE),VLOOKUP(M79,tablas!$S$3:$U$66,3,TRUE))&amp;"$",$C$13)</f>
        <v>$\phi8@17$</v>
      </c>
      <c r="N80" s="192" t="str">
        <f>IF(N79&gt;$C$12,"$\phi"&amp;IF(VLOOKUP(VLOOKUP(N79,tablas!$S$3:$U$66,2,TRUE)&amp;VLOOKUP(N79,tablas!$S$3:$U$66,3,TRUE),tablas!$R$3:$S$66,2,FALSE)&lt;N79,VLOOKUP(N79+0.1,tablas!$S$3:$U$66,2,TRUE),VLOOKUP(N79,tablas!$S$3:$U$66,2,TRUE))&amp;"@"&amp;IF(VLOOKUP(VLOOKUP(N79,tablas!$S$3:$U$66,2,TRUE)&amp;VLOOKUP(N79,tablas!$S$3:$U$66,3,TRUE),tablas!$R$3:$S$66,2,FALSE)&lt;N79,VLOOKUP(N79+0.1,tablas!$S$3:$U$66,3,TRUE),VLOOKUP(N79,tablas!$S$3:$U$66,3,TRUE))&amp;"$",$C$13)</f>
        <v>$\phi8@17$</v>
      </c>
      <c r="O80" s="192" t="str">
        <f>IF(O79&gt;$C$12,"$\phi"&amp;IF(VLOOKUP(VLOOKUP(O79,tablas!$S$3:$U$66,2,TRUE)&amp;VLOOKUP(O79,tablas!$S$3:$U$66,3,TRUE),tablas!$R$3:$S$66,2,FALSE)&lt;O79,VLOOKUP(O79+0.1,tablas!$S$3:$U$66,2,TRUE),VLOOKUP(O79,tablas!$S$3:$U$66,2,TRUE))&amp;"@"&amp;IF(VLOOKUP(VLOOKUP(O79,tablas!$S$3:$U$66,2,TRUE)&amp;VLOOKUP(O79,tablas!$S$3:$U$66,3,TRUE),tablas!$R$3:$S$66,2,FALSE)&lt;O79,VLOOKUP(O79+0.1,tablas!$S$3:$U$66,3,TRUE),VLOOKUP(O79,tablas!$S$3:$U$66,3,TRUE))&amp;"$",$C$13)</f>
        <v>$\phi8@17$</v>
      </c>
      <c r="P80" s="192" t="str">
        <f>IF(P79&gt;$C$12,"$\phi"&amp;IF(VLOOKUP(VLOOKUP(P79,tablas!$S$3:$U$66,2,TRUE)&amp;VLOOKUP(P79,tablas!$S$3:$U$66,3,TRUE),tablas!$R$3:$S$66,2,FALSE)&lt;P79,VLOOKUP(P79+0.1,tablas!$S$3:$U$66,2,TRUE),VLOOKUP(P79,tablas!$S$3:$U$66,2,TRUE))&amp;"@"&amp;IF(VLOOKUP(VLOOKUP(P79,tablas!$S$3:$U$66,2,TRUE)&amp;VLOOKUP(P79,tablas!$S$3:$U$66,3,TRUE),tablas!$R$3:$S$66,2,FALSE)&lt;P79,VLOOKUP(P79+0.1,tablas!$S$3:$U$66,3,TRUE),VLOOKUP(P79,tablas!$S$3:$U$66,3,TRUE))&amp;"$",$C$13)</f>
        <v>$\phi8@17$</v>
      </c>
      <c r="Q80" s="192" t="str">
        <f>IF(Q79&gt;$C$12,"$\phi"&amp;IF(VLOOKUP(VLOOKUP(Q79,tablas!$S$3:$U$66,2,TRUE)&amp;VLOOKUP(Q79,tablas!$S$3:$U$66,3,TRUE),tablas!$R$3:$S$66,2,FALSE)&lt;Q79,VLOOKUP(Q79+0.1,tablas!$S$3:$U$66,2,TRUE),VLOOKUP(Q79,tablas!$S$3:$U$66,2,TRUE))&amp;"@"&amp;IF(VLOOKUP(VLOOKUP(Q79,tablas!$S$3:$U$66,2,TRUE)&amp;VLOOKUP(Q79,tablas!$S$3:$U$66,3,TRUE),tablas!$R$3:$S$66,2,FALSE)&lt;Q79,VLOOKUP(Q79+0.1,tablas!$S$3:$U$66,3,TRUE),VLOOKUP(Q79,tablas!$S$3:$U$66,3,TRUE))&amp;"$",$C$13)</f>
        <v>$\phi8@17$</v>
      </c>
      <c r="R80" s="192" t="str">
        <f>IF(R79&gt;$C$12,"$\phi"&amp;IF(VLOOKUP(VLOOKUP(R79,tablas!$S$3:$U$66,2,TRUE)&amp;VLOOKUP(R79,tablas!$S$3:$U$66,3,TRUE),tablas!$R$3:$S$66,2,FALSE)&lt;R79,VLOOKUP(R79+0.1,tablas!$S$3:$U$66,2,TRUE),VLOOKUP(R79,tablas!$S$3:$U$66,2,TRUE))&amp;"@"&amp;IF(VLOOKUP(VLOOKUP(R79,tablas!$S$3:$U$66,2,TRUE)&amp;VLOOKUP(R79,tablas!$S$3:$U$66,3,TRUE),tablas!$R$3:$S$66,2,FALSE)&lt;R79,VLOOKUP(R79+0.1,tablas!$S$3:$U$66,3,TRUE),VLOOKUP(R79,tablas!$S$3:$U$66,3,TRUE))&amp;"$",$C$13)</f>
        <v>$\phi8@17$</v>
      </c>
      <c r="S80" s="192" t="str">
        <f>IF(S79&gt;$C$12,"$\phi"&amp;IF(VLOOKUP(VLOOKUP(S79,tablas!$S$3:$U$66,2,TRUE)&amp;VLOOKUP(S79,tablas!$S$3:$U$66,3,TRUE),tablas!$R$3:$S$66,2,FALSE)&lt;S79,VLOOKUP(S79+0.1,tablas!$S$3:$U$66,2,TRUE),VLOOKUP(S79,tablas!$S$3:$U$66,2,TRUE))&amp;"@"&amp;IF(VLOOKUP(VLOOKUP(S79,tablas!$S$3:$U$66,2,TRUE)&amp;VLOOKUP(S79,tablas!$S$3:$U$66,3,TRUE),tablas!$R$3:$S$66,2,FALSE)&lt;S79,VLOOKUP(S79+0.1,tablas!$S$3:$U$66,3,TRUE),VLOOKUP(S79,tablas!$S$3:$U$66,3,TRUE))&amp;"$",$C$13)</f>
        <v>$\phi8@17$</v>
      </c>
      <c r="T80" s="192" t="str">
        <f>IF(T79&gt;$C$12,"$\phi"&amp;IF(VLOOKUP(VLOOKUP(T79,tablas!$S$3:$U$66,2,TRUE)&amp;VLOOKUP(T79,tablas!$S$3:$U$66,3,TRUE),tablas!$R$3:$S$66,2,FALSE)&lt;T79,VLOOKUP(T79+0.1,tablas!$S$3:$U$66,2,TRUE),VLOOKUP(T79,tablas!$S$3:$U$66,2,TRUE))&amp;"@"&amp;IF(VLOOKUP(VLOOKUP(T79,tablas!$S$3:$U$66,2,TRUE)&amp;VLOOKUP(T79,tablas!$S$3:$U$66,3,TRUE),tablas!$R$3:$S$66,2,FALSE)&lt;T79,VLOOKUP(T79+0.1,tablas!$S$3:$U$66,3,TRUE),VLOOKUP(T79,tablas!$S$3:$U$66,3,TRUE))&amp;"$",$C$13)</f>
        <v>$\phi8@17$</v>
      </c>
      <c r="U80" s="192" t="str">
        <f>IF(U79&gt;$C$12,"$\phi"&amp;IF(VLOOKUP(VLOOKUP(U79,tablas!$S$3:$U$66,2,TRUE)&amp;VLOOKUP(U79,tablas!$S$3:$U$66,3,TRUE),tablas!$R$3:$S$66,2,FALSE)&lt;U79,VLOOKUP(U79+0.1,tablas!$S$3:$U$66,2,TRUE),VLOOKUP(U79,tablas!$S$3:$U$66,2,TRUE))&amp;"@"&amp;IF(VLOOKUP(VLOOKUP(U79,tablas!$S$3:$U$66,2,TRUE)&amp;VLOOKUP(U79,tablas!$S$3:$U$66,3,TRUE),tablas!$R$3:$S$66,2,FALSE)&lt;U79,VLOOKUP(U79+0.1,tablas!$S$3:$U$66,3,TRUE),VLOOKUP(U79,tablas!$S$3:$U$66,3,TRUE))&amp;"$",$C$13)</f>
        <v>$\phi8@17$</v>
      </c>
      <c r="V80" s="192" t="str">
        <f>IF(V79&gt;$C$12,"$\phi"&amp;IF(VLOOKUP(VLOOKUP(V79,tablas!$S$3:$U$66,2,TRUE)&amp;VLOOKUP(V79,tablas!$S$3:$U$66,3,TRUE),tablas!$R$3:$S$66,2,FALSE)&lt;V79,VLOOKUP(V79+0.1,tablas!$S$3:$U$66,2,TRUE),VLOOKUP(V79,tablas!$S$3:$U$66,2,TRUE))&amp;"@"&amp;IF(VLOOKUP(VLOOKUP(V79,tablas!$S$3:$U$66,2,TRUE)&amp;VLOOKUP(V79,tablas!$S$3:$U$66,3,TRUE),tablas!$R$3:$S$66,2,FALSE)&lt;V79,VLOOKUP(V79+0.1,tablas!$S$3:$U$66,3,TRUE),VLOOKUP(V79,tablas!$S$3:$U$66,3,TRUE))&amp;"$",$C$13)</f>
        <v>$\phi8@17$</v>
      </c>
      <c r="W80" s="192" t="str">
        <f>IF(W79&gt;$C$12,"$\phi"&amp;IF(VLOOKUP(VLOOKUP(W79,tablas!$S$3:$U$66,2,TRUE)&amp;VLOOKUP(W79,tablas!$S$3:$U$66,3,TRUE),tablas!$R$3:$S$66,2,FALSE)&lt;W79,VLOOKUP(W79+0.1,tablas!$S$3:$U$66,2,TRUE),VLOOKUP(W79,tablas!$S$3:$U$66,2,TRUE))&amp;"@"&amp;IF(VLOOKUP(VLOOKUP(W79,tablas!$S$3:$U$66,2,TRUE)&amp;VLOOKUP(W79,tablas!$S$3:$U$66,3,TRUE),tablas!$R$3:$S$66,2,FALSE)&lt;W79,VLOOKUP(W79+0.1,tablas!$S$3:$U$66,3,TRUE),VLOOKUP(W79,tablas!$S$3:$U$66,3,TRUE))&amp;"$",$C$13)</f>
        <v>$\phi8@17$</v>
      </c>
      <c r="X80" s="192" t="str">
        <f>IF(X79&gt;$C$12,"$\phi"&amp;IF(VLOOKUP(VLOOKUP(X79,tablas!$S$3:$U$66,2,TRUE)&amp;VLOOKUP(X79,tablas!$S$3:$U$66,3,TRUE),tablas!$R$3:$S$66,2,FALSE)&lt;X79,VLOOKUP(X79+0.1,tablas!$S$3:$U$66,2,TRUE),VLOOKUP(X79,tablas!$S$3:$U$66,2,TRUE))&amp;"@"&amp;IF(VLOOKUP(VLOOKUP(X79,tablas!$S$3:$U$66,2,TRUE)&amp;VLOOKUP(X79,tablas!$S$3:$U$66,3,TRUE),tablas!$R$3:$S$66,2,FALSE)&lt;X79,VLOOKUP(X79+0.1,tablas!$S$3:$U$66,3,TRUE),VLOOKUP(X79,tablas!$S$3:$U$66,3,TRUE))&amp;"$",$C$13)</f>
        <v>$\phi8@17$</v>
      </c>
    </row>
    <row r="81" spans="2:26" x14ac:dyDescent="0.25">
      <c r="B81" s="93" t="s">
        <v>103</v>
      </c>
      <c r="C81" s="88">
        <f t="shared" ref="C81:X81" si="19">IF(C53&lt;=2,C68/C59,IF(OR(C51=6,C51="5a",C51="3a"),C67*C48^2/12,(IF(OR(C51="2a",C51=4,C51="5b"),C67*C48^2/8,"-"))))</f>
        <v>2685.6097560975609</v>
      </c>
      <c r="D81" s="88">
        <f t="shared" si="19"/>
        <v>1260.4468085106382</v>
      </c>
      <c r="E81" s="88">
        <f t="shared" si="19"/>
        <v>1260.4468085106382</v>
      </c>
      <c r="F81" s="88">
        <f t="shared" si="19"/>
        <v>2262.4164062499999</v>
      </c>
      <c r="G81" s="88">
        <f t="shared" si="19"/>
        <v>1981.8038709677417</v>
      </c>
      <c r="H81" s="88">
        <f t="shared" si="19"/>
        <v>1214.946808510638</v>
      </c>
      <c r="I81" s="88">
        <f t="shared" si="19"/>
        <v>438.6613636363636</v>
      </c>
      <c r="J81" s="88">
        <f t="shared" si="19"/>
        <v>148.6333333333333</v>
      </c>
      <c r="K81" s="88">
        <f t="shared" si="19"/>
        <v>637.75833333333333</v>
      </c>
      <c r="L81" s="88">
        <f t="shared" si="19"/>
        <v>1214.946808510638</v>
      </c>
      <c r="M81" s="88">
        <f t="shared" si="19"/>
        <v>1847.9751612903226</v>
      </c>
      <c r="N81" s="88">
        <f t="shared" si="19"/>
        <v>259.36137500000001</v>
      </c>
      <c r="O81" s="88">
        <f t="shared" si="19"/>
        <v>259.36137500000001</v>
      </c>
      <c r="P81" s="88">
        <f t="shared" si="19"/>
        <v>259.36137500000001</v>
      </c>
      <c r="Q81" s="88">
        <f t="shared" si="19"/>
        <v>259.36137500000001</v>
      </c>
      <c r="R81" s="88">
        <f t="shared" si="19"/>
        <v>123.03200000000001</v>
      </c>
      <c r="S81" s="88">
        <f t="shared" si="19"/>
        <v>123.03200000000001</v>
      </c>
      <c r="T81" s="88">
        <f t="shared" si="19"/>
        <v>204.24950000000004</v>
      </c>
      <c r="U81" s="88">
        <f t="shared" si="19"/>
        <v>204.24950000000004</v>
      </c>
      <c r="V81" s="88">
        <f t="shared" si="19"/>
        <v>62.289499999999997</v>
      </c>
      <c r="W81" s="88">
        <f t="shared" si="19"/>
        <v>55.73749999999999</v>
      </c>
      <c r="X81" s="88">
        <f t="shared" si="19"/>
        <v>543.60239520958078</v>
      </c>
    </row>
    <row r="82" spans="2:26" x14ac:dyDescent="0.25">
      <c r="B82" s="94" t="s">
        <v>15</v>
      </c>
      <c r="C82" s="89">
        <f t="shared" ref="C82:X82" si="20">C81/(0.9*(0.9*($C$7/100))*($L$9*1000))</f>
        <v>5.5333237652210352</v>
      </c>
      <c r="D82" s="89">
        <f t="shared" si="20"/>
        <v>2.5969745844472421</v>
      </c>
      <c r="E82" s="89">
        <f t="shared" si="20"/>
        <v>2.5969745844472421</v>
      </c>
      <c r="F82" s="89">
        <f t="shared" si="20"/>
        <v>4.6613929812795645</v>
      </c>
      <c r="G82" s="89">
        <f t="shared" si="20"/>
        <v>4.0832300494645972</v>
      </c>
      <c r="H82" s="89">
        <f t="shared" si="20"/>
        <v>2.5032281900777944</v>
      </c>
      <c r="I82" s="89">
        <f t="shared" si="20"/>
        <v>0.9038004657163532</v>
      </c>
      <c r="J82" s="89">
        <f t="shared" si="20"/>
        <v>0.30623822160686109</v>
      </c>
      <c r="K82" s="89">
        <f t="shared" si="20"/>
        <v>1.3140119610784196</v>
      </c>
      <c r="L82" s="89">
        <f t="shared" si="20"/>
        <v>2.5032281900777944</v>
      </c>
      <c r="M82" s="89">
        <f t="shared" si="20"/>
        <v>3.8074946869289135</v>
      </c>
      <c r="N82" s="89">
        <f t="shared" si="20"/>
        <v>0.53437788450444201</v>
      </c>
      <c r="O82" s="89">
        <f t="shared" si="20"/>
        <v>0.53437788450444201</v>
      </c>
      <c r="P82" s="89">
        <f t="shared" si="20"/>
        <v>0.53437788450444201</v>
      </c>
      <c r="Q82" s="89">
        <f t="shared" si="20"/>
        <v>0.53437788450444201</v>
      </c>
      <c r="R82" s="89">
        <f t="shared" si="20"/>
        <v>0.25349025037498552</v>
      </c>
      <c r="S82" s="89">
        <f t="shared" si="20"/>
        <v>0.25349025037498552</v>
      </c>
      <c r="T82" s="89">
        <f t="shared" si="20"/>
        <v>0.42082756432444901</v>
      </c>
      <c r="U82" s="89">
        <f t="shared" si="20"/>
        <v>0.42082756432444901</v>
      </c>
      <c r="V82" s="89">
        <f t="shared" si="20"/>
        <v>0.12833881389177335</v>
      </c>
      <c r="W82" s="89">
        <f t="shared" si="20"/>
        <v>0.11483933310257292</v>
      </c>
      <c r="X82" s="89">
        <f t="shared" si="20"/>
        <v>1.1200168026701871</v>
      </c>
    </row>
    <row r="83" spans="2:26" x14ac:dyDescent="0.25">
      <c r="B83" s="94" t="s">
        <v>98</v>
      </c>
      <c r="C83" s="91">
        <f t="shared" ref="C83:X83" si="21">(C82*($L$9))/(0.85*$L$6*100)</f>
        <v>0.13657800297085368</v>
      </c>
      <c r="D83" s="91">
        <f t="shared" si="21"/>
        <v>6.4100641415422127E-2</v>
      </c>
      <c r="E83" s="91">
        <f t="shared" si="21"/>
        <v>6.4100641415422127E-2</v>
      </c>
      <c r="F83" s="91">
        <f t="shared" si="21"/>
        <v>0.11505629734646215</v>
      </c>
      <c r="G83" s="91">
        <f t="shared" si="21"/>
        <v>0.10078560906406273</v>
      </c>
      <c r="H83" s="91">
        <f t="shared" si="21"/>
        <v>6.1786716571701039E-2</v>
      </c>
      <c r="I83" s="91">
        <f t="shared" si="21"/>
        <v>2.2308339061510907E-2</v>
      </c>
      <c r="J83" s="91">
        <f t="shared" si="21"/>
        <v>7.5588211561555107E-3</v>
      </c>
      <c r="K83" s="91">
        <f t="shared" si="21"/>
        <v>3.2433513226157069E-2</v>
      </c>
      <c r="L83" s="91">
        <f t="shared" si="21"/>
        <v>6.1786716571701039E-2</v>
      </c>
      <c r="M83" s="91">
        <f t="shared" si="21"/>
        <v>9.3979684314046991E-2</v>
      </c>
      <c r="N83" s="91">
        <f t="shared" si="21"/>
        <v>1.318995009042106E-2</v>
      </c>
      <c r="O83" s="91">
        <f t="shared" si="21"/>
        <v>1.318995009042106E-2</v>
      </c>
      <c r="P83" s="91">
        <f t="shared" si="21"/>
        <v>1.318995009042106E-2</v>
      </c>
      <c r="Q83" s="91">
        <f t="shared" si="21"/>
        <v>1.318995009042106E-2</v>
      </c>
      <c r="R83" s="91">
        <f t="shared" si="21"/>
        <v>6.2568527774217878E-3</v>
      </c>
      <c r="S83" s="91">
        <f t="shared" si="21"/>
        <v>6.2568527774217878E-3</v>
      </c>
      <c r="T83" s="91">
        <f t="shared" si="21"/>
        <v>1.0387208623463909E-2</v>
      </c>
      <c r="U83" s="91">
        <f t="shared" si="21"/>
        <v>1.0387208623463909E-2</v>
      </c>
      <c r="V83" s="91">
        <f t="shared" si="21"/>
        <v>3.1677631110541521E-3</v>
      </c>
      <c r="W83" s="91">
        <f t="shared" si="21"/>
        <v>2.8345579335583167E-3</v>
      </c>
      <c r="X83" s="91">
        <f t="shared" si="21"/>
        <v>2.7645166755642454E-2</v>
      </c>
    </row>
    <row r="84" spans="2:26" ht="15.75" thickBot="1" x14ac:dyDescent="0.3">
      <c r="B84" s="94" t="s">
        <v>15</v>
      </c>
      <c r="C84" s="76">
        <f t="shared" ref="C84:X84" si="22">ROUNDUP(C81/(0.9*(($C$7-C83/2)/100)*($L$9*1000)),2)</f>
        <v>5.01</v>
      </c>
      <c r="D84" s="76">
        <f t="shared" si="22"/>
        <v>2.3499999999999996</v>
      </c>
      <c r="E84" s="76">
        <f t="shared" si="22"/>
        <v>2.3499999999999996</v>
      </c>
      <c r="F84" s="76">
        <f t="shared" si="22"/>
        <v>4.22</v>
      </c>
      <c r="G84" s="76">
        <f t="shared" si="22"/>
        <v>3.69</v>
      </c>
      <c r="H84" s="76">
        <f t="shared" si="22"/>
        <v>2.2599999999999998</v>
      </c>
      <c r="I84" s="76">
        <f t="shared" si="22"/>
        <v>0.82000000000000006</v>
      </c>
      <c r="J84" s="76">
        <f t="shared" si="22"/>
        <v>0.28000000000000003</v>
      </c>
      <c r="K84" s="76">
        <f t="shared" si="22"/>
        <v>1.19</v>
      </c>
      <c r="L84" s="76">
        <f t="shared" si="22"/>
        <v>2.2599999999999998</v>
      </c>
      <c r="M84" s="76">
        <f t="shared" si="22"/>
        <v>3.44</v>
      </c>
      <c r="N84" s="76">
        <f t="shared" si="22"/>
        <v>0.49</v>
      </c>
      <c r="O84" s="76">
        <f t="shared" si="22"/>
        <v>0.49</v>
      </c>
      <c r="P84" s="76">
        <f t="shared" si="22"/>
        <v>0.49</v>
      </c>
      <c r="Q84" s="76">
        <f t="shared" si="22"/>
        <v>0.49</v>
      </c>
      <c r="R84" s="76">
        <f t="shared" si="22"/>
        <v>0.23</v>
      </c>
      <c r="S84" s="76">
        <f t="shared" si="22"/>
        <v>0.23</v>
      </c>
      <c r="T84" s="76">
        <f t="shared" si="22"/>
        <v>0.38</v>
      </c>
      <c r="U84" s="76">
        <f t="shared" si="22"/>
        <v>0.38</v>
      </c>
      <c r="V84" s="76">
        <f t="shared" si="22"/>
        <v>0.12</v>
      </c>
      <c r="W84" s="76">
        <f t="shared" si="22"/>
        <v>0.11</v>
      </c>
      <c r="X84" s="76">
        <f t="shared" si="22"/>
        <v>1.01</v>
      </c>
    </row>
    <row r="85" spans="2:26" ht="16.5" thickBot="1" x14ac:dyDescent="0.3">
      <c r="B85" s="61" t="s">
        <v>105</v>
      </c>
      <c r="C85" s="192" t="str">
        <f>IF(C84&gt;$C$12,"$\phi"&amp;IF(VLOOKUP(VLOOKUP(C84,tablas!$S$3:$U$66,2,TRUE)&amp;VLOOKUP(C84,tablas!$S$3:$U$66,3,TRUE),tablas!$R$3:$S$66,2,FALSE)&lt;C84,VLOOKUP(C84+0.1,tablas!$S$3:$U$66,2,TRUE),VLOOKUP(C84,tablas!$S$3:$U$66,2,TRUE))&amp;"@"&amp;IF(VLOOKUP(VLOOKUP(C84,tablas!$S$3:$U$66,2,TRUE)&amp;VLOOKUP(C84,tablas!$S$3:$U$66,3,TRUE),tablas!$R$3:$S$66,2,FALSE)&lt;C84,VLOOKUP(C84+0.1,tablas!$S$3:$U$66,3,TRUE),VLOOKUP(C84,tablas!$S$3:$U$66,3,TRUE))&amp;"$",$C$13)</f>
        <v>$\phi8@10$</v>
      </c>
      <c r="D85" s="192" t="str">
        <f>IF(D84&gt;$C$12,"$\phi"&amp;IF(VLOOKUP(VLOOKUP(D84,tablas!$S$3:$U$66,2,TRUE)&amp;VLOOKUP(D84,tablas!$S$3:$U$66,3,TRUE),tablas!$R$3:$S$66,2,FALSE)&lt;D84,VLOOKUP(D84+0.1,tablas!$S$3:$U$66,2,TRUE),VLOOKUP(D84,tablas!$S$3:$U$66,2,TRUE))&amp;"@"&amp;IF(VLOOKUP(VLOOKUP(D84,tablas!$S$3:$U$66,2,TRUE)&amp;VLOOKUP(D84,tablas!$S$3:$U$66,3,TRUE),tablas!$R$3:$S$66,2,FALSE)&lt;D84,VLOOKUP(D84+0.1,tablas!$S$3:$U$66,3,TRUE),VLOOKUP(D84,tablas!$S$3:$U$66,3,TRUE))&amp;"$",$C$13)</f>
        <v>$\phi8@17$</v>
      </c>
      <c r="E85" s="192" t="str">
        <f>IF(E84&gt;$C$12,"$\phi"&amp;IF(VLOOKUP(VLOOKUP(E84,tablas!$S$3:$U$66,2,TRUE)&amp;VLOOKUP(E84,tablas!$S$3:$U$66,3,TRUE),tablas!$R$3:$S$66,2,FALSE)&lt;E84,VLOOKUP(E84+0.1,tablas!$S$3:$U$66,2,TRUE),VLOOKUP(E84,tablas!$S$3:$U$66,2,TRUE))&amp;"@"&amp;IF(VLOOKUP(VLOOKUP(E84,tablas!$S$3:$U$66,2,TRUE)&amp;VLOOKUP(E84,tablas!$S$3:$U$66,3,TRUE),tablas!$R$3:$S$66,2,FALSE)&lt;E84,VLOOKUP(E84+0.1,tablas!$S$3:$U$66,3,TRUE),VLOOKUP(E84,tablas!$S$3:$U$66,3,TRUE))&amp;"$",$C$13)</f>
        <v>$\phi8@17$</v>
      </c>
      <c r="F85" s="192" t="str">
        <f>IF(F84&gt;$C$12,"$\phi"&amp;IF(VLOOKUP(VLOOKUP(F84,tablas!$S$3:$U$66,2,TRUE)&amp;VLOOKUP(F84,tablas!$S$3:$U$66,3,TRUE),tablas!$R$3:$S$66,2,FALSE)&lt;F84,VLOOKUP(F84+0.1,tablas!$S$3:$U$66,2,TRUE),VLOOKUP(F84,tablas!$S$3:$U$66,2,TRUE))&amp;"@"&amp;IF(VLOOKUP(VLOOKUP(F84,tablas!$S$3:$U$66,2,TRUE)&amp;VLOOKUP(F84,tablas!$S$3:$U$66,3,TRUE),tablas!$R$3:$S$66,2,FALSE)&lt;F84,VLOOKUP(F84+0.1,tablas!$S$3:$U$66,3,TRUE),VLOOKUP(F84,tablas!$S$3:$U$66,3,TRUE))&amp;"$",$C$13)</f>
        <v>$\phi8@12$</v>
      </c>
      <c r="G85" s="192" t="str">
        <f>IF(G84&gt;$C$12,"$\phi"&amp;IF(VLOOKUP(VLOOKUP(G84,tablas!$S$3:$U$66,2,TRUE)&amp;VLOOKUP(G84,tablas!$S$3:$U$66,3,TRUE),tablas!$R$3:$S$66,2,FALSE)&lt;G84,VLOOKUP(G84+0.1,tablas!$S$3:$U$66,2,TRUE),VLOOKUP(G84,tablas!$S$3:$U$66,2,TRUE))&amp;"@"&amp;IF(VLOOKUP(VLOOKUP(G84,tablas!$S$3:$U$66,2,TRUE)&amp;VLOOKUP(G84,tablas!$S$3:$U$66,3,TRUE),tablas!$R$3:$S$66,2,FALSE)&lt;G84,VLOOKUP(G84+0.1,tablas!$S$3:$U$66,3,TRUE),VLOOKUP(G84,tablas!$S$3:$U$66,3,TRUE))&amp;"$",$C$13)</f>
        <v>$\phi10@21$</v>
      </c>
      <c r="H85" s="192" t="str">
        <f>IF(H84&gt;$C$12,"$\phi"&amp;IF(VLOOKUP(VLOOKUP(H84,tablas!$S$3:$U$66,2,TRUE)&amp;VLOOKUP(H84,tablas!$S$3:$U$66,3,TRUE),tablas!$R$3:$S$66,2,FALSE)&lt;H84,VLOOKUP(H84+0.1,tablas!$S$3:$U$66,2,TRUE),VLOOKUP(H84,tablas!$S$3:$U$66,2,TRUE))&amp;"@"&amp;IF(VLOOKUP(VLOOKUP(H84,tablas!$S$3:$U$66,2,TRUE)&amp;VLOOKUP(H84,tablas!$S$3:$U$66,3,TRUE),tablas!$R$3:$S$66,2,FALSE)&lt;H84,VLOOKUP(H84+0.1,tablas!$S$3:$U$66,3,TRUE),VLOOKUP(H84,tablas!$S$3:$U$66,3,TRUE))&amp;"$",$C$13)</f>
        <v>$\phi8@17$</v>
      </c>
      <c r="I85" s="192" t="str">
        <f>IF(I84&gt;$C$12,"$\phi"&amp;IF(VLOOKUP(VLOOKUP(I84,tablas!$S$3:$U$66,2,TRUE)&amp;VLOOKUP(I84,tablas!$S$3:$U$66,3,TRUE),tablas!$R$3:$S$66,2,FALSE)&lt;I84,VLOOKUP(I84+0.1,tablas!$S$3:$U$66,2,TRUE),VLOOKUP(I84,tablas!$S$3:$U$66,2,TRUE))&amp;"@"&amp;IF(VLOOKUP(VLOOKUP(I84,tablas!$S$3:$U$66,2,TRUE)&amp;VLOOKUP(I84,tablas!$S$3:$U$66,3,TRUE),tablas!$R$3:$S$66,2,FALSE)&lt;I84,VLOOKUP(I84+0.1,tablas!$S$3:$U$66,3,TRUE),VLOOKUP(I84,tablas!$S$3:$U$66,3,TRUE))&amp;"$",$C$13)</f>
        <v>$\phi8@17$</v>
      </c>
      <c r="J85" s="192" t="str">
        <f>IF(J84&gt;$C$12,"$\phi"&amp;IF(VLOOKUP(VLOOKUP(J84,tablas!$S$3:$U$66,2,TRUE)&amp;VLOOKUP(J84,tablas!$S$3:$U$66,3,TRUE),tablas!$R$3:$S$66,2,FALSE)&lt;J84,VLOOKUP(J84+0.1,tablas!$S$3:$U$66,2,TRUE),VLOOKUP(J84,tablas!$S$3:$U$66,2,TRUE))&amp;"@"&amp;IF(VLOOKUP(VLOOKUP(J84,tablas!$S$3:$U$66,2,TRUE)&amp;VLOOKUP(J84,tablas!$S$3:$U$66,3,TRUE),tablas!$R$3:$S$66,2,FALSE)&lt;J84,VLOOKUP(J84+0.1,tablas!$S$3:$U$66,3,TRUE),VLOOKUP(J84,tablas!$S$3:$U$66,3,TRUE))&amp;"$",$C$13)</f>
        <v>$\phi8@17$</v>
      </c>
      <c r="K85" s="192" t="str">
        <f>IF(K84&gt;$C$12,"$\phi"&amp;IF(VLOOKUP(VLOOKUP(K84,tablas!$S$3:$U$66,2,TRUE)&amp;VLOOKUP(K84,tablas!$S$3:$U$66,3,TRUE),tablas!$R$3:$S$66,2,FALSE)&lt;K84,VLOOKUP(K84+0.1,tablas!$S$3:$U$66,2,TRUE),VLOOKUP(K84,tablas!$S$3:$U$66,2,TRUE))&amp;"@"&amp;IF(VLOOKUP(VLOOKUP(K84,tablas!$S$3:$U$66,2,TRUE)&amp;VLOOKUP(K84,tablas!$S$3:$U$66,3,TRUE),tablas!$R$3:$S$66,2,FALSE)&lt;K84,VLOOKUP(K84+0.1,tablas!$S$3:$U$66,3,TRUE),VLOOKUP(K84,tablas!$S$3:$U$66,3,TRUE))&amp;"$",$C$13)</f>
        <v>$\phi8@17$</v>
      </c>
      <c r="L85" s="192" t="str">
        <f>IF(L84&gt;$C$12,"$\phi"&amp;IF(VLOOKUP(VLOOKUP(L84,tablas!$S$3:$U$66,2,TRUE)&amp;VLOOKUP(L84,tablas!$S$3:$U$66,3,TRUE),tablas!$R$3:$S$66,2,FALSE)&lt;L84,VLOOKUP(L84+0.1,tablas!$S$3:$U$66,2,TRUE),VLOOKUP(L84,tablas!$S$3:$U$66,2,TRUE))&amp;"@"&amp;IF(VLOOKUP(VLOOKUP(L84,tablas!$S$3:$U$66,2,TRUE)&amp;VLOOKUP(L84,tablas!$S$3:$U$66,3,TRUE),tablas!$R$3:$S$66,2,FALSE)&lt;L84,VLOOKUP(L84+0.1,tablas!$S$3:$U$66,3,TRUE),VLOOKUP(L84,tablas!$S$3:$U$66,3,TRUE))&amp;"$",$C$13)</f>
        <v>$\phi8@17$</v>
      </c>
      <c r="M85" s="192" t="str">
        <f>IF(M84&gt;$C$12,"$\phi"&amp;IF(VLOOKUP(VLOOKUP(M84,tablas!$S$3:$U$66,2,TRUE)&amp;VLOOKUP(M84,tablas!$S$3:$U$66,3,TRUE),tablas!$R$3:$S$66,2,FALSE)&lt;M84,VLOOKUP(M84+0.1,tablas!$S$3:$U$66,2,TRUE),VLOOKUP(M84,tablas!$S$3:$U$66,2,TRUE))&amp;"@"&amp;IF(VLOOKUP(VLOOKUP(M84,tablas!$S$3:$U$66,2,TRUE)&amp;VLOOKUP(M84,tablas!$S$3:$U$66,3,TRUE),tablas!$R$3:$S$66,2,FALSE)&lt;M84,VLOOKUP(M84+0.1,tablas!$S$3:$U$66,3,TRUE),VLOOKUP(M84,tablas!$S$3:$U$66,3,TRUE))&amp;"$",$C$13)</f>
        <v>$\phi10@23$</v>
      </c>
      <c r="N85" s="192" t="str">
        <f>IF(N84&gt;$C$12,"$\phi"&amp;IF(VLOOKUP(VLOOKUP(N84,tablas!$S$3:$U$66,2,TRUE)&amp;VLOOKUP(N84,tablas!$S$3:$U$66,3,TRUE),tablas!$R$3:$S$66,2,FALSE)&lt;N84,VLOOKUP(N84+0.1,tablas!$S$3:$U$66,2,TRUE),VLOOKUP(N84,tablas!$S$3:$U$66,2,TRUE))&amp;"@"&amp;IF(VLOOKUP(VLOOKUP(N84,tablas!$S$3:$U$66,2,TRUE)&amp;VLOOKUP(N84,tablas!$S$3:$U$66,3,TRUE),tablas!$R$3:$S$66,2,FALSE)&lt;N84,VLOOKUP(N84+0.1,tablas!$S$3:$U$66,3,TRUE),VLOOKUP(N84,tablas!$S$3:$U$66,3,TRUE))&amp;"$",$C$13)</f>
        <v>$\phi8@17$</v>
      </c>
      <c r="O85" s="192" t="str">
        <f>IF(O84&gt;$C$12,"$\phi"&amp;IF(VLOOKUP(VLOOKUP(O84,tablas!$S$3:$U$66,2,TRUE)&amp;VLOOKUP(O84,tablas!$S$3:$U$66,3,TRUE),tablas!$R$3:$S$66,2,FALSE)&lt;O84,VLOOKUP(O84+0.1,tablas!$S$3:$U$66,2,TRUE),VLOOKUP(O84,tablas!$S$3:$U$66,2,TRUE))&amp;"@"&amp;IF(VLOOKUP(VLOOKUP(O84,tablas!$S$3:$U$66,2,TRUE)&amp;VLOOKUP(O84,tablas!$S$3:$U$66,3,TRUE),tablas!$R$3:$S$66,2,FALSE)&lt;O84,VLOOKUP(O84+0.1,tablas!$S$3:$U$66,3,TRUE),VLOOKUP(O84,tablas!$S$3:$U$66,3,TRUE))&amp;"$",$C$13)</f>
        <v>$\phi8@17$</v>
      </c>
      <c r="P85" s="192" t="str">
        <f>IF(P84&gt;$C$12,"$\phi"&amp;IF(VLOOKUP(VLOOKUP(P84,tablas!$S$3:$U$66,2,TRUE)&amp;VLOOKUP(P84,tablas!$S$3:$U$66,3,TRUE),tablas!$R$3:$S$66,2,FALSE)&lt;P84,VLOOKUP(P84+0.1,tablas!$S$3:$U$66,2,TRUE),VLOOKUP(P84,tablas!$S$3:$U$66,2,TRUE))&amp;"@"&amp;IF(VLOOKUP(VLOOKUP(P84,tablas!$S$3:$U$66,2,TRUE)&amp;VLOOKUP(P84,tablas!$S$3:$U$66,3,TRUE),tablas!$R$3:$S$66,2,FALSE)&lt;P84,VLOOKUP(P84+0.1,tablas!$S$3:$U$66,3,TRUE),VLOOKUP(P84,tablas!$S$3:$U$66,3,TRUE))&amp;"$",$C$13)</f>
        <v>$\phi8@17$</v>
      </c>
      <c r="Q85" s="192" t="str">
        <f>IF(Q84&gt;$C$12,"$\phi"&amp;IF(VLOOKUP(VLOOKUP(Q84,tablas!$S$3:$U$66,2,TRUE)&amp;VLOOKUP(Q84,tablas!$S$3:$U$66,3,TRUE),tablas!$R$3:$S$66,2,FALSE)&lt;Q84,VLOOKUP(Q84+0.1,tablas!$S$3:$U$66,2,TRUE),VLOOKUP(Q84,tablas!$S$3:$U$66,2,TRUE))&amp;"@"&amp;IF(VLOOKUP(VLOOKUP(Q84,tablas!$S$3:$U$66,2,TRUE)&amp;VLOOKUP(Q84,tablas!$S$3:$U$66,3,TRUE),tablas!$R$3:$S$66,2,FALSE)&lt;Q84,VLOOKUP(Q84+0.1,tablas!$S$3:$U$66,3,TRUE),VLOOKUP(Q84,tablas!$S$3:$U$66,3,TRUE))&amp;"$",$C$13)</f>
        <v>$\phi8@17$</v>
      </c>
      <c r="R85" s="192" t="str">
        <f>IF(R84&gt;$C$12,"$\phi"&amp;IF(VLOOKUP(VLOOKUP(R84,tablas!$S$3:$U$66,2,TRUE)&amp;VLOOKUP(R84,tablas!$S$3:$U$66,3,TRUE),tablas!$R$3:$S$66,2,FALSE)&lt;R84,VLOOKUP(R84+0.1,tablas!$S$3:$U$66,2,TRUE),VLOOKUP(R84,tablas!$S$3:$U$66,2,TRUE))&amp;"@"&amp;IF(VLOOKUP(VLOOKUP(R84,tablas!$S$3:$U$66,2,TRUE)&amp;VLOOKUP(R84,tablas!$S$3:$U$66,3,TRUE),tablas!$R$3:$S$66,2,FALSE)&lt;R84,VLOOKUP(R84+0.1,tablas!$S$3:$U$66,3,TRUE),VLOOKUP(R84,tablas!$S$3:$U$66,3,TRUE))&amp;"$",$C$13)</f>
        <v>$\phi8@17$</v>
      </c>
      <c r="S85" s="192" t="str">
        <f>IF(S84&gt;$C$12,"$\phi"&amp;IF(VLOOKUP(VLOOKUP(S84,tablas!$S$3:$U$66,2,TRUE)&amp;VLOOKUP(S84,tablas!$S$3:$U$66,3,TRUE),tablas!$R$3:$S$66,2,FALSE)&lt;S84,VLOOKUP(S84+0.1,tablas!$S$3:$U$66,2,TRUE),VLOOKUP(S84,tablas!$S$3:$U$66,2,TRUE))&amp;"@"&amp;IF(VLOOKUP(VLOOKUP(S84,tablas!$S$3:$U$66,2,TRUE)&amp;VLOOKUP(S84,tablas!$S$3:$U$66,3,TRUE),tablas!$R$3:$S$66,2,FALSE)&lt;S84,VLOOKUP(S84+0.1,tablas!$S$3:$U$66,3,TRUE),VLOOKUP(S84,tablas!$S$3:$U$66,3,TRUE))&amp;"$",$C$13)</f>
        <v>$\phi8@17$</v>
      </c>
      <c r="T85" s="192" t="str">
        <f>IF(T84&gt;$C$12,"$\phi"&amp;IF(VLOOKUP(VLOOKUP(T84,tablas!$S$3:$U$66,2,TRUE)&amp;VLOOKUP(T84,tablas!$S$3:$U$66,3,TRUE),tablas!$R$3:$S$66,2,FALSE)&lt;T84,VLOOKUP(T84+0.1,tablas!$S$3:$U$66,2,TRUE),VLOOKUP(T84,tablas!$S$3:$U$66,2,TRUE))&amp;"@"&amp;IF(VLOOKUP(VLOOKUP(T84,tablas!$S$3:$U$66,2,TRUE)&amp;VLOOKUP(T84,tablas!$S$3:$U$66,3,TRUE),tablas!$R$3:$S$66,2,FALSE)&lt;T84,VLOOKUP(T84+0.1,tablas!$S$3:$U$66,3,TRUE),VLOOKUP(T84,tablas!$S$3:$U$66,3,TRUE))&amp;"$",$C$13)</f>
        <v>$\phi8@17$</v>
      </c>
      <c r="U85" s="192" t="str">
        <f>IF(U84&gt;$C$12,"$\phi"&amp;IF(VLOOKUP(VLOOKUP(U84,tablas!$S$3:$U$66,2,TRUE)&amp;VLOOKUP(U84,tablas!$S$3:$U$66,3,TRUE),tablas!$R$3:$S$66,2,FALSE)&lt;U84,VLOOKUP(U84+0.1,tablas!$S$3:$U$66,2,TRUE),VLOOKUP(U84,tablas!$S$3:$U$66,2,TRUE))&amp;"@"&amp;IF(VLOOKUP(VLOOKUP(U84,tablas!$S$3:$U$66,2,TRUE)&amp;VLOOKUP(U84,tablas!$S$3:$U$66,3,TRUE),tablas!$R$3:$S$66,2,FALSE)&lt;U84,VLOOKUP(U84+0.1,tablas!$S$3:$U$66,3,TRUE),VLOOKUP(U84,tablas!$S$3:$U$66,3,TRUE))&amp;"$",$C$13)</f>
        <v>$\phi8@17$</v>
      </c>
      <c r="V85" s="192" t="str">
        <f>IF(V84&gt;$C$12,"$\phi"&amp;IF(VLOOKUP(VLOOKUP(V84,tablas!$S$3:$U$66,2,TRUE)&amp;VLOOKUP(V84,tablas!$S$3:$U$66,3,TRUE),tablas!$R$3:$S$66,2,FALSE)&lt;V84,VLOOKUP(V84+0.1,tablas!$S$3:$U$66,2,TRUE),VLOOKUP(V84,tablas!$S$3:$U$66,2,TRUE))&amp;"@"&amp;IF(VLOOKUP(VLOOKUP(V84,tablas!$S$3:$U$66,2,TRUE)&amp;VLOOKUP(V84,tablas!$S$3:$U$66,3,TRUE),tablas!$R$3:$S$66,2,FALSE)&lt;V84,VLOOKUP(V84+0.1,tablas!$S$3:$U$66,3,TRUE),VLOOKUP(V84,tablas!$S$3:$U$66,3,TRUE))&amp;"$",$C$13)</f>
        <v>$\phi8@17$</v>
      </c>
      <c r="W85" s="192" t="str">
        <f>IF(W84&gt;$C$12,"$\phi"&amp;IF(VLOOKUP(VLOOKUP(W84,tablas!$S$3:$U$66,2,TRUE)&amp;VLOOKUP(W84,tablas!$S$3:$U$66,3,TRUE),tablas!$R$3:$S$66,2,FALSE)&lt;W84,VLOOKUP(W84+0.1,tablas!$S$3:$U$66,2,TRUE),VLOOKUP(W84,tablas!$S$3:$U$66,2,TRUE))&amp;"@"&amp;IF(VLOOKUP(VLOOKUP(W84,tablas!$S$3:$U$66,2,TRUE)&amp;VLOOKUP(W84,tablas!$S$3:$U$66,3,TRUE),tablas!$R$3:$S$66,2,FALSE)&lt;W84,VLOOKUP(W84+0.1,tablas!$S$3:$U$66,3,TRUE),VLOOKUP(W84,tablas!$S$3:$U$66,3,TRUE))&amp;"$",$C$13)</f>
        <v>$\phi8@17$</v>
      </c>
      <c r="X85" s="192" t="str">
        <f>IF(X84&gt;$C$12,"$\phi"&amp;IF(VLOOKUP(VLOOKUP(X84,tablas!$S$3:$U$66,2,TRUE)&amp;VLOOKUP(X84,tablas!$S$3:$U$66,3,TRUE),tablas!$R$3:$S$66,2,FALSE)&lt;X84,VLOOKUP(X84+0.1,tablas!$S$3:$U$66,2,TRUE),VLOOKUP(X84,tablas!$S$3:$U$66,2,TRUE))&amp;"@"&amp;IF(VLOOKUP(VLOOKUP(X84,tablas!$S$3:$U$66,2,TRUE)&amp;VLOOKUP(X84,tablas!$S$3:$U$66,3,TRUE),tablas!$R$3:$S$66,2,FALSE)&lt;X84,VLOOKUP(X84+0.1,tablas!$S$3:$U$66,3,TRUE),VLOOKUP(X84,tablas!$S$3:$U$66,3,TRUE))&amp;"$",$C$13)</f>
        <v>$\phi8@17$</v>
      </c>
    </row>
    <row r="86" spans="2:26" x14ac:dyDescent="0.25">
      <c r="B86" s="93" t="s">
        <v>104</v>
      </c>
      <c r="C86" s="88">
        <f t="shared" ref="C86:X86" si="23">IF(C53&lt;=2,C68/C60,IF(OR(C51=6,C51="5a",C51="3a"),C67*C48^2/17.5,(IF(OR(C51="2a",C51=4,C51="5b"),C67*C48^2/11.25,IF(OR(C51=1,C51="2b",C51="3b"),C67*C48^2/8)))))</f>
        <v>1973.2974910394266</v>
      </c>
      <c r="D86" s="88">
        <f t="shared" si="23"/>
        <v>1034.7772925764191</v>
      </c>
      <c r="E86" s="88">
        <f t="shared" si="23"/>
        <v>1034.7772925764191</v>
      </c>
      <c r="F86" s="88">
        <f t="shared" si="23"/>
        <v>1772.9957142857143</v>
      </c>
      <c r="G86" s="88">
        <f t="shared" si="23"/>
        <v>1714.4907906976741</v>
      </c>
      <c r="H86" s="88">
        <f t="shared" si="23"/>
        <v>1125.1724137931033</v>
      </c>
      <c r="I86" s="88">
        <f t="shared" si="23"/>
        <v>313.83902439024388</v>
      </c>
      <c r="J86" s="88">
        <f t="shared" si="23"/>
        <v>101.91999999999999</v>
      </c>
      <c r="K86" s="88">
        <f t="shared" si="23"/>
        <v>437.32</v>
      </c>
      <c r="L86" s="88">
        <f t="shared" si="23"/>
        <v>1125.1724137931033</v>
      </c>
      <c r="M86" s="88">
        <f t="shared" si="23"/>
        <v>1598.7133953488374</v>
      </c>
      <c r="N86" s="88">
        <f t="shared" si="23"/>
        <v>184.43475555555557</v>
      </c>
      <c r="O86" s="88">
        <f t="shared" si="23"/>
        <v>184.43475555555557</v>
      </c>
      <c r="P86" s="88">
        <f t="shared" si="23"/>
        <v>184.43475555555557</v>
      </c>
      <c r="Q86" s="88">
        <f t="shared" si="23"/>
        <v>184.43475555555557</v>
      </c>
      <c r="R86" s="88">
        <f t="shared" si="23"/>
        <v>87.489422222222231</v>
      </c>
      <c r="S86" s="88">
        <f t="shared" si="23"/>
        <v>87.489422222222231</v>
      </c>
      <c r="T86" s="88">
        <f t="shared" si="23"/>
        <v>145.24408888888891</v>
      </c>
      <c r="U86" s="88">
        <f t="shared" si="23"/>
        <v>145.24408888888891</v>
      </c>
      <c r="V86" s="88">
        <f t="shared" si="23"/>
        <v>44.294755555555554</v>
      </c>
      <c r="W86" s="88">
        <f t="shared" si="23"/>
        <v>39.635555555555548</v>
      </c>
      <c r="X86" s="88">
        <f t="shared" si="23"/>
        <v>410.77647058823516</v>
      </c>
    </row>
    <row r="87" spans="2:26" x14ac:dyDescent="0.25">
      <c r="B87" s="94" t="s">
        <v>15</v>
      </c>
      <c r="C87" s="89">
        <f t="shared" ref="C87:X87" si="24">C86/(0.9*(0.9*($C$7/100))*($L$9*1000))</f>
        <v>4.0657038418290767</v>
      </c>
      <c r="D87" s="89">
        <f t="shared" si="24"/>
        <v>2.1320140693278669</v>
      </c>
      <c r="E87" s="89">
        <f t="shared" si="24"/>
        <v>2.1320140693278669</v>
      </c>
      <c r="F87" s="89">
        <f t="shared" si="24"/>
        <v>3.6530100098190874</v>
      </c>
      <c r="G87" s="89">
        <f t="shared" si="24"/>
        <v>3.5324687869786744</v>
      </c>
      <c r="H87" s="89">
        <f t="shared" si="24"/>
        <v>2.3182605898257407</v>
      </c>
      <c r="I87" s="89">
        <f t="shared" si="24"/>
        <v>0.6466214714068218</v>
      </c>
      <c r="J87" s="89">
        <f t="shared" si="24"/>
        <v>0.20999192338756192</v>
      </c>
      <c r="K87" s="89">
        <f t="shared" si="24"/>
        <v>0.90103677331091636</v>
      </c>
      <c r="L87" s="89">
        <f t="shared" si="24"/>
        <v>2.3182605898257407</v>
      </c>
      <c r="M87" s="89">
        <f t="shared" si="24"/>
        <v>3.2939256361338511</v>
      </c>
      <c r="N87" s="89">
        <f t="shared" si="24"/>
        <v>0.38000205120315877</v>
      </c>
      <c r="O87" s="89">
        <f t="shared" si="24"/>
        <v>0.38000205120315877</v>
      </c>
      <c r="P87" s="89">
        <f t="shared" si="24"/>
        <v>0.38000205120315877</v>
      </c>
      <c r="Q87" s="89">
        <f t="shared" si="24"/>
        <v>0.38000205120315877</v>
      </c>
      <c r="R87" s="89">
        <f t="shared" si="24"/>
        <v>0.1802597335999897</v>
      </c>
      <c r="S87" s="89">
        <f t="shared" si="24"/>
        <v>0.1802597335999897</v>
      </c>
      <c r="T87" s="89">
        <f t="shared" si="24"/>
        <v>0.29925515685294152</v>
      </c>
      <c r="U87" s="89">
        <f t="shared" si="24"/>
        <v>0.29925515685294152</v>
      </c>
      <c r="V87" s="89">
        <f t="shared" si="24"/>
        <v>9.1263156545261043E-2</v>
      </c>
      <c r="W87" s="89">
        <f t="shared" si="24"/>
        <v>8.1663525761829628E-2</v>
      </c>
      <c r="X87" s="89">
        <f t="shared" si="24"/>
        <v>0.84634753866932666</v>
      </c>
    </row>
    <row r="88" spans="2:26" x14ac:dyDescent="0.25">
      <c r="B88" s="94" t="s">
        <v>98</v>
      </c>
      <c r="C88" s="91">
        <f t="shared" ref="C88:X88" si="25">(C87*($L$9))/(0.85*$L$6*100)</f>
        <v>0.10035301293557351</v>
      </c>
      <c r="D88" s="91">
        <f t="shared" si="25"/>
        <v>5.2624107362879306E-2</v>
      </c>
      <c r="E88" s="91">
        <f t="shared" si="25"/>
        <v>5.2624107362879306E-2</v>
      </c>
      <c r="F88" s="91">
        <f t="shared" si="25"/>
        <v>9.0166567716411156E-2</v>
      </c>
      <c r="G88" s="91">
        <f t="shared" si="25"/>
        <v>8.7191271097282169E-2</v>
      </c>
      <c r="H88" s="91">
        <f t="shared" si="25"/>
        <v>5.7221195642757613E-2</v>
      </c>
      <c r="I88" s="91">
        <f t="shared" si="25"/>
        <v>1.5960437702544392E-2</v>
      </c>
      <c r="J88" s="91">
        <f t="shared" si="25"/>
        <v>5.1831916499352083E-3</v>
      </c>
      <c r="K88" s="91">
        <f t="shared" si="25"/>
        <v>2.2240123355079133E-2</v>
      </c>
      <c r="L88" s="91">
        <f t="shared" si="25"/>
        <v>5.7221195642757613E-2</v>
      </c>
      <c r="M88" s="91">
        <f t="shared" si="25"/>
        <v>8.1303354801919733E-2</v>
      </c>
      <c r="N88" s="91">
        <f t="shared" si="25"/>
        <v>9.3795200642994205E-3</v>
      </c>
      <c r="O88" s="91">
        <f t="shared" si="25"/>
        <v>9.3795200642994205E-3</v>
      </c>
      <c r="P88" s="91">
        <f t="shared" si="25"/>
        <v>9.3795200642994205E-3</v>
      </c>
      <c r="Q88" s="91">
        <f t="shared" si="25"/>
        <v>9.3795200642994205E-3</v>
      </c>
      <c r="R88" s="91">
        <f t="shared" si="25"/>
        <v>4.4493175306110494E-3</v>
      </c>
      <c r="S88" s="91">
        <f t="shared" si="25"/>
        <v>4.4493175306110494E-3</v>
      </c>
      <c r="T88" s="91">
        <f t="shared" si="25"/>
        <v>7.3864594655743349E-3</v>
      </c>
      <c r="U88" s="91">
        <f t="shared" si="25"/>
        <v>7.3864594655743349E-3</v>
      </c>
      <c r="V88" s="91">
        <f t="shared" si="25"/>
        <v>2.2526315456385076E-3</v>
      </c>
      <c r="W88" s="91">
        <f t="shared" si="25"/>
        <v>2.0156856416414697E-3</v>
      </c>
      <c r="X88" s="91">
        <f t="shared" si="25"/>
        <v>2.0890239132091801E-2</v>
      </c>
    </row>
    <row r="89" spans="2:26" ht="15.75" thickBot="1" x14ac:dyDescent="0.3">
      <c r="B89" s="94" t="s">
        <v>15</v>
      </c>
      <c r="C89" s="76">
        <f t="shared" ref="C89:X89" si="26">ROUNDUP(C86/(0.9*(($C$7-C88/2)/100)*($L$9*1000)),2)</f>
        <v>3.6799999999999997</v>
      </c>
      <c r="D89" s="76">
        <f t="shared" si="26"/>
        <v>1.93</v>
      </c>
      <c r="E89" s="76">
        <f t="shared" si="26"/>
        <v>1.93</v>
      </c>
      <c r="F89" s="76">
        <f t="shared" si="26"/>
        <v>3.3</v>
      </c>
      <c r="G89" s="76">
        <f t="shared" si="26"/>
        <v>3.19</v>
      </c>
      <c r="H89" s="76">
        <f t="shared" si="26"/>
        <v>2.0999999999999996</v>
      </c>
      <c r="I89" s="76">
        <f t="shared" si="26"/>
        <v>0.59</v>
      </c>
      <c r="J89" s="76">
        <f t="shared" si="26"/>
        <v>0.19</v>
      </c>
      <c r="K89" s="76">
        <f t="shared" si="26"/>
        <v>0.82000000000000006</v>
      </c>
      <c r="L89" s="76">
        <f t="shared" si="26"/>
        <v>2.0999999999999996</v>
      </c>
      <c r="M89" s="76">
        <f t="shared" si="26"/>
        <v>2.98</v>
      </c>
      <c r="N89" s="76">
        <f t="shared" si="26"/>
        <v>0.35000000000000003</v>
      </c>
      <c r="O89" s="76">
        <f t="shared" si="26"/>
        <v>0.35000000000000003</v>
      </c>
      <c r="P89" s="76">
        <f t="shared" si="26"/>
        <v>0.35000000000000003</v>
      </c>
      <c r="Q89" s="76">
        <f t="shared" si="26"/>
        <v>0.35000000000000003</v>
      </c>
      <c r="R89" s="76">
        <f t="shared" si="26"/>
        <v>0.17</v>
      </c>
      <c r="S89" s="76">
        <f t="shared" si="26"/>
        <v>0.17</v>
      </c>
      <c r="T89" s="76">
        <f t="shared" si="26"/>
        <v>0.27</v>
      </c>
      <c r="U89" s="76">
        <f t="shared" si="26"/>
        <v>0.27</v>
      </c>
      <c r="V89" s="76">
        <f t="shared" si="26"/>
        <v>0.09</v>
      </c>
      <c r="W89" s="76">
        <f t="shared" si="26"/>
        <v>0.08</v>
      </c>
      <c r="X89" s="76">
        <f t="shared" si="26"/>
        <v>0.77</v>
      </c>
    </row>
    <row r="90" spans="2:26" ht="16.5" thickBot="1" x14ac:dyDescent="0.3">
      <c r="B90" s="61" t="s">
        <v>106</v>
      </c>
      <c r="C90" s="192" t="str">
        <f>IF(C89&gt;$C$12,"$\phi"&amp;IF(VLOOKUP(VLOOKUP(C89,tablas!$S$3:$U$66,2,TRUE)&amp;VLOOKUP(C89,tablas!$S$3:$U$66,3,TRUE),tablas!$R$3:$S$66,2,FALSE)&lt;C89,VLOOKUP(C89+0.1,tablas!$S$3:$U$66,2,TRUE),VLOOKUP(C89,tablas!$S$3:$U$66,2,TRUE))&amp;"@"&amp;IF(VLOOKUP(VLOOKUP(C89,tablas!$S$3:$U$66,2,TRUE)&amp;VLOOKUP(C89,tablas!$S$3:$U$66,3,TRUE),tablas!$R$3:$S$66,2,FALSE)&lt;C89,VLOOKUP(C89+0.1,tablas!$S$3:$U$66,3,TRUE),VLOOKUP(C89,tablas!$S$3:$U$66,3,TRUE))&amp;"$",$C$13)</f>
        <v>$\phi10@21$</v>
      </c>
      <c r="D90" s="192" t="str">
        <f>IF(D89&gt;$C$12,"$\phi"&amp;IF(VLOOKUP(VLOOKUP(D89,tablas!$S$3:$U$66,2,TRUE)&amp;VLOOKUP(D89,tablas!$S$3:$U$66,3,TRUE),tablas!$R$3:$S$66,2,FALSE)&lt;D89,VLOOKUP(D89+0.1,tablas!$S$3:$U$66,2,TRUE),VLOOKUP(D89,tablas!$S$3:$U$66,2,TRUE))&amp;"@"&amp;IF(VLOOKUP(VLOOKUP(D89,tablas!$S$3:$U$66,2,TRUE)&amp;VLOOKUP(D89,tablas!$S$3:$U$66,3,TRUE),tablas!$R$3:$S$66,2,FALSE)&lt;D89,VLOOKUP(D89+0.1,tablas!$S$3:$U$66,3,TRUE),VLOOKUP(D89,tablas!$S$3:$U$66,3,TRUE))&amp;"$",$C$13)</f>
        <v>$\phi8@17$</v>
      </c>
      <c r="E90" s="192" t="str">
        <f>IF(E89&gt;$C$12,"$\phi"&amp;IF(VLOOKUP(VLOOKUP(E89,tablas!$S$3:$U$66,2,TRUE)&amp;VLOOKUP(E89,tablas!$S$3:$U$66,3,TRUE),tablas!$R$3:$S$66,2,FALSE)&lt;E89,VLOOKUP(E89+0.1,tablas!$S$3:$U$66,2,TRUE),VLOOKUP(E89,tablas!$S$3:$U$66,2,TRUE))&amp;"@"&amp;IF(VLOOKUP(VLOOKUP(E89,tablas!$S$3:$U$66,2,TRUE)&amp;VLOOKUP(E89,tablas!$S$3:$U$66,3,TRUE),tablas!$R$3:$S$66,2,FALSE)&lt;E89,VLOOKUP(E89+0.1,tablas!$S$3:$U$66,3,TRUE),VLOOKUP(E89,tablas!$S$3:$U$66,3,TRUE))&amp;"$",$C$13)</f>
        <v>$\phi8@17$</v>
      </c>
      <c r="F90" s="192" t="str">
        <f>IF(F89&gt;$C$12,"$\phi"&amp;IF(VLOOKUP(VLOOKUP(F89,tablas!$S$3:$U$66,2,TRUE)&amp;VLOOKUP(F89,tablas!$S$3:$U$66,3,TRUE),tablas!$R$3:$S$66,2,FALSE)&lt;F89,VLOOKUP(F89+0.1,tablas!$S$3:$U$66,2,TRUE),VLOOKUP(F89,tablas!$S$3:$U$66,2,TRUE))&amp;"@"&amp;IF(VLOOKUP(VLOOKUP(F89,tablas!$S$3:$U$66,2,TRUE)&amp;VLOOKUP(F89,tablas!$S$3:$U$66,3,TRUE),tablas!$R$3:$S$66,2,FALSE)&lt;F89,VLOOKUP(F89+0.1,tablas!$S$3:$U$66,3,TRUE),VLOOKUP(F89,tablas!$S$3:$U$66,3,TRUE))&amp;"$",$C$13)</f>
        <v>$\phi8@15$</v>
      </c>
      <c r="G90" s="192" t="str">
        <f>IF(G89&gt;$C$12,"$\phi"&amp;IF(VLOOKUP(VLOOKUP(G89,tablas!$S$3:$U$66,2,TRUE)&amp;VLOOKUP(G89,tablas!$S$3:$U$66,3,TRUE),tablas!$R$3:$S$66,2,FALSE)&lt;G89,VLOOKUP(G89+0.1,tablas!$S$3:$U$66,2,TRUE),VLOOKUP(G89,tablas!$S$3:$U$66,2,TRUE))&amp;"@"&amp;IF(VLOOKUP(VLOOKUP(G89,tablas!$S$3:$U$66,2,TRUE)&amp;VLOOKUP(G89,tablas!$S$3:$U$66,3,TRUE),tablas!$R$3:$S$66,2,FALSE)&lt;G89,VLOOKUP(G89+0.1,tablas!$S$3:$U$66,3,TRUE),VLOOKUP(G89,tablas!$S$3:$U$66,3,TRUE))&amp;"$",$C$13)</f>
        <v>$\phi10@24$</v>
      </c>
      <c r="H90" s="192" t="str">
        <f>IF(H89&gt;$C$12,"$\phi"&amp;IF(VLOOKUP(VLOOKUP(H89,tablas!$S$3:$U$66,2,TRUE)&amp;VLOOKUP(H89,tablas!$S$3:$U$66,3,TRUE),tablas!$R$3:$S$66,2,FALSE)&lt;H89,VLOOKUP(H89+0.1,tablas!$S$3:$U$66,2,TRUE),VLOOKUP(H89,tablas!$S$3:$U$66,2,TRUE))&amp;"@"&amp;IF(VLOOKUP(VLOOKUP(H89,tablas!$S$3:$U$66,2,TRUE)&amp;VLOOKUP(H89,tablas!$S$3:$U$66,3,TRUE),tablas!$R$3:$S$66,2,FALSE)&lt;H89,VLOOKUP(H89+0.1,tablas!$S$3:$U$66,3,TRUE),VLOOKUP(H89,tablas!$S$3:$U$66,3,TRUE))&amp;"$",$C$13)</f>
        <v>$\phi8@17$</v>
      </c>
      <c r="I90" s="192" t="str">
        <f>IF(I89&gt;$C$12,"$\phi"&amp;IF(VLOOKUP(VLOOKUP(I89,tablas!$S$3:$U$66,2,TRUE)&amp;VLOOKUP(I89,tablas!$S$3:$U$66,3,TRUE),tablas!$R$3:$S$66,2,FALSE)&lt;I89,VLOOKUP(I89+0.1,tablas!$S$3:$U$66,2,TRUE),VLOOKUP(I89,tablas!$S$3:$U$66,2,TRUE))&amp;"@"&amp;IF(VLOOKUP(VLOOKUP(I89,tablas!$S$3:$U$66,2,TRUE)&amp;VLOOKUP(I89,tablas!$S$3:$U$66,3,TRUE),tablas!$R$3:$S$66,2,FALSE)&lt;I89,VLOOKUP(I89+0.1,tablas!$S$3:$U$66,3,TRUE),VLOOKUP(I89,tablas!$S$3:$U$66,3,TRUE))&amp;"$",$C$13)</f>
        <v>$\phi8@17$</v>
      </c>
      <c r="J90" s="192" t="str">
        <f>IF(J89&gt;$C$12,"$\phi"&amp;IF(VLOOKUP(VLOOKUP(J89,tablas!$S$3:$U$66,2,TRUE)&amp;VLOOKUP(J89,tablas!$S$3:$U$66,3,TRUE),tablas!$R$3:$S$66,2,FALSE)&lt;J89,VLOOKUP(J89+0.1,tablas!$S$3:$U$66,2,TRUE),VLOOKUP(J89,tablas!$S$3:$U$66,2,TRUE))&amp;"@"&amp;IF(VLOOKUP(VLOOKUP(J89,tablas!$S$3:$U$66,2,TRUE)&amp;VLOOKUP(J89,tablas!$S$3:$U$66,3,TRUE),tablas!$R$3:$S$66,2,FALSE)&lt;J89,VLOOKUP(J89+0.1,tablas!$S$3:$U$66,3,TRUE),VLOOKUP(J89,tablas!$S$3:$U$66,3,TRUE))&amp;"$",$C$13)</f>
        <v>$\phi8@17$</v>
      </c>
      <c r="K90" s="192" t="str">
        <f>IF(K89&gt;$C$12,"$\phi"&amp;IF(VLOOKUP(VLOOKUP(K89,tablas!$S$3:$U$66,2,TRUE)&amp;VLOOKUP(K89,tablas!$S$3:$U$66,3,TRUE),tablas!$R$3:$S$66,2,FALSE)&lt;K89,VLOOKUP(K89+0.1,tablas!$S$3:$U$66,2,TRUE),VLOOKUP(K89,tablas!$S$3:$U$66,2,TRUE))&amp;"@"&amp;IF(VLOOKUP(VLOOKUP(K89,tablas!$S$3:$U$66,2,TRUE)&amp;VLOOKUP(K89,tablas!$S$3:$U$66,3,TRUE),tablas!$R$3:$S$66,2,FALSE)&lt;K89,VLOOKUP(K89+0.1,tablas!$S$3:$U$66,3,TRUE),VLOOKUP(K89,tablas!$S$3:$U$66,3,TRUE))&amp;"$",$C$13)</f>
        <v>$\phi8@17$</v>
      </c>
      <c r="L90" s="192" t="str">
        <f>IF(L89&gt;$C$12,"$\phi"&amp;IF(VLOOKUP(VLOOKUP(L89,tablas!$S$3:$U$66,2,TRUE)&amp;VLOOKUP(L89,tablas!$S$3:$U$66,3,TRUE),tablas!$R$3:$S$66,2,FALSE)&lt;L89,VLOOKUP(L89+0.1,tablas!$S$3:$U$66,2,TRUE),VLOOKUP(L89,tablas!$S$3:$U$66,2,TRUE))&amp;"@"&amp;IF(VLOOKUP(VLOOKUP(L89,tablas!$S$3:$U$66,2,TRUE)&amp;VLOOKUP(L89,tablas!$S$3:$U$66,3,TRUE),tablas!$R$3:$S$66,2,FALSE)&lt;L89,VLOOKUP(L89+0.1,tablas!$S$3:$U$66,3,TRUE),VLOOKUP(L89,tablas!$S$3:$U$66,3,TRUE))&amp;"$",$C$13)</f>
        <v>$\phi8@17$</v>
      </c>
      <c r="M90" s="192" t="str">
        <f>IF(M89&gt;$C$12,"$\phi"&amp;IF(VLOOKUP(VLOOKUP(M89,tablas!$S$3:$U$66,2,TRUE)&amp;VLOOKUP(M89,tablas!$S$3:$U$66,3,TRUE),tablas!$R$3:$S$66,2,FALSE)&lt;M89,VLOOKUP(M89+0.1,tablas!$S$3:$U$66,2,TRUE),VLOOKUP(M89,tablas!$S$3:$U$66,2,TRUE))&amp;"@"&amp;IF(VLOOKUP(VLOOKUP(M89,tablas!$S$3:$U$66,2,TRUE)&amp;VLOOKUP(M89,tablas!$S$3:$U$66,3,TRUE),tablas!$R$3:$S$66,2,FALSE)&lt;M89,VLOOKUP(M89+0.1,tablas!$S$3:$U$66,3,TRUE),VLOOKUP(M89,tablas!$S$3:$U$66,3,TRUE))&amp;"$",$C$13)</f>
        <v>$\phi8@17$</v>
      </c>
      <c r="N90" s="192" t="str">
        <f>IF(N89&gt;$C$12,"$\phi"&amp;IF(VLOOKUP(VLOOKUP(N89,tablas!$S$3:$U$66,2,TRUE)&amp;VLOOKUP(N89,tablas!$S$3:$U$66,3,TRUE),tablas!$R$3:$S$66,2,FALSE)&lt;N89,VLOOKUP(N89+0.1,tablas!$S$3:$U$66,2,TRUE),VLOOKUP(N89,tablas!$S$3:$U$66,2,TRUE))&amp;"@"&amp;IF(VLOOKUP(VLOOKUP(N89,tablas!$S$3:$U$66,2,TRUE)&amp;VLOOKUP(N89,tablas!$S$3:$U$66,3,TRUE),tablas!$R$3:$S$66,2,FALSE)&lt;N89,VLOOKUP(N89+0.1,tablas!$S$3:$U$66,3,TRUE),VLOOKUP(N89,tablas!$S$3:$U$66,3,TRUE))&amp;"$",$C$13)</f>
        <v>$\phi8@17$</v>
      </c>
      <c r="O90" s="192" t="str">
        <f>IF(O89&gt;$C$12,"$\phi"&amp;IF(VLOOKUP(VLOOKUP(O89,tablas!$S$3:$U$66,2,TRUE)&amp;VLOOKUP(O89,tablas!$S$3:$U$66,3,TRUE),tablas!$R$3:$S$66,2,FALSE)&lt;O89,VLOOKUP(O89+0.1,tablas!$S$3:$U$66,2,TRUE),VLOOKUP(O89,tablas!$S$3:$U$66,2,TRUE))&amp;"@"&amp;IF(VLOOKUP(VLOOKUP(O89,tablas!$S$3:$U$66,2,TRUE)&amp;VLOOKUP(O89,tablas!$S$3:$U$66,3,TRUE),tablas!$R$3:$S$66,2,FALSE)&lt;O89,VLOOKUP(O89+0.1,tablas!$S$3:$U$66,3,TRUE),VLOOKUP(O89,tablas!$S$3:$U$66,3,TRUE))&amp;"$",$C$13)</f>
        <v>$\phi8@17$</v>
      </c>
      <c r="P90" s="192" t="str">
        <f>IF(P89&gt;$C$12,"$\phi"&amp;IF(VLOOKUP(VLOOKUP(P89,tablas!$S$3:$U$66,2,TRUE)&amp;VLOOKUP(P89,tablas!$S$3:$U$66,3,TRUE),tablas!$R$3:$S$66,2,FALSE)&lt;P89,VLOOKUP(P89+0.1,tablas!$S$3:$U$66,2,TRUE),VLOOKUP(P89,tablas!$S$3:$U$66,2,TRUE))&amp;"@"&amp;IF(VLOOKUP(VLOOKUP(P89,tablas!$S$3:$U$66,2,TRUE)&amp;VLOOKUP(P89,tablas!$S$3:$U$66,3,TRUE),tablas!$R$3:$S$66,2,FALSE)&lt;P89,VLOOKUP(P89+0.1,tablas!$S$3:$U$66,3,TRUE),VLOOKUP(P89,tablas!$S$3:$U$66,3,TRUE))&amp;"$",$C$13)</f>
        <v>$\phi8@17$</v>
      </c>
      <c r="Q90" s="192" t="str">
        <f>IF(Q89&gt;$C$12,"$\phi"&amp;IF(VLOOKUP(VLOOKUP(Q89,tablas!$S$3:$U$66,2,TRUE)&amp;VLOOKUP(Q89,tablas!$S$3:$U$66,3,TRUE),tablas!$R$3:$S$66,2,FALSE)&lt;Q89,VLOOKUP(Q89+0.1,tablas!$S$3:$U$66,2,TRUE),VLOOKUP(Q89,tablas!$S$3:$U$66,2,TRUE))&amp;"@"&amp;IF(VLOOKUP(VLOOKUP(Q89,tablas!$S$3:$U$66,2,TRUE)&amp;VLOOKUP(Q89,tablas!$S$3:$U$66,3,TRUE),tablas!$R$3:$S$66,2,FALSE)&lt;Q89,VLOOKUP(Q89+0.1,tablas!$S$3:$U$66,3,TRUE),VLOOKUP(Q89,tablas!$S$3:$U$66,3,TRUE))&amp;"$",$C$13)</f>
        <v>$\phi8@17$</v>
      </c>
      <c r="R90" s="192" t="str">
        <f>IF(R89&gt;$C$12,"$\phi"&amp;IF(VLOOKUP(VLOOKUP(R89,tablas!$S$3:$U$66,2,TRUE)&amp;VLOOKUP(R89,tablas!$S$3:$U$66,3,TRUE),tablas!$R$3:$S$66,2,FALSE)&lt;R89,VLOOKUP(R89+0.1,tablas!$S$3:$U$66,2,TRUE),VLOOKUP(R89,tablas!$S$3:$U$66,2,TRUE))&amp;"@"&amp;IF(VLOOKUP(VLOOKUP(R89,tablas!$S$3:$U$66,2,TRUE)&amp;VLOOKUP(R89,tablas!$S$3:$U$66,3,TRUE),tablas!$R$3:$S$66,2,FALSE)&lt;R89,VLOOKUP(R89+0.1,tablas!$S$3:$U$66,3,TRUE),VLOOKUP(R89,tablas!$S$3:$U$66,3,TRUE))&amp;"$",$C$13)</f>
        <v>$\phi8@17$</v>
      </c>
      <c r="S90" s="192" t="str">
        <f>IF(S89&gt;$C$12,"$\phi"&amp;IF(VLOOKUP(VLOOKUP(S89,tablas!$S$3:$U$66,2,TRUE)&amp;VLOOKUP(S89,tablas!$S$3:$U$66,3,TRUE),tablas!$R$3:$S$66,2,FALSE)&lt;S89,VLOOKUP(S89+0.1,tablas!$S$3:$U$66,2,TRUE),VLOOKUP(S89,tablas!$S$3:$U$66,2,TRUE))&amp;"@"&amp;IF(VLOOKUP(VLOOKUP(S89,tablas!$S$3:$U$66,2,TRUE)&amp;VLOOKUP(S89,tablas!$S$3:$U$66,3,TRUE),tablas!$R$3:$S$66,2,FALSE)&lt;S89,VLOOKUP(S89+0.1,tablas!$S$3:$U$66,3,TRUE),VLOOKUP(S89,tablas!$S$3:$U$66,3,TRUE))&amp;"$",$C$13)</f>
        <v>$\phi8@17$</v>
      </c>
      <c r="T90" s="192" t="str">
        <f>IF(T89&gt;$C$12,"$\phi"&amp;IF(VLOOKUP(VLOOKUP(T89,tablas!$S$3:$U$66,2,TRUE)&amp;VLOOKUP(T89,tablas!$S$3:$U$66,3,TRUE),tablas!$R$3:$S$66,2,FALSE)&lt;T89,VLOOKUP(T89+0.1,tablas!$S$3:$U$66,2,TRUE),VLOOKUP(T89,tablas!$S$3:$U$66,2,TRUE))&amp;"@"&amp;IF(VLOOKUP(VLOOKUP(T89,tablas!$S$3:$U$66,2,TRUE)&amp;VLOOKUP(T89,tablas!$S$3:$U$66,3,TRUE),tablas!$R$3:$S$66,2,FALSE)&lt;T89,VLOOKUP(T89+0.1,tablas!$S$3:$U$66,3,TRUE),VLOOKUP(T89,tablas!$S$3:$U$66,3,TRUE))&amp;"$",$C$13)</f>
        <v>$\phi8@17$</v>
      </c>
      <c r="U90" s="192" t="str">
        <f>IF(U89&gt;$C$12,"$\phi"&amp;IF(VLOOKUP(VLOOKUP(U89,tablas!$S$3:$U$66,2,TRUE)&amp;VLOOKUP(U89,tablas!$S$3:$U$66,3,TRUE),tablas!$R$3:$S$66,2,FALSE)&lt;U89,VLOOKUP(U89+0.1,tablas!$S$3:$U$66,2,TRUE),VLOOKUP(U89,tablas!$S$3:$U$66,2,TRUE))&amp;"@"&amp;IF(VLOOKUP(VLOOKUP(U89,tablas!$S$3:$U$66,2,TRUE)&amp;VLOOKUP(U89,tablas!$S$3:$U$66,3,TRUE),tablas!$R$3:$S$66,2,FALSE)&lt;U89,VLOOKUP(U89+0.1,tablas!$S$3:$U$66,3,TRUE),VLOOKUP(U89,tablas!$S$3:$U$66,3,TRUE))&amp;"$",$C$13)</f>
        <v>$\phi8@17$</v>
      </c>
      <c r="V90" s="192" t="str">
        <f>IF(V89&gt;$C$12,"$\phi"&amp;IF(VLOOKUP(VLOOKUP(V89,tablas!$S$3:$U$66,2,TRUE)&amp;VLOOKUP(V89,tablas!$S$3:$U$66,3,TRUE),tablas!$R$3:$S$66,2,FALSE)&lt;V89,VLOOKUP(V89+0.1,tablas!$S$3:$U$66,2,TRUE),VLOOKUP(V89,tablas!$S$3:$U$66,2,TRUE))&amp;"@"&amp;IF(VLOOKUP(VLOOKUP(V89,tablas!$S$3:$U$66,2,TRUE)&amp;VLOOKUP(V89,tablas!$S$3:$U$66,3,TRUE),tablas!$R$3:$S$66,2,FALSE)&lt;V89,VLOOKUP(V89+0.1,tablas!$S$3:$U$66,3,TRUE),VLOOKUP(V89,tablas!$S$3:$U$66,3,TRUE))&amp;"$",$C$13)</f>
        <v>$\phi8@17$</v>
      </c>
      <c r="W90" s="192" t="str">
        <f>IF(W89&gt;$C$12,"$\phi"&amp;IF(VLOOKUP(VLOOKUP(W89,tablas!$S$3:$U$66,2,TRUE)&amp;VLOOKUP(W89,tablas!$S$3:$U$66,3,TRUE),tablas!$R$3:$S$66,2,FALSE)&lt;W89,VLOOKUP(W89+0.1,tablas!$S$3:$U$66,2,TRUE),VLOOKUP(W89,tablas!$S$3:$U$66,2,TRUE))&amp;"@"&amp;IF(VLOOKUP(VLOOKUP(W89,tablas!$S$3:$U$66,2,TRUE)&amp;VLOOKUP(W89,tablas!$S$3:$U$66,3,TRUE),tablas!$R$3:$S$66,2,FALSE)&lt;W89,VLOOKUP(W89+0.1,tablas!$S$3:$U$66,3,TRUE),VLOOKUP(W89,tablas!$S$3:$U$66,3,TRUE))&amp;"$",$C$13)</f>
        <v>$\phi8@17$</v>
      </c>
      <c r="X90" s="192" t="str">
        <f>IF(X89&gt;$C$12,"$\phi"&amp;IF(VLOOKUP(VLOOKUP(X89,tablas!$S$3:$U$66,2,TRUE)&amp;VLOOKUP(X89,tablas!$S$3:$U$66,3,TRUE),tablas!$R$3:$S$66,2,FALSE)&lt;X89,VLOOKUP(X89+0.1,tablas!$S$3:$U$66,2,TRUE),VLOOKUP(X89,tablas!$S$3:$U$66,2,TRUE))&amp;"@"&amp;IF(VLOOKUP(VLOOKUP(X89,tablas!$S$3:$U$66,2,TRUE)&amp;VLOOKUP(X89,tablas!$S$3:$U$66,3,TRUE),tablas!$R$3:$S$66,2,FALSE)&lt;X89,VLOOKUP(X89+0.1,tablas!$S$3:$U$66,3,TRUE),VLOOKUP(X89,tablas!$S$3:$U$66,3,TRUE))&amp;"$",$C$13)</f>
        <v>$\phi8@17$</v>
      </c>
    </row>
    <row r="92" spans="2:26" ht="15.75" thickBot="1" x14ac:dyDescent="0.3">
      <c r="B92" s="299" t="s">
        <v>107</v>
      </c>
      <c r="C92" s="299"/>
      <c r="P92" s="40"/>
      <c r="T92" s="40"/>
      <c r="U92" s="41"/>
    </row>
    <row r="93" spans="2:26" ht="15.75" thickBot="1" x14ac:dyDescent="0.3">
      <c r="B93" s="73" t="s">
        <v>43</v>
      </c>
      <c r="C93" s="74" t="s">
        <v>211</v>
      </c>
      <c r="D93" s="75" t="s">
        <v>212</v>
      </c>
      <c r="E93" s="74" t="s">
        <v>211</v>
      </c>
      <c r="F93" s="75" t="s">
        <v>215</v>
      </c>
      <c r="G93" s="74" t="s">
        <v>211</v>
      </c>
      <c r="H93" s="75" t="s">
        <v>216</v>
      </c>
      <c r="I93" s="74" t="s">
        <v>211</v>
      </c>
      <c r="J93" s="75" t="s">
        <v>222</v>
      </c>
      <c r="K93" s="74" t="s">
        <v>211</v>
      </c>
      <c r="L93" s="75" t="s">
        <v>231</v>
      </c>
      <c r="M93" s="74" t="s">
        <v>212</v>
      </c>
      <c r="N93" s="75" t="s">
        <v>213</v>
      </c>
      <c r="O93" s="74" t="s">
        <v>212</v>
      </c>
      <c r="P93" s="75" t="s">
        <v>218</v>
      </c>
      <c r="Q93" s="74" t="s">
        <v>212</v>
      </c>
      <c r="R93" s="75" t="s">
        <v>223</v>
      </c>
      <c r="S93" s="74" t="s">
        <v>213</v>
      </c>
      <c r="T93" s="75" t="s">
        <v>224</v>
      </c>
      <c r="U93" s="74" t="s">
        <v>213</v>
      </c>
      <c r="V93" s="75" t="s">
        <v>218</v>
      </c>
      <c r="W93" s="74" t="s">
        <v>213</v>
      </c>
      <c r="X93" s="75" t="s">
        <v>214</v>
      </c>
      <c r="Y93" s="74" t="s">
        <v>214</v>
      </c>
      <c r="Z93" s="75" t="s">
        <v>225</v>
      </c>
    </row>
    <row r="94" spans="2:26" ht="15.75" hidden="1" thickBot="1" x14ac:dyDescent="0.3">
      <c r="B94" s="141"/>
      <c r="C94" s="143" t="str">
        <f>C93&amp;"-"&amp;D93</f>
        <v>2301-2302</v>
      </c>
      <c r="D94" s="143"/>
      <c r="E94" s="143" t="str">
        <f>E93&amp;"-"&amp;F93</f>
        <v>2301-2305</v>
      </c>
      <c r="F94" s="142"/>
      <c r="G94" s="143" t="str">
        <f>G93&amp;"-"&amp;H93</f>
        <v>2301-2306</v>
      </c>
      <c r="H94" s="142"/>
      <c r="I94" s="143" t="str">
        <f>I93&amp;"-"&amp;J93</f>
        <v>2301-2312</v>
      </c>
      <c r="J94" s="142"/>
      <c r="K94" s="143" t="str">
        <f>K93&amp;"-"&amp;L93</f>
        <v>2301-2321</v>
      </c>
      <c r="L94" s="142"/>
      <c r="M94" s="143" t="str">
        <f>M93&amp;"-"&amp;N93</f>
        <v>2302-2303</v>
      </c>
      <c r="N94" s="142"/>
      <c r="O94" s="143" t="str">
        <f>O93&amp;"-"&amp;P93</f>
        <v>2302-2308</v>
      </c>
      <c r="P94" s="142"/>
      <c r="Q94" s="143" t="str">
        <f>Q93&amp;"-"&amp;R93</f>
        <v>2302-2313</v>
      </c>
      <c r="R94" s="142"/>
      <c r="S94" s="143" t="str">
        <f>S93&amp;"-"&amp;T93</f>
        <v>2303-2314</v>
      </c>
      <c r="T94" s="142"/>
      <c r="U94" s="143" t="str">
        <f>U93&amp;"-"&amp;V93</f>
        <v>2303-2308</v>
      </c>
      <c r="V94" s="142"/>
      <c r="W94" s="143" t="str">
        <f>W93&amp;"-"&amp;X93</f>
        <v>2303-2304</v>
      </c>
      <c r="X94" s="142"/>
      <c r="Y94" s="143" t="str">
        <f>Y93&amp;"-"&amp;Z93</f>
        <v>2304-2315</v>
      </c>
      <c r="Z94" s="142"/>
    </row>
    <row r="95" spans="2:26" x14ac:dyDescent="0.25">
      <c r="B95" s="102" t="s">
        <v>114</v>
      </c>
      <c r="C95" s="99" t="s">
        <v>109</v>
      </c>
      <c r="D95" s="100" t="s">
        <v>109</v>
      </c>
      <c r="E95" s="99" t="s">
        <v>108</v>
      </c>
      <c r="F95" s="100" t="s">
        <v>108</v>
      </c>
      <c r="G95" s="99" t="s">
        <v>108</v>
      </c>
      <c r="H95" s="100" t="s">
        <v>109</v>
      </c>
      <c r="I95" s="99" t="s">
        <v>108</v>
      </c>
      <c r="J95" s="100" t="s">
        <v>108</v>
      </c>
      <c r="K95" s="99" t="s">
        <v>109</v>
      </c>
      <c r="L95" s="100" t="s">
        <v>108</v>
      </c>
      <c r="M95" s="99" t="s">
        <v>109</v>
      </c>
      <c r="N95" s="100" t="s">
        <v>109</v>
      </c>
      <c r="O95" s="99" t="s">
        <v>108</v>
      </c>
      <c r="P95" s="100" t="s">
        <v>108</v>
      </c>
      <c r="Q95" s="99" t="s">
        <v>108</v>
      </c>
      <c r="R95" s="100" t="s">
        <v>108</v>
      </c>
      <c r="S95" s="99" t="s">
        <v>108</v>
      </c>
      <c r="T95" s="100" t="s">
        <v>108</v>
      </c>
      <c r="U95" s="99" t="s">
        <v>108</v>
      </c>
      <c r="V95" s="100" t="s">
        <v>108</v>
      </c>
      <c r="W95" s="99" t="s">
        <v>109</v>
      </c>
      <c r="X95" s="100" t="s">
        <v>109</v>
      </c>
      <c r="Y95" s="99" t="s">
        <v>108</v>
      </c>
      <c r="Z95" s="100" t="s">
        <v>108</v>
      </c>
    </row>
    <row r="96" spans="2:26" x14ac:dyDescent="0.25">
      <c r="B96" s="103" t="s">
        <v>110</v>
      </c>
      <c r="C96" s="195">
        <f t="shared" ref="C96:Z96" si="27">HLOOKUP(C93,$B$46:$AE$90,IF(C95="x",36,41),FALSE)</f>
        <v>1973.2974910394266</v>
      </c>
      <c r="D96" s="196">
        <f t="shared" si="27"/>
        <v>1034.7772925764191</v>
      </c>
      <c r="E96" s="195">
        <f t="shared" si="27"/>
        <v>2685.6097560975609</v>
      </c>
      <c r="F96" s="196">
        <f t="shared" si="27"/>
        <v>1981.8038709677417</v>
      </c>
      <c r="G96" s="195">
        <f t="shared" si="27"/>
        <v>2685.6097560975609</v>
      </c>
      <c r="H96" s="196">
        <f t="shared" si="27"/>
        <v>1125.1724137931033</v>
      </c>
      <c r="I96" s="195">
        <f t="shared" si="27"/>
        <v>2685.6097560975609</v>
      </c>
      <c r="J96" s="196">
        <f t="shared" si="27"/>
        <v>259.36137500000001</v>
      </c>
      <c r="K96" s="195">
        <f t="shared" si="27"/>
        <v>1973.2974910394266</v>
      </c>
      <c r="L96" s="196">
        <f t="shared" si="27"/>
        <v>55.73749999999999</v>
      </c>
      <c r="M96" s="195">
        <f t="shared" si="27"/>
        <v>1034.7772925764191</v>
      </c>
      <c r="N96" s="196">
        <f t="shared" si="27"/>
        <v>1034.7772925764191</v>
      </c>
      <c r="O96" s="195">
        <f t="shared" si="27"/>
        <v>1260.4468085106382</v>
      </c>
      <c r="P96" s="196">
        <f t="shared" si="27"/>
        <v>148.6333333333333</v>
      </c>
      <c r="Q96" s="195">
        <f t="shared" si="27"/>
        <v>1260.4468085106382</v>
      </c>
      <c r="R96" s="196">
        <f t="shared" si="27"/>
        <v>259.36137500000001</v>
      </c>
      <c r="S96" s="195">
        <f t="shared" si="27"/>
        <v>1260.4468085106382</v>
      </c>
      <c r="T96" s="196">
        <f t="shared" si="27"/>
        <v>259.36137500000001</v>
      </c>
      <c r="U96" s="195">
        <f t="shared" si="27"/>
        <v>1260.4468085106382</v>
      </c>
      <c r="V96" s="196">
        <f t="shared" si="27"/>
        <v>148.6333333333333</v>
      </c>
      <c r="W96" s="195">
        <f t="shared" si="27"/>
        <v>1034.7772925764191</v>
      </c>
      <c r="X96" s="196">
        <f t="shared" si="27"/>
        <v>1772.9957142857143</v>
      </c>
      <c r="Y96" s="195">
        <f t="shared" si="27"/>
        <v>2262.4164062499999</v>
      </c>
      <c r="Z96" s="196">
        <f t="shared" si="27"/>
        <v>259.36137500000001</v>
      </c>
    </row>
    <row r="97" spans="2:26" x14ac:dyDescent="0.25">
      <c r="B97" s="103" t="s">
        <v>111</v>
      </c>
      <c r="C97" s="283">
        <f>(MAX(C96:D96)-MIN(C96:D96))/(MAX(C96:D96))</f>
        <v>0.47561009058428677</v>
      </c>
      <c r="D97" s="284"/>
      <c r="E97" s="283">
        <f>(MAX(E96:F96)-MIN(E96:F96))/(MAX(E96:F96))</f>
        <v>0.26206558251133039</v>
      </c>
      <c r="F97" s="284"/>
      <c r="G97" s="283">
        <f>(MAX(G96:H96)-MIN(G96:H96))/(MAX(G96:H96))</f>
        <v>0.58103651834059367</v>
      </c>
      <c r="H97" s="284"/>
      <c r="I97" s="283">
        <f>(MAX(I96:J96)-MIN(I96:J96))/(MAX(I96:J96))</f>
        <v>0.90342551652892567</v>
      </c>
      <c r="J97" s="284"/>
      <c r="K97" s="283">
        <f>(MAX(K96:L96)-MIN(K96:L96))/(MAX(K96:L96))</f>
        <v>0.97175413223140494</v>
      </c>
      <c r="L97" s="284"/>
      <c r="M97" s="283">
        <f>(MAX(M96:N96)-MIN(M96:N96))/(MAX(M96:N96))</f>
        <v>0</v>
      </c>
      <c r="N97" s="284"/>
      <c r="O97" s="283">
        <f>(MAX(O96:P96)-MIN(O96:P96))/(MAX(O96:P96))</f>
        <v>0.88207885304659506</v>
      </c>
      <c r="P97" s="284"/>
      <c r="Q97" s="283">
        <f>(MAX(Q96:R96)-MIN(Q96:R96))/(MAX(Q96:R96))</f>
        <v>0.79423060675883261</v>
      </c>
      <c r="R97" s="284"/>
      <c r="S97" s="283">
        <f>(MAX(S96:T96)-MIN(S96:T96))/(MAX(S96:T96))</f>
        <v>0.79423060675883261</v>
      </c>
      <c r="T97" s="284"/>
      <c r="U97" s="283">
        <f>(MAX(U96:V96)-MIN(U96:V96))/(MAX(U96:V96))</f>
        <v>0.88207885304659506</v>
      </c>
      <c r="V97" s="284"/>
      <c r="W97" s="283">
        <f>(MAX(W96:X96)-MIN(W96:X96))/(MAX(W96:X96))</f>
        <v>0.41636785456455588</v>
      </c>
      <c r="X97" s="284"/>
      <c r="Y97" s="283">
        <f>(MAX(Y96:Z96)-MIN(Y96:Z96))/(MAX(Y96:Z96))</f>
        <v>0.88536090249190835</v>
      </c>
      <c r="Z97" s="284"/>
    </row>
    <row r="98" spans="2:26" x14ac:dyDescent="0.25">
      <c r="B98" s="103" t="s">
        <v>112</v>
      </c>
      <c r="C98" s="285">
        <f>IF(C97&lt;25%,(C96*0.5+D96*0.5)*0.9,IF(C97&lt;50%,(MAX(C96:D96)*0.6+MIN(C96:D96)*0.4)*0.9,IF(C97&lt;70%,(MAX(C96:D96)*0.65+MIN(C96:D96)*0.35)*0.9,IF(C97&lt;100%,(MAX(C96:D96)*0.7+MIN(C96:D96)*0.3)*0.9,0.7*MAX(C96:D96)))))</f>
        <v>1438.1004704888012</v>
      </c>
      <c r="D98" s="286"/>
      <c r="E98" s="285">
        <f>IF(E97&lt;25%,(E96*0.5+F96*0.5)*0.9,IF(E97&lt;50%,(MAX(E96:F96)*0.6+MIN(E96:F96)*0.4)*0.9,IF(E97&lt;70%,(MAX(E96:F96)*0.65+MIN(E96:F96)*0.35)*0.9,IF(E97&lt;100%,(MAX(E96:F96)*0.7+MIN(E96:F96)*0.3)*0.9,0.7*MAX(E96:F96)))))</f>
        <v>2163.6786618410697</v>
      </c>
      <c r="F98" s="286"/>
      <c r="G98" s="285">
        <f>IF(G97&lt;25%,(G96*0.5+H96*0.5)*0.9,IF(G97&lt;50%,(MAX(G96:H96)*0.6+MIN(G96:H96)*0.4)*0.9,IF(G97&lt;70%,(MAX(G96:H96)*0.65+MIN(G96:H96)*0.35)*0.9,IF(G97&lt;100%,(MAX(G96:H96)*0.7+MIN(G96:H96)*0.3)*0.9,0.7*MAX(G96:H96)))))</f>
        <v>1925.511017661901</v>
      </c>
      <c r="H98" s="286"/>
      <c r="I98" s="285">
        <f>IF(I97&lt;25%,(I96*0.5+J96*0.5)*0.9,IF(I97&lt;50%,(MAX(I96:J96)*0.6+MIN(I96:J96)*0.4)*0.9,IF(I97&lt;70%,(MAX(I96:J96)*0.65+MIN(I96:J96)*0.35)*0.9,IF(I97&lt;100%,(MAX(I96:J96)*0.7+MIN(I96:J96)*0.3)*0.9,0.7*MAX(I96:J96)))))</f>
        <v>1761.9617175914634</v>
      </c>
      <c r="J98" s="286"/>
      <c r="K98" s="285">
        <f>IF(K97&lt;25%,(K96*0.5+L96*0.5)*0.9,IF(K97&lt;50%,(MAX(K96:L96)*0.6+MIN(K96:L96)*0.4)*0.9,IF(K97&lt;70%,(MAX(K96:L96)*0.65+MIN(K96:L96)*0.35)*0.9,IF(K97&lt;100%,(MAX(K96:L96)*0.7+MIN(K96:L96)*0.3)*0.9,0.7*MAX(K96:L96)))))</f>
        <v>1258.2265443548388</v>
      </c>
      <c r="L98" s="286"/>
      <c r="M98" s="285">
        <f>IF(M97&lt;25%,(M96*0.5+N96*0.5)*0.9,IF(M97&lt;50%,(MAX(M96:N96)*0.6+MIN(M96:N96)*0.4)*0.9,IF(M97&lt;70%,(MAX(M96:N96)*0.65+MIN(M96:N96)*0.35)*0.9,IF(M97&lt;100%,(MAX(M96:N96)*0.7+MIN(M96:N96)*0.3)*0.9,0.7*MAX(M96:N96)))))</f>
        <v>931.29956331877725</v>
      </c>
      <c r="N98" s="286"/>
      <c r="O98" s="285">
        <f>IF(O97&lt;25%,(O96*0.5+P96*0.5)*0.9,IF(O97&lt;50%,(MAX(O96:P96)*0.6+MIN(O96:P96)*0.4)*0.9,IF(O97&lt;70%,(MAX(O96:P96)*0.65+MIN(O96:P96)*0.35)*0.9,IF(O97&lt;100%,(MAX(O96:P96)*0.7+MIN(O96:P96)*0.3)*0.9,0.7*MAX(O96:P96)))))</f>
        <v>834.21248936170207</v>
      </c>
      <c r="P98" s="286"/>
      <c r="Q98" s="285">
        <f>IF(Q97&lt;25%,(Q96*0.5+R96*0.5)*0.9,IF(Q97&lt;50%,(MAX(Q96:R96)*0.6+MIN(Q96:R96)*0.4)*0.9,IF(Q97&lt;70%,(MAX(Q96:R96)*0.65+MIN(Q96:R96)*0.35)*0.9,IF(Q97&lt;100%,(MAX(Q96:R96)*0.7+MIN(Q96:R96)*0.3)*0.9,0.7*MAX(Q96:R96)))))</f>
        <v>864.10906061170203</v>
      </c>
      <c r="R98" s="286"/>
      <c r="S98" s="285">
        <f>IF(S97&lt;25%,(S96*0.5+T96*0.5)*0.9,IF(S97&lt;50%,(MAX(S96:T96)*0.6+MIN(S96:T96)*0.4)*0.9,IF(S97&lt;70%,(MAX(S96:T96)*0.65+MIN(S96:T96)*0.35)*0.9,IF(S97&lt;100%,(MAX(S96:T96)*0.7+MIN(S96:T96)*0.3)*0.9,0.7*MAX(S96:T96)))))</f>
        <v>864.10906061170203</v>
      </c>
      <c r="T98" s="286"/>
      <c r="U98" s="285">
        <f>IF(U97&lt;25%,(U96*0.5+V96*0.5)*0.9,IF(U97&lt;50%,(MAX(U96:V96)*0.6+MIN(U96:V96)*0.4)*0.9,IF(U97&lt;70%,(MAX(U96:V96)*0.65+MIN(U96:V96)*0.35)*0.9,IF(U97&lt;100%,(MAX(U96:V96)*0.7+MIN(U96:V96)*0.3)*0.9,0.7*MAX(U96:V96)))))</f>
        <v>834.21248936170207</v>
      </c>
      <c r="V98" s="286"/>
      <c r="W98" s="285">
        <f>IF(W97&lt;25%,(W96*0.5+X96*0.5)*0.9,IF(W97&lt;50%,(MAX(W96:X96)*0.6+MIN(W96:X96)*0.4)*0.9,IF(W97&lt;70%,(MAX(W96:X96)*0.65+MIN(W96:X96)*0.35)*0.9,IF(W97&lt;100%,(MAX(W96:X96)*0.7+MIN(W96:X96)*0.3)*0.9,0.7*MAX(W96:X96)))))</f>
        <v>1329.9375110417966</v>
      </c>
      <c r="X98" s="286"/>
      <c r="Y98" s="285">
        <f>IF(Y97&lt;25%,(Y96*0.5+Z96*0.5)*0.9,IF(Y97&lt;50%,(MAX(Y96:Z96)*0.6+MIN(Y96:Z96)*0.4)*0.9,IF(Y97&lt;70%,(MAX(Y96:Z96)*0.65+MIN(Y96:Z96)*0.35)*0.9,IF(Y97&lt;100%,(MAX(Y96:Z96)*0.7+MIN(Y96:Z96)*0.3)*0.9,0.7*MAX(Y96:Z96)))))</f>
        <v>1495.3499071874999</v>
      </c>
      <c r="Z98" s="286"/>
    </row>
    <row r="99" spans="2:26" x14ac:dyDescent="0.25">
      <c r="B99" s="104" t="s">
        <v>15</v>
      </c>
      <c r="C99" s="287">
        <f>C98/(0.9*(0.9*($C$7/100))*($L$9*1000))</f>
        <v>2.9630051395457335</v>
      </c>
      <c r="D99" s="288"/>
      <c r="E99" s="287">
        <f>E98/(0.9*(0.9*($C$7/100))*($L$9*1000))</f>
        <v>4.4579576510266135</v>
      </c>
      <c r="F99" s="288"/>
      <c r="G99" s="287">
        <f>G98/(0.9*(0.9*($C$7/100))*($L$9*1000))</f>
        <v>3.967246488449415</v>
      </c>
      <c r="H99" s="288"/>
      <c r="I99" s="287">
        <f>I98/(0.9*(0.9*($C$7/100))*($L$9*1000))</f>
        <v>3.630276000905452</v>
      </c>
      <c r="J99" s="288"/>
      <c r="K99" s="287">
        <f>K98/(0.9*(0.9*($C$7/100))*($L$9*1000))</f>
        <v>2.5924000402900131</v>
      </c>
      <c r="L99" s="288"/>
      <c r="M99" s="287">
        <f>M98/(0.9*(0.9*($C$7/100))*($L$9*1000))</f>
        <v>1.9188126623950803</v>
      </c>
      <c r="N99" s="288"/>
      <c r="O99" s="287">
        <f>O98/(0.9*(0.9*($C$7/100))*($L$9*1000))</f>
        <v>1.7187783080356149</v>
      </c>
      <c r="P99" s="288"/>
      <c r="Q99" s="287">
        <f>Q98/(0.9*(0.9*($C$7/100))*($L$9*1000))</f>
        <v>1.7803760170179617</v>
      </c>
      <c r="R99" s="288"/>
      <c r="S99" s="287">
        <f>S98/(0.9*(0.9*($C$7/100))*($L$9*1000))</f>
        <v>1.7803760170179617</v>
      </c>
      <c r="T99" s="288"/>
      <c r="U99" s="287">
        <f>U98/(0.9*(0.9*($C$7/100))*($L$9*1000))</f>
        <v>1.7187783080356149</v>
      </c>
      <c r="V99" s="288"/>
      <c r="W99" s="287">
        <f>W98/(0.9*(0.9*($C$7/100))*($L$9*1000))</f>
        <v>2.7401504702603394</v>
      </c>
      <c r="X99" s="288"/>
      <c r="Y99" s="287">
        <f>Y98/(0.9*(0.9*($C$7/100))*($L$9*1000))</f>
        <v>3.0809596070223249</v>
      </c>
      <c r="Z99" s="288"/>
    </row>
    <row r="100" spans="2:26" x14ac:dyDescent="0.25">
      <c r="B100" s="104" t="s">
        <v>98</v>
      </c>
      <c r="C100" s="281">
        <f>(C99*($L$9))/(0.85*$L$6*100)</f>
        <v>7.3135305635846248E-2</v>
      </c>
      <c r="D100" s="282"/>
      <c r="E100" s="281">
        <f>(E99*($L$9))/(0.85*$L$6*100)</f>
        <v>0.11003494086732356</v>
      </c>
      <c r="F100" s="282"/>
      <c r="G100" s="281">
        <f>(G99*($L$9))/(0.85*$L$6*100)</f>
        <v>9.7922808365418085E-2</v>
      </c>
      <c r="H100" s="282"/>
      <c r="I100" s="281">
        <f>(I99*($L$9))/(0.85*$L$6*100)</f>
        <v>8.9605428396051526E-2</v>
      </c>
      <c r="J100" s="282"/>
      <c r="K100" s="281">
        <f>(K99*($L$9))/(0.85*$L$6*100)</f>
        <v>6.3987728791472062E-2</v>
      </c>
      <c r="L100" s="282"/>
      <c r="M100" s="281">
        <f>(M99*($L$9))/(0.85*$L$6*100)</f>
        <v>4.7361696626591371E-2</v>
      </c>
      <c r="N100" s="282"/>
      <c r="O100" s="281">
        <f>(O99*($L$9))/(0.85*$L$6*100)</f>
        <v>4.2424285803877929E-2</v>
      </c>
      <c r="P100" s="282"/>
      <c r="Q100" s="281">
        <f>(Q99*($L$9))/(0.85*$L$6*100)</f>
        <v>4.3944690616129621E-2</v>
      </c>
      <c r="R100" s="282"/>
      <c r="S100" s="281">
        <f>(S99*($L$9))/(0.85*$L$6*100)</f>
        <v>4.3944690616129621E-2</v>
      </c>
      <c r="T100" s="282"/>
      <c r="U100" s="281">
        <f>(U99*($L$9))/(0.85*$L$6*100)</f>
        <v>4.2424285803877929E-2</v>
      </c>
      <c r="V100" s="282"/>
      <c r="W100" s="281">
        <f>(W99*($L$9))/(0.85*$L$6*100)</f>
        <v>6.7634625217498578E-2</v>
      </c>
      <c r="X100" s="282"/>
      <c r="Y100" s="281">
        <f>(Y99*($L$9))/(0.85*$L$6*100)</f>
        <v>7.6046753852684834E-2</v>
      </c>
      <c r="Z100" s="282"/>
    </row>
    <row r="101" spans="2:26" ht="15.75" thickBot="1" x14ac:dyDescent="0.3">
      <c r="B101" s="105" t="s">
        <v>15</v>
      </c>
      <c r="C101" s="289">
        <f>ROUNDUP(C98/(0.9*(($C$7-C100/2)/100)*($L$9*1000)),2)</f>
        <v>2.6799999999999997</v>
      </c>
      <c r="D101" s="290"/>
      <c r="E101" s="289">
        <f>ROUNDUP(E98/(0.9*(($C$7-E100/2)/100)*($L$9*1000)),2)</f>
        <v>4.0299999999999994</v>
      </c>
      <c r="F101" s="290"/>
      <c r="G101" s="289">
        <f>ROUNDUP(G98/(0.9*(($C$7-G100/2)/100)*($L$9*1000)),2)</f>
        <v>3.59</v>
      </c>
      <c r="H101" s="290"/>
      <c r="I101" s="289">
        <f>ROUNDUP(I98/(0.9*(($C$7-I100/2)/100)*($L$9*1000)),2)</f>
        <v>3.28</v>
      </c>
      <c r="J101" s="290"/>
      <c r="K101" s="289">
        <f>ROUNDUP(K98/(0.9*(($C$7-K100/2)/100)*($L$9*1000)),2)</f>
        <v>2.34</v>
      </c>
      <c r="L101" s="290"/>
      <c r="M101" s="289">
        <f>ROUNDUP(M98/(0.9*(($C$7-M100/2)/100)*($L$9*1000)),2)</f>
        <v>1.73</v>
      </c>
      <c r="N101" s="290"/>
      <c r="O101" s="289">
        <f>ROUNDUP(O98/(0.9*(($C$7-O100/2)/100)*($L$9*1000)),2)</f>
        <v>1.55</v>
      </c>
      <c r="P101" s="290"/>
      <c r="Q101" s="289">
        <f>ROUNDUP(Q98/(0.9*(($C$7-Q100/2)/100)*($L$9*1000)),2)</f>
        <v>1.61</v>
      </c>
      <c r="R101" s="290"/>
      <c r="S101" s="289">
        <f>ROUNDUP(S98/(0.9*(($C$7-S100/2)/100)*($L$9*1000)),2)</f>
        <v>1.61</v>
      </c>
      <c r="T101" s="290"/>
      <c r="U101" s="289">
        <f>ROUNDUP(U98/(0.9*(($C$7-U100/2)/100)*($L$9*1000)),2)</f>
        <v>1.55</v>
      </c>
      <c r="V101" s="290"/>
      <c r="W101" s="289">
        <f>ROUNDUP(W98/(0.9*(($C$7-W100/2)/100)*($L$9*1000)),2)</f>
        <v>2.48</v>
      </c>
      <c r="X101" s="290"/>
      <c r="Y101" s="289">
        <f>ROUNDUP(Y98/(0.9*(($C$7-Y100/2)/100)*($L$9*1000)),2)</f>
        <v>2.7899999999999996</v>
      </c>
      <c r="Z101" s="290"/>
    </row>
    <row r="102" spans="2:26" ht="16.5" thickBot="1" x14ac:dyDescent="0.3">
      <c r="B102" s="61" t="s">
        <v>113</v>
      </c>
      <c r="C102" s="279" t="str">
        <f>IF(C101&gt;$C$12,"$\phi"&amp;IF(VLOOKUP(VLOOKUP(C101,tablas!$S$3:$U$66,2,TRUE)&amp;VLOOKUP(C101,tablas!$S$3:$U$66,3,TRUE),tablas!$R$3:$S$66,2,FALSE)&lt;C101,VLOOKUP(C101+0.1,tablas!$S$3:$U$66,2,TRUE),VLOOKUP(C101,tablas!$S$3:$U$66,2,TRUE))&amp;"@"&amp;IF(VLOOKUP(VLOOKUP(C101,tablas!$S$3:$U$66,2,TRUE)&amp;VLOOKUP(C101,tablas!$S$3:$U$66,3,TRUE),tablas!$R$3:$S$66,2,FALSE)&lt;C101,VLOOKUP(C101+0.1,tablas!$S$3:$U$66,3,TRUE)&amp;"$",VLOOKUP(C101,tablas!$S$3:$U$66,3,TRUE)&amp;"$"),$C$13)</f>
        <v>$\phi8@17$</v>
      </c>
      <c r="D102" s="280"/>
      <c r="E102" s="279" t="str">
        <f>IF(E101&gt;$C$12,"$\phi"&amp;IF(VLOOKUP(VLOOKUP(E101,tablas!$S$3:$U$66,2,TRUE)&amp;VLOOKUP(E101,tablas!$S$3:$U$66,3,TRUE),tablas!$R$3:$S$66,2,FALSE)&lt;E101,VLOOKUP(E101+0.1,tablas!$S$3:$U$66,2,TRUE),VLOOKUP(E101,tablas!$S$3:$U$66,2,TRUE))&amp;"@"&amp;IF(VLOOKUP(VLOOKUP(E101,tablas!$S$3:$U$66,2,TRUE)&amp;VLOOKUP(E101,tablas!$S$3:$U$66,3,TRUE),tablas!$R$3:$S$66,2,FALSE)&lt;E101,VLOOKUP(E101+0.1,tablas!$S$3:$U$66,3,TRUE)&amp;"$",VLOOKUP(E101,tablas!$S$3:$U$66,3,TRUE)&amp;"$"),$C$13)</f>
        <v>$\phi10@20$</v>
      </c>
      <c r="F102" s="280"/>
      <c r="G102" s="279" t="str">
        <f>IF(G101&gt;$C$12,"$\phi"&amp;IF(VLOOKUP(VLOOKUP(G101,tablas!$S$3:$U$66,2,TRUE)&amp;VLOOKUP(G101,tablas!$S$3:$U$66,3,TRUE),tablas!$R$3:$S$66,2,FALSE)&lt;G101,VLOOKUP(G101+0.1,tablas!$S$3:$U$66,2,TRUE),VLOOKUP(G101,tablas!$S$3:$U$66,2,TRUE))&amp;"@"&amp;IF(VLOOKUP(VLOOKUP(G101,tablas!$S$3:$U$66,2,TRUE)&amp;VLOOKUP(G101,tablas!$S$3:$U$66,3,TRUE),tablas!$R$3:$S$66,2,FALSE)&lt;G101,VLOOKUP(G101+0.1,tablas!$S$3:$U$66,3,TRUE)&amp;"$",VLOOKUP(G101,tablas!$S$3:$U$66,3,TRUE)&amp;"$"),$C$13)</f>
        <v>$\phi8@14$</v>
      </c>
      <c r="H102" s="280"/>
      <c r="I102" s="279" t="str">
        <f>IF(I101&gt;$C$12,"$\phi"&amp;IF(VLOOKUP(VLOOKUP(I101,tablas!$S$3:$U$66,2,TRUE)&amp;VLOOKUP(I101,tablas!$S$3:$U$66,3,TRUE),tablas!$R$3:$S$66,2,FALSE)&lt;I101,VLOOKUP(I101+0.1,tablas!$S$3:$U$66,2,TRUE),VLOOKUP(I101,tablas!$S$3:$U$66,2,TRUE))&amp;"@"&amp;IF(VLOOKUP(VLOOKUP(I101,tablas!$S$3:$U$66,2,TRUE)&amp;VLOOKUP(I101,tablas!$S$3:$U$66,3,TRUE),tablas!$R$3:$S$66,2,FALSE)&lt;I101,VLOOKUP(I101+0.1,tablas!$S$3:$U$66,3,TRUE)&amp;"$",VLOOKUP(I101,tablas!$S$3:$U$66,3,TRUE)&amp;"$"),$C$13)</f>
        <v>$\phi8@15$</v>
      </c>
      <c r="J102" s="280"/>
      <c r="K102" s="279" t="str">
        <f>IF(K101&gt;$C$12,"$\phi"&amp;IF(VLOOKUP(VLOOKUP(K101,tablas!$S$3:$U$66,2,TRUE)&amp;VLOOKUP(K101,tablas!$S$3:$U$66,3,TRUE),tablas!$R$3:$S$66,2,FALSE)&lt;K101,VLOOKUP(K101+0.1,tablas!$S$3:$U$66,2,TRUE),VLOOKUP(K101,tablas!$S$3:$U$66,2,TRUE))&amp;"@"&amp;IF(VLOOKUP(VLOOKUP(K101,tablas!$S$3:$U$66,2,TRUE)&amp;VLOOKUP(K101,tablas!$S$3:$U$66,3,TRUE),tablas!$R$3:$S$66,2,FALSE)&lt;K101,VLOOKUP(K101+0.1,tablas!$S$3:$U$66,3,TRUE)&amp;"$",VLOOKUP(K101,tablas!$S$3:$U$66,3,TRUE)&amp;"$"),$C$13)</f>
        <v>$\phi8@17$</v>
      </c>
      <c r="L102" s="280"/>
      <c r="M102" s="279" t="str">
        <f>IF(M101&gt;$C$12,"$\phi"&amp;IF(VLOOKUP(VLOOKUP(M101,tablas!$S$3:$U$66,2,TRUE)&amp;VLOOKUP(M101,tablas!$S$3:$U$66,3,TRUE),tablas!$R$3:$S$66,2,FALSE)&lt;M101,VLOOKUP(M101+0.1,tablas!$S$3:$U$66,2,TRUE),VLOOKUP(M101,tablas!$S$3:$U$66,2,TRUE))&amp;"@"&amp;IF(VLOOKUP(VLOOKUP(M101,tablas!$S$3:$U$66,2,TRUE)&amp;VLOOKUP(M101,tablas!$S$3:$U$66,3,TRUE),tablas!$R$3:$S$66,2,FALSE)&lt;M101,VLOOKUP(M101+0.1,tablas!$S$3:$U$66,3,TRUE)&amp;"$",VLOOKUP(M101,tablas!$S$3:$U$66,3,TRUE)&amp;"$"),$C$13)</f>
        <v>$\phi8@17$</v>
      </c>
      <c r="N102" s="280"/>
      <c r="O102" s="279" t="str">
        <f>IF(O101&gt;$C$12,"$\phi"&amp;IF(VLOOKUP(VLOOKUP(O101,tablas!$S$3:$U$66,2,TRUE)&amp;VLOOKUP(O101,tablas!$S$3:$U$66,3,TRUE),tablas!$R$3:$S$66,2,FALSE)&lt;O101,VLOOKUP(O101+0.1,tablas!$S$3:$U$66,2,TRUE),VLOOKUP(O101,tablas!$S$3:$U$66,2,TRUE))&amp;"@"&amp;IF(VLOOKUP(VLOOKUP(O101,tablas!$S$3:$U$66,2,TRUE)&amp;VLOOKUP(O101,tablas!$S$3:$U$66,3,TRUE),tablas!$R$3:$S$66,2,FALSE)&lt;O101,VLOOKUP(O101+0.1,tablas!$S$3:$U$66,3,TRUE)&amp;"$",VLOOKUP(O101,tablas!$S$3:$U$66,3,TRUE)&amp;"$"),$C$13)</f>
        <v>$\phi8@17$</v>
      </c>
      <c r="P102" s="280"/>
      <c r="Q102" s="279" t="str">
        <f>IF(Q101&gt;$C$12,"$\phi"&amp;IF(VLOOKUP(VLOOKUP(Q101,tablas!$S$3:$U$66,2,TRUE)&amp;VLOOKUP(Q101,tablas!$S$3:$U$66,3,TRUE),tablas!$R$3:$S$66,2,FALSE)&lt;Q101,VLOOKUP(Q101+0.1,tablas!$S$3:$U$66,2,TRUE),VLOOKUP(Q101,tablas!$S$3:$U$66,2,TRUE))&amp;"@"&amp;IF(VLOOKUP(VLOOKUP(Q101,tablas!$S$3:$U$66,2,TRUE)&amp;VLOOKUP(Q101,tablas!$S$3:$U$66,3,TRUE),tablas!$R$3:$S$66,2,FALSE)&lt;Q101,VLOOKUP(Q101+0.1,tablas!$S$3:$U$66,3,TRUE)&amp;"$",VLOOKUP(Q101,tablas!$S$3:$U$66,3,TRUE)&amp;"$"),$C$13)</f>
        <v>$\phi8@17$</v>
      </c>
      <c r="R102" s="280"/>
      <c r="S102" s="279" t="str">
        <f>IF(S101&gt;$C$12,"$\phi"&amp;IF(VLOOKUP(VLOOKUP(S101,tablas!$S$3:$U$66,2,TRUE)&amp;VLOOKUP(S101,tablas!$S$3:$U$66,3,TRUE),tablas!$R$3:$S$66,2,FALSE)&lt;S101,VLOOKUP(S101+0.1,tablas!$S$3:$U$66,2,TRUE),VLOOKUP(S101,tablas!$S$3:$U$66,2,TRUE))&amp;"@"&amp;IF(VLOOKUP(VLOOKUP(S101,tablas!$S$3:$U$66,2,TRUE)&amp;VLOOKUP(S101,tablas!$S$3:$U$66,3,TRUE),tablas!$R$3:$S$66,2,FALSE)&lt;S101,VLOOKUP(S101+0.1,tablas!$S$3:$U$66,3,TRUE)&amp;"$",VLOOKUP(S101,tablas!$S$3:$U$66,3,TRUE)&amp;"$"),$C$13)</f>
        <v>$\phi8@17$</v>
      </c>
      <c r="T102" s="280"/>
      <c r="U102" s="279" t="str">
        <f>IF(U101&gt;$C$12,"$\phi"&amp;IF(VLOOKUP(VLOOKUP(U101,tablas!$S$3:$U$66,2,TRUE)&amp;VLOOKUP(U101,tablas!$S$3:$U$66,3,TRUE),tablas!$R$3:$S$66,2,FALSE)&lt;U101,VLOOKUP(U101+0.1,tablas!$S$3:$U$66,2,TRUE),VLOOKUP(U101,tablas!$S$3:$U$66,2,TRUE))&amp;"@"&amp;IF(VLOOKUP(VLOOKUP(U101,tablas!$S$3:$U$66,2,TRUE)&amp;VLOOKUP(U101,tablas!$S$3:$U$66,3,TRUE),tablas!$R$3:$S$66,2,FALSE)&lt;U101,VLOOKUP(U101+0.1,tablas!$S$3:$U$66,3,TRUE)&amp;"$",VLOOKUP(U101,tablas!$S$3:$U$66,3,TRUE)&amp;"$"),$C$13)</f>
        <v>$\phi8@17$</v>
      </c>
      <c r="V102" s="280"/>
      <c r="W102" s="279" t="str">
        <f>IF(W101&gt;$C$12,"$\phi"&amp;IF(VLOOKUP(VLOOKUP(W101,tablas!$S$3:$U$66,2,TRUE)&amp;VLOOKUP(W101,tablas!$S$3:$U$66,3,TRUE),tablas!$R$3:$S$66,2,FALSE)&lt;W101,VLOOKUP(W101+0.1,tablas!$S$3:$U$66,2,TRUE),VLOOKUP(W101,tablas!$S$3:$U$66,2,TRUE))&amp;"@"&amp;IF(VLOOKUP(VLOOKUP(W101,tablas!$S$3:$U$66,2,TRUE)&amp;VLOOKUP(W101,tablas!$S$3:$U$66,3,TRUE),tablas!$R$3:$S$66,2,FALSE)&lt;W101,VLOOKUP(W101+0.1,tablas!$S$3:$U$66,3,TRUE)&amp;"$",VLOOKUP(W101,tablas!$S$3:$U$66,3,TRUE)&amp;"$"),$C$13)</f>
        <v>$\phi8@17$</v>
      </c>
      <c r="X102" s="280"/>
      <c r="Y102" s="279" t="str">
        <f>IF(Y101&gt;$C$12,"$\phi"&amp;IF(VLOOKUP(VLOOKUP(Y101,tablas!$S$3:$U$66,2,TRUE)&amp;VLOOKUP(Y101,tablas!$S$3:$U$66,3,TRUE),tablas!$R$3:$S$66,2,FALSE)&lt;Y101,VLOOKUP(Y101+0.1,tablas!$S$3:$U$66,2,TRUE),VLOOKUP(Y101,tablas!$S$3:$U$66,2,TRUE))&amp;"@"&amp;IF(VLOOKUP(VLOOKUP(Y101,tablas!$S$3:$U$66,2,TRUE)&amp;VLOOKUP(Y101,tablas!$S$3:$U$66,3,TRUE),tablas!$R$3:$S$66,2,FALSE)&lt;Y101,VLOOKUP(Y101+0.1,tablas!$S$3:$U$66,3,TRUE)&amp;"$",VLOOKUP(Y101,tablas!$S$3:$U$66,3,TRUE)&amp;"$"),$C$13)</f>
        <v>$\phi8@17$</v>
      </c>
      <c r="Z102" s="280"/>
    </row>
    <row r="103" spans="2:26" ht="15.75" thickBot="1" x14ac:dyDescent="0.3">
      <c r="P103" s="40"/>
      <c r="T103" s="40"/>
    </row>
    <row r="104" spans="2:26" ht="16.5" customHeight="1" thickBot="1" x14ac:dyDescent="0.3">
      <c r="B104" s="73" t="s">
        <v>43</v>
      </c>
      <c r="C104" s="74" t="s">
        <v>214</v>
      </c>
      <c r="D104" s="75" t="s">
        <v>218</v>
      </c>
      <c r="E104" s="74" t="s">
        <v>214</v>
      </c>
      <c r="F104" s="75" t="s">
        <v>226</v>
      </c>
      <c r="G104" s="74" t="s">
        <v>214</v>
      </c>
      <c r="H104" s="75" t="s">
        <v>220</v>
      </c>
      <c r="I104" s="74" t="s">
        <v>214</v>
      </c>
      <c r="J104" s="75" t="s">
        <v>221</v>
      </c>
      <c r="K104" s="74" t="s">
        <v>215</v>
      </c>
      <c r="L104" s="75" t="s">
        <v>230</v>
      </c>
      <c r="M104" s="74" t="s">
        <v>215</v>
      </c>
      <c r="N104" s="75" t="s">
        <v>216</v>
      </c>
      <c r="O104" s="74" t="s">
        <v>215</v>
      </c>
      <c r="P104" s="75" t="s">
        <v>229</v>
      </c>
      <c r="Q104" s="74" t="s">
        <v>216</v>
      </c>
      <c r="R104" s="75" t="s">
        <v>229</v>
      </c>
      <c r="S104" s="74" t="s">
        <v>216</v>
      </c>
      <c r="T104" s="75" t="s">
        <v>218</v>
      </c>
      <c r="U104" s="74" t="s">
        <v>216</v>
      </c>
      <c r="V104" s="75" t="s">
        <v>217</v>
      </c>
      <c r="W104" s="74" t="s">
        <v>216</v>
      </c>
      <c r="X104" s="75" t="s">
        <v>232</v>
      </c>
      <c r="Y104" s="74" t="s">
        <v>217</v>
      </c>
      <c r="Z104" s="75" t="s">
        <v>218</v>
      </c>
    </row>
    <row r="105" spans="2:26" ht="15.75" hidden="1" thickBot="1" x14ac:dyDescent="0.3">
      <c r="B105" s="141"/>
      <c r="C105" s="143" t="str">
        <f>C104&amp;"-"&amp;D104</f>
        <v>2304-2308</v>
      </c>
      <c r="D105" s="143"/>
      <c r="E105" s="143" t="str">
        <f>E104&amp;"-"&amp;F104</f>
        <v>2304-2316</v>
      </c>
      <c r="F105" s="142"/>
      <c r="G105" s="143" t="str">
        <f>G104&amp;"-"&amp;H104</f>
        <v>2304-2310</v>
      </c>
      <c r="H105" s="142"/>
      <c r="I105" s="143" t="str">
        <f>I104&amp;"-"&amp;J104</f>
        <v>2304-2311</v>
      </c>
      <c r="J105" s="142"/>
      <c r="K105" s="143" t="str">
        <f>K104&amp;"-"&amp;L104</f>
        <v>2305-2320</v>
      </c>
      <c r="L105" s="142"/>
      <c r="M105" s="143" t="str">
        <f>M104&amp;"-"&amp;N104</f>
        <v>2305-2306</v>
      </c>
      <c r="N105" s="142"/>
      <c r="O105" s="143" t="str">
        <f>O104&amp;"-"&amp;P104</f>
        <v>2305-2319</v>
      </c>
      <c r="P105" s="142"/>
      <c r="Q105" s="143" t="str">
        <f>Q104&amp;"-"&amp;R104</f>
        <v>2306-2319</v>
      </c>
      <c r="R105" s="142"/>
      <c r="S105" s="143" t="str">
        <f>S104&amp;"-"&amp;T104</f>
        <v>2306-2308</v>
      </c>
      <c r="T105" s="142"/>
      <c r="U105" s="143" t="str">
        <f>U104&amp;"-"&amp;V104</f>
        <v>2306-2307</v>
      </c>
      <c r="V105" s="142"/>
      <c r="W105" s="143" t="str">
        <f>W104&amp;"-"&amp;X104</f>
        <v>2306-2322</v>
      </c>
      <c r="X105" s="142"/>
      <c r="Y105" s="143" t="str">
        <f>Y104&amp;"-"&amp;Z104</f>
        <v>2307-2308</v>
      </c>
      <c r="Z105" s="142"/>
    </row>
    <row r="106" spans="2:26" x14ac:dyDescent="0.25">
      <c r="B106" s="102" t="s">
        <v>114</v>
      </c>
      <c r="C106" s="99" t="s">
        <v>109</v>
      </c>
      <c r="D106" s="100" t="s">
        <v>109</v>
      </c>
      <c r="E106" s="99" t="s">
        <v>109</v>
      </c>
      <c r="F106" s="100" t="s">
        <v>108</v>
      </c>
      <c r="G106" s="99" t="s">
        <v>108</v>
      </c>
      <c r="H106" s="100" t="s">
        <v>108</v>
      </c>
      <c r="I106" s="99" t="s">
        <v>108</v>
      </c>
      <c r="J106" s="100" t="s">
        <v>108</v>
      </c>
      <c r="K106" s="99" t="s">
        <v>109</v>
      </c>
      <c r="L106" s="100" t="s">
        <v>108</v>
      </c>
      <c r="M106" s="99" t="s">
        <v>109</v>
      </c>
      <c r="N106" s="100" t="s">
        <v>108</v>
      </c>
      <c r="O106" s="99" t="s">
        <v>108</v>
      </c>
      <c r="P106" s="100" t="s">
        <v>108</v>
      </c>
      <c r="Q106" s="99" t="s">
        <v>109</v>
      </c>
      <c r="R106" s="100" t="s">
        <v>108</v>
      </c>
      <c r="S106" s="99" t="s">
        <v>109</v>
      </c>
      <c r="T106" s="100" t="s">
        <v>108</v>
      </c>
      <c r="U106" s="99" t="s">
        <v>108</v>
      </c>
      <c r="V106" s="100" t="s">
        <v>108</v>
      </c>
      <c r="W106" s="99" t="s">
        <v>108</v>
      </c>
      <c r="X106" s="100" t="s">
        <v>109</v>
      </c>
      <c r="Y106" s="99" t="s">
        <v>109</v>
      </c>
      <c r="Z106" s="100" t="s">
        <v>108</v>
      </c>
    </row>
    <row r="107" spans="2:26" x14ac:dyDescent="0.25">
      <c r="B107" s="103" t="s">
        <v>110</v>
      </c>
      <c r="C107" s="195">
        <f t="shared" ref="C107:Z107" si="28">HLOOKUP(C104,$B$46:$AE$90,IF(C106="x",36,41),FALSE)</f>
        <v>1772.9957142857143</v>
      </c>
      <c r="D107" s="196">
        <f t="shared" si="28"/>
        <v>101.91999999999999</v>
      </c>
      <c r="E107" s="195">
        <f t="shared" si="28"/>
        <v>1772.9957142857143</v>
      </c>
      <c r="F107" s="196">
        <f t="shared" si="28"/>
        <v>123.03200000000001</v>
      </c>
      <c r="G107" s="195">
        <f t="shared" si="28"/>
        <v>2262.4164062499999</v>
      </c>
      <c r="H107" s="196">
        <f t="shared" si="28"/>
        <v>1214.946808510638</v>
      </c>
      <c r="I107" s="195">
        <f t="shared" si="28"/>
        <v>2262.4164062499999</v>
      </c>
      <c r="J107" s="196">
        <f t="shared" si="28"/>
        <v>1847.9751612903226</v>
      </c>
      <c r="K107" s="195">
        <f t="shared" si="28"/>
        <v>1714.4907906976741</v>
      </c>
      <c r="L107" s="196">
        <f t="shared" si="28"/>
        <v>62.289499999999997</v>
      </c>
      <c r="M107" s="195">
        <f t="shared" si="28"/>
        <v>1714.4907906976741</v>
      </c>
      <c r="N107" s="196">
        <f t="shared" si="28"/>
        <v>1214.946808510638</v>
      </c>
      <c r="O107" s="195">
        <f t="shared" si="28"/>
        <v>1981.8038709677417</v>
      </c>
      <c r="P107" s="196">
        <f t="shared" si="28"/>
        <v>204.24950000000004</v>
      </c>
      <c r="Q107" s="195">
        <f t="shared" si="28"/>
        <v>1125.1724137931033</v>
      </c>
      <c r="R107" s="196">
        <f t="shared" si="28"/>
        <v>204.24950000000004</v>
      </c>
      <c r="S107" s="195">
        <f t="shared" si="28"/>
        <v>1125.1724137931033</v>
      </c>
      <c r="T107" s="196">
        <f t="shared" si="28"/>
        <v>148.6333333333333</v>
      </c>
      <c r="U107" s="195">
        <f t="shared" si="28"/>
        <v>1214.946808510638</v>
      </c>
      <c r="V107" s="196">
        <f t="shared" si="28"/>
        <v>438.6613636363636</v>
      </c>
      <c r="W107" s="195">
        <f t="shared" si="28"/>
        <v>1214.946808510638</v>
      </c>
      <c r="X107" s="196">
        <f t="shared" si="28"/>
        <v>410.77647058823516</v>
      </c>
      <c r="Y107" s="195">
        <f t="shared" si="28"/>
        <v>313.83902439024388</v>
      </c>
      <c r="Z107" s="196">
        <f t="shared" si="28"/>
        <v>148.6333333333333</v>
      </c>
    </row>
    <row r="108" spans="2:26" x14ac:dyDescent="0.25">
      <c r="B108" s="103" t="s">
        <v>111</v>
      </c>
      <c r="C108" s="283">
        <f>(MAX(C107:D107)-MIN(C107:D107))/(MAX(C107:D107))</f>
        <v>0.94251537148184228</v>
      </c>
      <c r="D108" s="284"/>
      <c r="E108" s="283">
        <f>(MAX(E107:F107)-MIN(E107:F107))/(MAX(E107:F107))</f>
        <v>0.93060784128879537</v>
      </c>
      <c r="F108" s="284"/>
      <c r="G108" s="283">
        <f>(MAX(G107:H107)-MIN(G107:H107))/(MAX(G107:H107))</f>
        <v>0.46298709417315603</v>
      </c>
      <c r="H108" s="284"/>
      <c r="I108" s="283">
        <f>(MAX(I107:J107)-MIN(I107:J107))/(MAX(I107:J107))</f>
        <v>0.18318521904931812</v>
      </c>
      <c r="J108" s="284"/>
      <c r="K108" s="283">
        <f>(MAX(K107:L107)-MIN(K107:L107))/(MAX(K107:L107))</f>
        <v>0.96366880455820192</v>
      </c>
      <c r="L108" s="284"/>
      <c r="M108" s="283">
        <f>(MAX(M107:N107)-MIN(M107:N107))/(MAX(M107:N107))</f>
        <v>0.29136580079485741</v>
      </c>
      <c r="N108" s="284"/>
      <c r="O108" s="283">
        <f>(MAX(O107:P107)-MIN(O107:P107))/(MAX(O107:P107))</f>
        <v>0.89693758146699842</v>
      </c>
      <c r="P108" s="284"/>
      <c r="Q108" s="283">
        <f>(MAX(Q107:R107)-MIN(Q107:R107))/(MAX(Q107:R107))</f>
        <v>0.81847270916334658</v>
      </c>
      <c r="R108" s="284"/>
      <c r="S108" s="283">
        <f>(MAX(S107:T107)-MIN(S107:T107))/(MAX(S107:T107))</f>
        <v>0.86790172642762287</v>
      </c>
      <c r="T108" s="284"/>
      <c r="U108" s="283">
        <f>(MAX(U107:V107)-MIN(U107:V107))/(MAX(U107:V107))</f>
        <v>0.63894603404563555</v>
      </c>
      <c r="V108" s="284"/>
      <c r="W108" s="291">
        <f>(MAX(W107:X107)-MIN(W107:X107))/(MAX(W107:X107))</f>
        <v>0.66189756809864619</v>
      </c>
      <c r="X108" s="284"/>
      <c r="Y108" s="283">
        <f>(MAX(Y107:Z107)-MIN(Y107:Z107))/(MAX(Y107:Z107))</f>
        <v>0.5264026402640265</v>
      </c>
      <c r="Z108" s="284"/>
    </row>
    <row r="109" spans="2:26" x14ac:dyDescent="0.25">
      <c r="B109" s="103" t="s">
        <v>112</v>
      </c>
      <c r="C109" s="285">
        <f>IF(C108&lt;25%,(C107*0.5+D107*0.5)*0.9,IF(C108&lt;50%,(MAX(C107:D107)*0.6+MIN(C107:D107)*0.4)*0.9,IF(C108&lt;70%,(MAX(C107:D107)*0.65+MIN(C107:D107)*0.35)*0.9,IF(C108&lt;100%,(MAX(C107:D107)*0.7+MIN(C107:D107)*0.3)*0.9,0.7*MAX(C107:D107)))))</f>
        <v>1144.5056999999999</v>
      </c>
      <c r="D109" s="286"/>
      <c r="E109" s="285">
        <f>IF(E108&lt;25%,(E107*0.5+F107*0.5)*0.9,IF(E108&lt;50%,(MAX(E107:F107)*0.6+MIN(E107:F107)*0.4)*0.9,IF(E108&lt;70%,(MAX(E107:F107)*0.65+MIN(E107:F107)*0.35)*0.9,IF(E108&lt;100%,(MAX(E107:F107)*0.7+MIN(E107:F107)*0.3)*0.9,0.7*MAX(E107:F107)))))</f>
        <v>1150.2059400000001</v>
      </c>
      <c r="F109" s="286"/>
      <c r="G109" s="285">
        <f>IF(G108&lt;25%,(G107*0.5+H107*0.5)*0.9,IF(G108&lt;50%,(MAX(G107:H107)*0.6+MIN(G107:H107)*0.4)*0.9,IF(G108&lt;70%,(MAX(G107:H107)*0.65+MIN(G107:H107)*0.35)*0.9,IF(G108&lt;100%,(MAX(G107:H107)*0.7+MIN(G107:H107)*0.3)*0.9,0.7*MAX(G107:H107)))))</f>
        <v>1659.0857104388297</v>
      </c>
      <c r="H109" s="286"/>
      <c r="I109" s="285">
        <f>IF(I108&lt;25%,(I107*0.5+J107*0.5)*0.9,IF(I108&lt;50%,(MAX(I107:J107)*0.6+MIN(I107:J107)*0.4)*0.9,IF(I108&lt;70%,(MAX(I107:J107)*0.65+MIN(I107:J107)*0.35)*0.9,IF(I108&lt;100%,(MAX(I107:J107)*0.7+MIN(I107:J107)*0.3)*0.9,0.7*MAX(I107:J107)))))</f>
        <v>1849.676205393145</v>
      </c>
      <c r="J109" s="286"/>
      <c r="K109" s="285">
        <f>IF(K108&lt;25%,(K107*0.5+L107*0.5)*0.9,IF(K108&lt;50%,(MAX(K107:L107)*0.6+MIN(K107:L107)*0.4)*0.9,IF(K108&lt;70%,(MAX(K107:L107)*0.65+MIN(K107:L107)*0.35)*0.9,IF(K108&lt;100%,(MAX(K107:L107)*0.7+MIN(K107:L107)*0.3)*0.9,0.7*MAX(K107:L107)))))</f>
        <v>1096.9473631395347</v>
      </c>
      <c r="L109" s="286"/>
      <c r="M109" s="285">
        <f>IF(M108&lt;25%,(M107*0.5+N107*0.5)*0.9,IF(M108&lt;50%,(MAX(M107:N107)*0.6+MIN(M107:N107)*0.4)*0.9,IF(M108&lt;70%,(MAX(M107:N107)*0.65+MIN(M107:N107)*0.35)*0.9,IF(M108&lt;100%,(MAX(M107:N107)*0.7+MIN(M107:N107)*0.3)*0.9,0.7*MAX(M107:N107)))))</f>
        <v>1363.2058780405737</v>
      </c>
      <c r="N109" s="286"/>
      <c r="O109" s="285">
        <f>IF(O108&lt;25%,(O107*0.5+P107*0.5)*0.9,IF(O108&lt;50%,(MAX(O107:P107)*0.6+MIN(O107:P107)*0.4)*0.9,IF(O108&lt;70%,(MAX(O107:P107)*0.65+MIN(O107:P107)*0.35)*0.9,IF(O108&lt;100%,(MAX(O107:P107)*0.7+MIN(O107:P107)*0.3)*0.9,0.7*MAX(O107:P107)))))</f>
        <v>1303.6838037096772</v>
      </c>
      <c r="P109" s="286"/>
      <c r="Q109" s="285">
        <f>IF(Q108&lt;25%,(Q107*0.5+R107*0.5)*0.9,IF(Q108&lt;50%,(MAX(Q107:R107)*0.6+MIN(Q107:R107)*0.4)*0.9,IF(Q108&lt;70%,(MAX(Q107:R107)*0.65+MIN(Q107:R107)*0.35)*0.9,IF(Q108&lt;100%,(MAX(Q107:R107)*0.7+MIN(Q107:R107)*0.3)*0.9,0.7*MAX(Q107:R107)))))</f>
        <v>764.00598568965506</v>
      </c>
      <c r="R109" s="286"/>
      <c r="S109" s="285">
        <f>IF(S108&lt;25%,(S107*0.5+T107*0.5)*0.9,IF(S108&lt;50%,(MAX(S107:T107)*0.6+MIN(S107:T107)*0.4)*0.9,IF(S108&lt;70%,(MAX(S107:T107)*0.65+MIN(S107:T107)*0.35)*0.9,IF(S108&lt;100%,(MAX(S107:T107)*0.7+MIN(S107:T107)*0.3)*0.9,0.7*MAX(S107:T107)))))</f>
        <v>748.989620689655</v>
      </c>
      <c r="T109" s="286"/>
      <c r="U109" s="285">
        <f>IF(U108&lt;25%,(U107*0.5+V107*0.5)*0.9,IF(U108&lt;50%,(MAX(U107:V107)*0.6+MIN(U107:V107)*0.4)*0.9,IF(U108&lt;70%,(MAX(U107:V107)*0.65+MIN(U107:V107)*0.35)*0.9,IF(U108&lt;100%,(MAX(U107:V107)*0.7+MIN(U107:V107)*0.3)*0.9,0.7*MAX(U107:V107)))))</f>
        <v>848.92221252417778</v>
      </c>
      <c r="V109" s="286"/>
      <c r="W109" s="292">
        <f>IF(W108&lt;25%,(W107*0.5+X107*0.5)*0.9,IF(W108&lt;50%,(MAX(W107:X107)*0.6+MIN(W107:X107)*0.4)*0.9,IF(W108&lt;70%,(MAX(W107:X107)*0.65+MIN(W107:X107)*0.35)*0.9,IF(W108&lt;100%,(MAX(W107:X107)*0.7+MIN(W107:X107)*0.3)*0.9,0.7*MAX(W107:X107)))))</f>
        <v>840.13847121401739</v>
      </c>
      <c r="X109" s="286"/>
      <c r="Y109" s="285">
        <f>IF(Y108&lt;25%,(Y107*0.5+Z107*0.5)*0.9,IF(Y108&lt;50%,(MAX(Y107:Z107)*0.6+MIN(Y107:Z107)*0.4)*0.9,IF(Y108&lt;70%,(MAX(Y107:Z107)*0.65+MIN(Y107:Z107)*0.35)*0.9,IF(Y108&lt;100%,(MAX(Y107:Z107)*0.7+MIN(Y107:Z107)*0.3)*0.9,0.7*MAX(Y107:Z107)))))</f>
        <v>230.41532926829268</v>
      </c>
      <c r="Z109" s="286"/>
    </row>
    <row r="110" spans="2:26" x14ac:dyDescent="0.25">
      <c r="B110" s="104" t="s">
        <v>15</v>
      </c>
      <c r="C110" s="287">
        <f>C109/(0.9*(0.9*($C$7/100))*($L$9*1000))</f>
        <v>2.3580941255006667</v>
      </c>
      <c r="D110" s="288"/>
      <c r="E110" s="287">
        <f>E109/(0.9*(0.9*($C$7/100))*($L$9*1000))</f>
        <v>2.3698386737872714</v>
      </c>
      <c r="F110" s="288"/>
      <c r="G110" s="287">
        <f>G109/(0.9*(0.9*($C$7/100))*($L$9*1000))</f>
        <v>3.418314358318971</v>
      </c>
      <c r="H110" s="288"/>
      <c r="I110" s="287">
        <f>I109/(0.9*(0.9*($C$7/100))*($L$9*1000))</f>
        <v>3.810999450693815</v>
      </c>
      <c r="J110" s="288"/>
      <c r="K110" s="287">
        <f>K109/(0.9*(0.9*($C$7/100))*($L$9*1000))</f>
        <v>2.2601068155473438</v>
      </c>
      <c r="L110" s="288"/>
      <c r="M110" s="287">
        <f>M109/(0.9*(0.9*($C$7/100))*($L$9*1000))</f>
        <v>2.8086952933964899</v>
      </c>
      <c r="N110" s="288"/>
      <c r="O110" s="287">
        <f>O109/(0.9*(0.9*($C$7/100))*($L$9*1000))</f>
        <v>2.6860583735302974</v>
      </c>
      <c r="P110" s="288"/>
      <c r="Q110" s="287">
        <f>Q109/(0.9*(0.9*($C$7/100))*($L$9*1000))</f>
        <v>1.574127613957818</v>
      </c>
      <c r="R110" s="288"/>
      <c r="S110" s="287">
        <f>S109/(0.9*(0.9*($C$7/100))*($L$9*1000))</f>
        <v>1.543188491424069</v>
      </c>
      <c r="T110" s="288"/>
      <c r="U110" s="287">
        <f>U109/(0.9*(0.9*($C$7/100))*($L$9*1000))</f>
        <v>1.749085637896161</v>
      </c>
      <c r="V110" s="288"/>
      <c r="W110" s="293">
        <f>W109/(0.9*(0.9*($C$7/100))*($L$9*1000))</f>
        <v>1.7309879658763478</v>
      </c>
      <c r="X110" s="288"/>
      <c r="Y110" s="287">
        <f>Y109/(0.9*(0.9*($C$7/100))*($L$9*1000))</f>
        <v>0.47473860057915207</v>
      </c>
      <c r="Z110" s="288"/>
    </row>
    <row r="111" spans="2:26" x14ac:dyDescent="0.25">
      <c r="B111" s="104" t="s">
        <v>98</v>
      </c>
      <c r="C111" s="281">
        <f>(C110*($L$9))/(0.85*$L$6*100)</f>
        <v>5.8204399406821532E-2</v>
      </c>
      <c r="D111" s="282"/>
      <c r="E111" s="281">
        <f>(E110*($L$9))/(0.85*$L$6*100)</f>
        <v>5.8494287911242913E-2</v>
      </c>
      <c r="F111" s="282"/>
      <c r="G111" s="281">
        <f>(G110*($L$9))/(0.85*$L$6*100)</f>
        <v>8.4373618532901942E-2</v>
      </c>
      <c r="H111" s="282"/>
      <c r="I111" s="281">
        <f>(I110*($L$9))/(0.85*$L$6*100)</f>
        <v>9.4066191747229119E-2</v>
      </c>
      <c r="J111" s="282"/>
      <c r="K111" s="281">
        <f>(K110*($L$9))/(0.85*$L$6*100)</f>
        <v>5.5785796831272383E-2</v>
      </c>
      <c r="L111" s="282"/>
      <c r="M111" s="281">
        <f>(M110*($L$9))/(0.85*$L$6*100)</f>
        <v>6.932650435834474E-2</v>
      </c>
      <c r="N111" s="282"/>
      <c r="O111" s="281">
        <f>(O110*($L$9))/(0.85*$L$6*100)</f>
        <v>6.6299480038694764E-2</v>
      </c>
      <c r="P111" s="282"/>
      <c r="Q111" s="281">
        <f>(Q110*($L$9))/(0.85*$L$6*100)</f>
        <v>3.8853899583272553E-2</v>
      </c>
      <c r="R111" s="282"/>
      <c r="S111" s="281">
        <f>(S110*($L$9))/(0.85*$L$6*100)</f>
        <v>3.8090234967099283E-2</v>
      </c>
      <c r="T111" s="282"/>
      <c r="U111" s="281">
        <f>(U110*($L$9))/(0.85*$L$6*100)</f>
        <v>4.3172355998821042E-2</v>
      </c>
      <c r="V111" s="282"/>
      <c r="W111" s="294">
        <f>(W110*($L$9))/(0.85*$L$6*100)</f>
        <v>4.2725654521054035E-2</v>
      </c>
      <c r="X111" s="282"/>
      <c r="Y111" s="281">
        <f>(Y110*($L$9))/(0.85*$L$6*100)</f>
        <v>1.1717884720177457E-2</v>
      </c>
      <c r="Z111" s="282"/>
    </row>
    <row r="112" spans="2:26" ht="15.75" thickBot="1" x14ac:dyDescent="0.3">
      <c r="B112" s="105" t="s">
        <v>15</v>
      </c>
      <c r="C112" s="289">
        <f>ROUNDUP(C109/(0.9*(($C$7-C111/2)/100)*($L$9*1000)),2)</f>
        <v>2.13</v>
      </c>
      <c r="D112" s="290"/>
      <c r="E112" s="289">
        <f>ROUNDUP(E109/(0.9*(($C$7-E111/2)/100)*($L$9*1000)),2)</f>
        <v>2.1399999999999997</v>
      </c>
      <c r="F112" s="290"/>
      <c r="G112" s="289">
        <f>ROUNDUP(G109/(0.9*(($C$7-G111/2)/100)*($L$9*1000)),2)</f>
        <v>3.09</v>
      </c>
      <c r="H112" s="290"/>
      <c r="I112" s="289">
        <f>ROUNDUP(I109/(0.9*(($C$7-I111/2)/100)*($L$9*1000)),2)</f>
        <v>3.4499999999999997</v>
      </c>
      <c r="J112" s="290"/>
      <c r="K112" s="289">
        <f>ROUNDUP(K109/(0.9*(($C$7-K111/2)/100)*($L$9*1000)),2)</f>
        <v>2.0399999999999996</v>
      </c>
      <c r="L112" s="290"/>
      <c r="M112" s="289">
        <f>ROUNDUP(M109/(0.9*(($C$7-M111/2)/100)*($L$9*1000)),2)</f>
        <v>2.5399999999999996</v>
      </c>
      <c r="N112" s="290"/>
      <c r="O112" s="289">
        <f>ROUNDUP(O109/(0.9*(($C$7-O111/2)/100)*($L$9*1000)),2)</f>
        <v>2.4299999999999997</v>
      </c>
      <c r="P112" s="290"/>
      <c r="Q112" s="289">
        <f>ROUNDUP(Q109/(0.9*(($C$7-Q111/2)/100)*($L$9*1000)),2)</f>
        <v>1.42</v>
      </c>
      <c r="R112" s="290"/>
      <c r="S112" s="289">
        <f>ROUNDUP(S109/(0.9*(($C$7-S111/2)/100)*($L$9*1000)),2)</f>
        <v>1.4</v>
      </c>
      <c r="T112" s="290"/>
      <c r="U112" s="289">
        <f>ROUNDUP(U109/(0.9*(($C$7-U111/2)/100)*($L$9*1000)),2)</f>
        <v>1.58</v>
      </c>
      <c r="V112" s="290"/>
      <c r="W112" s="295">
        <f>ROUNDUP(W109/(0.9*(($C$7-W111/2)/100)*($L$9*1000)),2)</f>
        <v>1.57</v>
      </c>
      <c r="X112" s="296"/>
      <c r="Y112" s="289">
        <f>ROUNDUP(Y109/(0.9*(($C$7-Y111/2)/100)*($L$9*1000)),2)</f>
        <v>0.43</v>
      </c>
      <c r="Z112" s="290"/>
    </row>
    <row r="113" spans="2:30" ht="16.5" thickBot="1" x14ac:dyDescent="0.3">
      <c r="B113" s="61" t="s">
        <v>113</v>
      </c>
      <c r="C113" s="279" t="str">
        <f>IF(C112&gt;$C$12,"$\phi"&amp;IF(VLOOKUP(VLOOKUP(C112,tablas!$S$3:$U$66,2,TRUE)&amp;VLOOKUP(C112,tablas!$S$3:$U$66,3,TRUE),tablas!$R$3:$S$66,2,FALSE)&lt;C112,VLOOKUP(C112+0.1,tablas!$S$3:$U$66,2,TRUE),VLOOKUP(C112,tablas!$S$3:$U$66,2,TRUE))&amp;"@"&amp;IF(VLOOKUP(VLOOKUP(C112,tablas!$S$3:$U$66,2,TRUE)&amp;VLOOKUP(C112,tablas!$S$3:$U$66,3,TRUE),tablas!$R$3:$S$66,2,FALSE)&lt;C112,VLOOKUP(C112+0.1,tablas!$S$3:$U$66,3,TRUE)&amp;"$",VLOOKUP(C112,tablas!$S$3:$U$66,3,TRUE)&amp;"$"),$C$13)</f>
        <v>$\phi8@17$</v>
      </c>
      <c r="D113" s="280"/>
      <c r="E113" s="279" t="str">
        <f>IF(E112&gt;$C$12,"$\phi"&amp;IF(VLOOKUP(VLOOKUP(E112,tablas!$S$3:$U$66,2,TRUE)&amp;VLOOKUP(E112,tablas!$S$3:$U$66,3,TRUE),tablas!$R$3:$S$66,2,FALSE)&lt;E112,VLOOKUP(E112+0.1,tablas!$S$3:$U$66,2,TRUE),VLOOKUP(E112,tablas!$S$3:$U$66,2,TRUE))&amp;"@"&amp;IF(VLOOKUP(VLOOKUP(E112,tablas!$S$3:$U$66,2,TRUE)&amp;VLOOKUP(E112,tablas!$S$3:$U$66,3,TRUE),tablas!$R$3:$S$66,2,FALSE)&lt;E112,VLOOKUP(E112+0.1,tablas!$S$3:$U$66,3,TRUE)&amp;"$",VLOOKUP(E112,tablas!$S$3:$U$66,3,TRUE)&amp;"$"),$C$13)</f>
        <v>$\phi8@17$</v>
      </c>
      <c r="F113" s="280"/>
      <c r="G113" s="279" t="str">
        <f>IF(G112&gt;$C$12,"$\phi"&amp;IF(VLOOKUP(VLOOKUP(G112,tablas!$S$3:$U$66,2,TRUE)&amp;VLOOKUP(G112,tablas!$S$3:$U$66,3,TRUE),tablas!$R$3:$S$66,2,FALSE)&lt;G112,VLOOKUP(G112+0.1,tablas!$S$3:$U$66,2,TRUE),VLOOKUP(G112,tablas!$S$3:$U$66,2,TRUE))&amp;"@"&amp;IF(VLOOKUP(VLOOKUP(G112,tablas!$S$3:$U$66,2,TRUE)&amp;VLOOKUP(G112,tablas!$S$3:$U$66,3,TRUE),tablas!$R$3:$S$66,2,FALSE)&lt;G112,VLOOKUP(G112+0.1,tablas!$S$3:$U$66,3,TRUE)&amp;"$",VLOOKUP(G112,tablas!$S$3:$U$66,3,TRUE)&amp;"$"),$C$13)</f>
        <v>$\phi10@25$</v>
      </c>
      <c r="H113" s="280"/>
      <c r="I113" s="279" t="str">
        <f>IF(I112&gt;$C$12,"$\phi"&amp;IF(VLOOKUP(VLOOKUP(I112,tablas!$S$3:$U$66,2,TRUE)&amp;VLOOKUP(I112,tablas!$S$3:$U$66,3,TRUE),tablas!$R$3:$S$66,2,FALSE)&lt;I112,VLOOKUP(I112+0.1,tablas!$S$3:$U$66,2,TRUE),VLOOKUP(I112,tablas!$S$3:$U$66,2,TRUE))&amp;"@"&amp;IF(VLOOKUP(VLOOKUP(I112,tablas!$S$3:$U$66,2,TRUE)&amp;VLOOKUP(I112,tablas!$S$3:$U$66,3,TRUE),tablas!$R$3:$S$66,2,FALSE)&lt;I112,VLOOKUP(I112+0.1,tablas!$S$3:$U$66,3,TRUE)&amp;"$",VLOOKUP(I112,tablas!$S$3:$U$66,3,TRUE)&amp;"$"),$C$13)</f>
        <v>$\phi10@23$</v>
      </c>
      <c r="J113" s="280"/>
      <c r="K113" s="279" t="str">
        <f>IF(K112&gt;$C$12,"$\phi"&amp;IF(VLOOKUP(VLOOKUP(K112,tablas!$S$3:$U$66,2,TRUE)&amp;VLOOKUP(K112,tablas!$S$3:$U$66,3,TRUE),tablas!$R$3:$S$66,2,FALSE)&lt;K112,VLOOKUP(K112+0.1,tablas!$S$3:$U$66,2,TRUE),VLOOKUP(K112,tablas!$S$3:$U$66,2,TRUE))&amp;"@"&amp;IF(VLOOKUP(VLOOKUP(K112,tablas!$S$3:$U$66,2,TRUE)&amp;VLOOKUP(K112,tablas!$S$3:$U$66,3,TRUE),tablas!$R$3:$S$66,2,FALSE)&lt;K112,VLOOKUP(K112+0.1,tablas!$S$3:$U$66,3,TRUE)&amp;"$",VLOOKUP(K112,tablas!$S$3:$U$66,3,TRUE)&amp;"$"),$C$13)</f>
        <v>$\phi8@17$</v>
      </c>
      <c r="L113" s="280"/>
      <c r="M113" s="279" t="str">
        <f>IF(M112&gt;$C$12,"$\phi"&amp;IF(VLOOKUP(VLOOKUP(M112,tablas!$S$3:$U$66,2,TRUE)&amp;VLOOKUP(M112,tablas!$S$3:$U$66,3,TRUE),tablas!$R$3:$S$66,2,FALSE)&lt;M112,VLOOKUP(M112+0.1,tablas!$S$3:$U$66,2,TRUE),VLOOKUP(M112,tablas!$S$3:$U$66,2,TRUE))&amp;"@"&amp;IF(VLOOKUP(VLOOKUP(M112,tablas!$S$3:$U$66,2,TRUE)&amp;VLOOKUP(M112,tablas!$S$3:$U$66,3,TRUE),tablas!$R$3:$S$66,2,FALSE)&lt;M112,VLOOKUP(M112+0.1,tablas!$S$3:$U$66,3,TRUE)&amp;"$",VLOOKUP(M112,tablas!$S$3:$U$66,3,TRUE)&amp;"$"),$C$13)</f>
        <v>$\phi8@17$</v>
      </c>
      <c r="N113" s="280"/>
      <c r="O113" s="279" t="str">
        <f>IF(O112&gt;$C$12,"$\phi"&amp;IF(VLOOKUP(VLOOKUP(O112,tablas!$S$3:$U$66,2,TRUE)&amp;VLOOKUP(O112,tablas!$S$3:$U$66,3,TRUE),tablas!$R$3:$S$66,2,FALSE)&lt;O112,VLOOKUP(O112+0.1,tablas!$S$3:$U$66,2,TRUE),VLOOKUP(O112,tablas!$S$3:$U$66,2,TRUE))&amp;"@"&amp;IF(VLOOKUP(VLOOKUP(O112,tablas!$S$3:$U$66,2,TRUE)&amp;VLOOKUP(O112,tablas!$S$3:$U$66,3,TRUE),tablas!$R$3:$S$66,2,FALSE)&lt;O112,VLOOKUP(O112+0.1,tablas!$S$3:$U$66,3,TRUE)&amp;"$",VLOOKUP(O112,tablas!$S$3:$U$66,3,TRUE)&amp;"$"),$C$13)</f>
        <v>$\phi8@17$</v>
      </c>
      <c r="P113" s="280"/>
      <c r="Q113" s="279" t="str">
        <f>IF(Q112&gt;$C$12,"$\phi"&amp;IF(VLOOKUP(VLOOKUP(Q112,tablas!$S$3:$U$66,2,TRUE)&amp;VLOOKUP(Q112,tablas!$S$3:$U$66,3,TRUE),tablas!$R$3:$S$66,2,FALSE)&lt;Q112,VLOOKUP(Q112+0.1,tablas!$S$3:$U$66,2,TRUE),VLOOKUP(Q112,tablas!$S$3:$U$66,2,TRUE))&amp;"@"&amp;IF(VLOOKUP(VLOOKUP(Q112,tablas!$S$3:$U$66,2,TRUE)&amp;VLOOKUP(Q112,tablas!$S$3:$U$66,3,TRUE),tablas!$R$3:$S$66,2,FALSE)&lt;Q112,VLOOKUP(Q112+0.1,tablas!$S$3:$U$66,3,TRUE)&amp;"$",VLOOKUP(Q112,tablas!$S$3:$U$66,3,TRUE)&amp;"$"),$C$13)</f>
        <v>$\phi8@17$</v>
      </c>
      <c r="R113" s="280"/>
      <c r="S113" s="279" t="str">
        <f>IF(S112&gt;$C$12,"$\phi"&amp;IF(VLOOKUP(VLOOKUP(S112,tablas!$S$3:$U$66,2,TRUE)&amp;VLOOKUP(S112,tablas!$S$3:$U$66,3,TRUE),tablas!$R$3:$S$66,2,FALSE)&lt;S112,VLOOKUP(S112+0.1,tablas!$S$3:$U$66,2,TRUE),VLOOKUP(S112,tablas!$S$3:$U$66,2,TRUE))&amp;"@"&amp;IF(VLOOKUP(VLOOKUP(S112,tablas!$S$3:$U$66,2,TRUE)&amp;VLOOKUP(S112,tablas!$S$3:$U$66,3,TRUE),tablas!$R$3:$S$66,2,FALSE)&lt;S112,VLOOKUP(S112+0.1,tablas!$S$3:$U$66,3,TRUE)&amp;"$",VLOOKUP(S112,tablas!$S$3:$U$66,3,TRUE)&amp;"$"),$C$13)</f>
        <v>$\phi8@17$</v>
      </c>
      <c r="T113" s="280"/>
      <c r="U113" s="279" t="str">
        <f>IF(U112&gt;$C$12,"$\phi"&amp;IF(VLOOKUP(VLOOKUP(U112,tablas!$S$3:$U$66,2,TRUE)&amp;VLOOKUP(U112,tablas!$S$3:$U$66,3,TRUE),tablas!$R$3:$S$66,2,FALSE)&lt;U112,VLOOKUP(U112+0.1,tablas!$S$3:$U$66,2,TRUE),VLOOKUP(U112,tablas!$S$3:$U$66,2,TRUE))&amp;"@"&amp;IF(VLOOKUP(VLOOKUP(U112,tablas!$S$3:$U$66,2,TRUE)&amp;VLOOKUP(U112,tablas!$S$3:$U$66,3,TRUE),tablas!$R$3:$S$66,2,FALSE)&lt;U112,VLOOKUP(U112+0.1,tablas!$S$3:$U$66,3,TRUE)&amp;"$",VLOOKUP(U112,tablas!$S$3:$U$66,3,TRUE)&amp;"$"),$C$13)</f>
        <v>$\phi8@17$</v>
      </c>
      <c r="V113" s="280"/>
      <c r="W113" s="279" t="str">
        <f>IF(W112&gt;$C$12,"$\phi"&amp;IF(VLOOKUP(VLOOKUP(W112,tablas!$S$3:$U$66,2,TRUE)&amp;VLOOKUP(W112,tablas!$S$3:$U$66,3,TRUE),tablas!$R$3:$S$66,2,FALSE)&lt;W112,VLOOKUP(W112+0.1,tablas!$S$3:$U$66,2,TRUE),VLOOKUP(W112,tablas!$S$3:$U$66,2,TRUE))&amp;"@"&amp;IF(VLOOKUP(VLOOKUP(W112,tablas!$S$3:$U$66,2,TRUE)&amp;VLOOKUP(W112,tablas!$S$3:$U$66,3,TRUE),tablas!$R$3:$S$66,2,FALSE)&lt;W112,VLOOKUP(W112+0.1,tablas!$S$3:$U$66,3,TRUE)&amp;"$",VLOOKUP(W112,tablas!$S$3:$U$66,3,TRUE)&amp;"$"),$C$13)</f>
        <v>$\phi8@17$</v>
      </c>
      <c r="X113" s="280"/>
      <c r="Y113" s="279" t="str">
        <f>IF(Y112&gt;$C$12,"$\phi"&amp;IF(VLOOKUP(VLOOKUP(Y112,tablas!$S$3:$U$66,2,TRUE)&amp;VLOOKUP(Y112,tablas!$S$3:$U$66,3,TRUE),tablas!$R$3:$S$66,2,FALSE)&lt;Y112,VLOOKUP(Y112+0.1,tablas!$S$3:$U$66,2,TRUE),VLOOKUP(Y112,tablas!$S$3:$U$66,2,TRUE))&amp;"@"&amp;IF(VLOOKUP(VLOOKUP(Y112,tablas!$S$3:$U$66,2,TRUE)&amp;VLOOKUP(Y112,tablas!$S$3:$U$66,3,TRUE),tablas!$R$3:$S$66,2,FALSE)&lt;Y112,VLOOKUP(Y112+0.1,tablas!$S$3:$U$66,3,TRUE)&amp;"$",VLOOKUP(Y112,tablas!$S$3:$U$66,3,TRUE)&amp;"$"),$C$13)</f>
        <v>$\phi8@17$</v>
      </c>
      <c r="Z113" s="280"/>
    </row>
    <row r="114" spans="2:30" ht="15.75" thickBot="1" x14ac:dyDescent="0.3">
      <c r="P114" s="40"/>
      <c r="T114" s="40"/>
    </row>
    <row r="115" spans="2:30" ht="15.75" thickBot="1" x14ac:dyDescent="0.3">
      <c r="B115" s="73" t="s">
        <v>43</v>
      </c>
      <c r="C115" s="74" t="s">
        <v>217</v>
      </c>
      <c r="D115" s="75" t="s">
        <v>232</v>
      </c>
      <c r="E115" s="74" t="s">
        <v>218</v>
      </c>
      <c r="F115" s="75" t="s">
        <v>219</v>
      </c>
      <c r="G115" s="74" t="s">
        <v>218</v>
      </c>
      <c r="H115" s="75" t="s">
        <v>220</v>
      </c>
      <c r="I115" s="74" t="s">
        <v>219</v>
      </c>
      <c r="J115" s="75" t="s">
        <v>232</v>
      </c>
      <c r="K115" s="74" t="s">
        <v>219</v>
      </c>
      <c r="L115" s="75" t="s">
        <v>220</v>
      </c>
      <c r="M115" s="74" t="s">
        <v>220</v>
      </c>
      <c r="N115" s="75" t="s">
        <v>221</v>
      </c>
      <c r="O115" s="74" t="s">
        <v>220</v>
      </c>
      <c r="P115" s="75" t="s">
        <v>228</v>
      </c>
      <c r="Q115" s="74" t="s">
        <v>221</v>
      </c>
      <c r="R115" s="75" t="s">
        <v>228</v>
      </c>
      <c r="S115" s="74" t="s">
        <v>221</v>
      </c>
      <c r="T115" s="75" t="s">
        <v>227</v>
      </c>
      <c r="U115" s="74" t="s">
        <v>223</v>
      </c>
      <c r="V115" s="75" t="s">
        <v>224</v>
      </c>
      <c r="W115" s="74" t="s">
        <v>222</v>
      </c>
      <c r="X115" s="75" t="s">
        <v>231</v>
      </c>
      <c r="Y115" s="74" t="s">
        <v>225</v>
      </c>
      <c r="Z115" s="75" t="s">
        <v>226</v>
      </c>
      <c r="AA115" s="74" t="s">
        <v>227</v>
      </c>
      <c r="AB115" s="75" t="s">
        <v>228</v>
      </c>
      <c r="AC115" s="74" t="s">
        <v>229</v>
      </c>
      <c r="AD115" s="75" t="s">
        <v>230</v>
      </c>
    </row>
    <row r="116" spans="2:30" ht="15.75" hidden="1" thickBot="1" x14ac:dyDescent="0.3">
      <c r="B116" s="141"/>
      <c r="C116" s="143" t="str">
        <f>C115&amp;"-"&amp;D115</f>
        <v>2307-2322</v>
      </c>
      <c r="D116" s="143"/>
      <c r="E116" s="143" t="str">
        <f>E115&amp;"-"&amp;F115</f>
        <v>2308-2309</v>
      </c>
      <c r="F116" s="142"/>
      <c r="G116" s="143" t="str">
        <f>G115&amp;"-"&amp;H115</f>
        <v>2308-2310</v>
      </c>
      <c r="H116" s="142"/>
      <c r="I116" s="143" t="str">
        <f>I115&amp;"-"&amp;J115</f>
        <v>2309-2322</v>
      </c>
      <c r="J116" s="142"/>
      <c r="K116" s="143" t="str">
        <f>K115&amp;"-"&amp;L115</f>
        <v>2309-2310</v>
      </c>
      <c r="L116" s="142"/>
      <c r="M116" s="143" t="str">
        <f>M115&amp;"-"&amp;N115</f>
        <v>2310-2311</v>
      </c>
      <c r="N116" s="142"/>
      <c r="O116" s="143" t="str">
        <f>O115&amp;"-"&amp;P115</f>
        <v>2310-2318</v>
      </c>
      <c r="P116" s="142"/>
      <c r="Q116" s="143" t="str">
        <f>Q115&amp;"-"&amp;R115</f>
        <v>2311-2318</v>
      </c>
      <c r="R116" s="142"/>
      <c r="S116" s="143" t="str">
        <f>S115&amp;"-"&amp;T115</f>
        <v>2311-2317</v>
      </c>
      <c r="T116" s="142"/>
      <c r="U116" s="143" t="str">
        <f>U115&amp;"-"&amp;V115</f>
        <v>2313-2314</v>
      </c>
      <c r="V116" s="142"/>
      <c r="W116" s="143" t="str">
        <f>W115&amp;"-"&amp;X115</f>
        <v>2312-2321</v>
      </c>
      <c r="X116" s="142"/>
      <c r="Y116" s="143" t="str">
        <f>Y115&amp;"-"&amp;Z115</f>
        <v>2315-2316</v>
      </c>
      <c r="Z116" s="142"/>
      <c r="AA116" s="143" t="str">
        <f>AA115&amp;"-"&amp;AB115</f>
        <v>2317-2318</v>
      </c>
      <c r="AB116" s="142"/>
      <c r="AC116" s="143" t="str">
        <f>AC115&amp;"-"&amp;AD115</f>
        <v>2319-2320</v>
      </c>
      <c r="AD116" s="142"/>
    </row>
    <row r="117" spans="2:30" x14ac:dyDescent="0.25">
      <c r="B117" s="102" t="s">
        <v>114</v>
      </c>
      <c r="C117" s="99" t="s">
        <v>109</v>
      </c>
      <c r="D117" s="100" t="s">
        <v>108</v>
      </c>
      <c r="E117" s="99" t="s">
        <v>108</v>
      </c>
      <c r="F117" s="100" t="s">
        <v>109</v>
      </c>
      <c r="G117" s="99" t="s">
        <v>108</v>
      </c>
      <c r="H117" s="100" t="s">
        <v>108</v>
      </c>
      <c r="I117" s="99" t="s">
        <v>108</v>
      </c>
      <c r="J117" s="100" t="s">
        <v>109</v>
      </c>
      <c r="K117" s="99" t="s">
        <v>108</v>
      </c>
      <c r="L117" s="100" t="s">
        <v>109</v>
      </c>
      <c r="M117" s="99" t="s">
        <v>109</v>
      </c>
      <c r="N117" s="100" t="s">
        <v>109</v>
      </c>
      <c r="O117" s="99" t="s">
        <v>108</v>
      </c>
      <c r="P117" s="100" t="s">
        <v>108</v>
      </c>
      <c r="Q117" s="99" t="s">
        <v>108</v>
      </c>
      <c r="R117" s="100" t="s">
        <v>108</v>
      </c>
      <c r="S117" s="99" t="s">
        <v>109</v>
      </c>
      <c r="T117" s="100" t="s">
        <v>108</v>
      </c>
      <c r="U117" s="99" t="s">
        <v>109</v>
      </c>
      <c r="V117" s="100" t="s">
        <v>109</v>
      </c>
      <c r="W117" s="99" t="s">
        <v>108</v>
      </c>
      <c r="X117" s="100" t="s">
        <v>109</v>
      </c>
      <c r="Y117" s="99" t="s">
        <v>108</v>
      </c>
      <c r="Z117" s="100" t="s">
        <v>109</v>
      </c>
      <c r="AA117" s="99" t="s">
        <v>109</v>
      </c>
      <c r="AB117" s="100" t="s">
        <v>108</v>
      </c>
      <c r="AC117" s="99" t="s">
        <v>108</v>
      </c>
      <c r="AD117" s="100" t="s">
        <v>109</v>
      </c>
    </row>
    <row r="118" spans="2:30" x14ac:dyDescent="0.25">
      <c r="B118" s="103" t="s">
        <v>110</v>
      </c>
      <c r="C118" s="195">
        <f t="shared" ref="C118:Z118" si="29">HLOOKUP(C115,$B$46:$AE$90,IF(C117="x",36,41),FALSE)</f>
        <v>313.83902439024388</v>
      </c>
      <c r="D118" s="196">
        <f t="shared" si="29"/>
        <v>543.60239520958078</v>
      </c>
      <c r="E118" s="195">
        <f t="shared" si="29"/>
        <v>148.6333333333333</v>
      </c>
      <c r="F118" s="196">
        <f t="shared" si="29"/>
        <v>437.32</v>
      </c>
      <c r="G118" s="195">
        <f t="shared" si="29"/>
        <v>148.6333333333333</v>
      </c>
      <c r="H118" s="196">
        <f t="shared" si="29"/>
        <v>1214.946808510638</v>
      </c>
      <c r="I118" s="195">
        <f t="shared" si="29"/>
        <v>637.75833333333333</v>
      </c>
      <c r="J118" s="196">
        <f t="shared" si="29"/>
        <v>410.77647058823516</v>
      </c>
      <c r="K118" s="195">
        <f t="shared" si="29"/>
        <v>637.75833333333333</v>
      </c>
      <c r="L118" s="196">
        <f t="shared" si="29"/>
        <v>1125.1724137931033</v>
      </c>
      <c r="M118" s="195">
        <f t="shared" si="29"/>
        <v>1125.1724137931033</v>
      </c>
      <c r="N118" s="196">
        <f t="shared" si="29"/>
        <v>1598.7133953488374</v>
      </c>
      <c r="O118" s="195">
        <f t="shared" si="29"/>
        <v>1214.946808510638</v>
      </c>
      <c r="P118" s="196">
        <f t="shared" si="29"/>
        <v>204.24950000000004</v>
      </c>
      <c r="Q118" s="195">
        <f t="shared" si="29"/>
        <v>1847.9751612903226</v>
      </c>
      <c r="R118" s="196">
        <f t="shared" si="29"/>
        <v>204.24950000000004</v>
      </c>
      <c r="S118" s="195">
        <f t="shared" si="29"/>
        <v>1598.7133953488374</v>
      </c>
      <c r="T118" s="196">
        <f t="shared" si="29"/>
        <v>123.03200000000001</v>
      </c>
      <c r="U118" s="195">
        <f t="shared" si="29"/>
        <v>184.43475555555557</v>
      </c>
      <c r="V118" s="196">
        <f t="shared" si="29"/>
        <v>184.43475555555557</v>
      </c>
      <c r="W118" s="195">
        <f t="shared" si="29"/>
        <v>259.36137500000001</v>
      </c>
      <c r="X118" s="196">
        <f t="shared" si="29"/>
        <v>39.635555555555548</v>
      </c>
      <c r="Y118" s="195">
        <f t="shared" si="29"/>
        <v>259.36137500000001</v>
      </c>
      <c r="Z118" s="196">
        <f t="shared" si="29"/>
        <v>87.489422222222231</v>
      </c>
      <c r="AA118" s="195">
        <f t="shared" ref="AA118:AD118" si="30">HLOOKUP(AA115,$B$46:$AE$90,IF(AA117="x",36,41),FALSE)</f>
        <v>87.489422222222231</v>
      </c>
      <c r="AB118" s="196">
        <f t="shared" si="30"/>
        <v>204.24950000000004</v>
      </c>
      <c r="AC118" s="195">
        <f t="shared" si="30"/>
        <v>204.24950000000004</v>
      </c>
      <c r="AD118" s="196">
        <f t="shared" si="30"/>
        <v>44.294755555555554</v>
      </c>
    </row>
    <row r="119" spans="2:30" x14ac:dyDescent="0.25">
      <c r="B119" s="103" t="s">
        <v>111</v>
      </c>
      <c r="C119" s="283">
        <f>(MAX(C118:D118)-MIN(C118:D118))/(MAX(C118:D118))</f>
        <v>0.42266806188510964</v>
      </c>
      <c r="D119" s="284"/>
      <c r="E119" s="283">
        <f>(MAX(E118:F118)-MIN(E118:F118))/(MAX(E118:F118))</f>
        <v>0.66012683313515674</v>
      </c>
      <c r="F119" s="284"/>
      <c r="G119" s="283">
        <f>(MAX(G118:H118)-MIN(G118:H118))/(MAX(G118:H118))</f>
        <v>0.87766268260292168</v>
      </c>
      <c r="H119" s="284"/>
      <c r="I119" s="283">
        <f>(MAX(I118:J118)-MIN(I118:J118))/(MAX(I118:J118))</f>
        <v>0.35590575752847581</v>
      </c>
      <c r="J119" s="284"/>
      <c r="K119" s="283">
        <f>(MAX(K118:L118)-MIN(K118:L118))/(MAX(K118:L118))</f>
        <v>0.43319057104913672</v>
      </c>
      <c r="L119" s="284"/>
      <c r="M119" s="283">
        <f>(MAX(M118:N118)-MIN(M118:N118))/(MAX(M118:N118))</f>
        <v>0.29620129720149624</v>
      </c>
      <c r="N119" s="284"/>
      <c r="O119" s="283">
        <f>(MAX(O118:P118)-MIN(O118:P118))/(MAX(O118:P118))</f>
        <v>0.83188605577689234</v>
      </c>
      <c r="P119" s="284"/>
      <c r="Q119" s="283">
        <f>(MAX(Q118:R118)-MIN(Q118:R118))/(MAX(Q118:R118))</f>
        <v>0.88947389322192738</v>
      </c>
      <c r="R119" s="284"/>
      <c r="S119" s="283">
        <f>(MAX(S118:T118)-MIN(S118:T118))/(MAX(S118:T118))</f>
        <v>0.9230431168226032</v>
      </c>
      <c r="T119" s="284"/>
      <c r="U119" s="283">
        <f>(MAX(U118:V118)-MIN(U118:V118))/(MAX(U118:V118))</f>
        <v>0</v>
      </c>
      <c r="V119" s="284"/>
      <c r="W119" s="283">
        <f>(MAX(W118:X118)-MIN(W118:X118))/(MAX(W118:X118))</f>
        <v>0.84718019190191463</v>
      </c>
      <c r="X119" s="284"/>
      <c r="Y119" s="283">
        <f>(MAX(Y118:Z118)-MIN(Y118:Z118))/(MAX(Y118:Z118))</f>
        <v>0.6626736644104303</v>
      </c>
      <c r="Z119" s="284"/>
      <c r="AA119" s="283">
        <f>(MAX(AA118:AB118)-MIN(AA118:AB118))/(MAX(AA118:AB118))</f>
        <v>0.57165416697606497</v>
      </c>
      <c r="AB119" s="284"/>
      <c r="AC119" s="283">
        <f>(MAX(AC118:AD118)-MIN(AC118:AD118))/(MAX(AC118:AD118))</f>
        <v>0.78313408083958325</v>
      </c>
      <c r="AD119" s="284"/>
    </row>
    <row r="120" spans="2:30" x14ac:dyDescent="0.25">
      <c r="B120" s="103" t="s">
        <v>112</v>
      </c>
      <c r="C120" s="285">
        <f>IF(C119&lt;25%,(C118*0.5+D118*0.5)*0.9,IF(C119&lt;50%,(MAX(C118:D118)*0.6+MIN(C118:D118)*0.4)*0.9,IF(C119&lt;70%,(MAX(C118:D118)*0.65+MIN(C118:D118)*0.35)*0.9,IF(C119&lt;100%,(MAX(C118:D118)*0.7+MIN(C118:D118)*0.3)*0.9,0.7*MAX(C118:D118)))))</f>
        <v>406.52734219366147</v>
      </c>
      <c r="D120" s="286"/>
      <c r="E120" s="285">
        <f>IF(E119&lt;25%,(E118*0.5+F118*0.5)*0.9,IF(E119&lt;50%,(MAX(E118:F118)*0.6+MIN(E118:F118)*0.4)*0.9,IF(E119&lt;70%,(MAX(E118:F118)*0.65+MIN(E118:F118)*0.35)*0.9,IF(E119&lt;100%,(MAX(E118:F118)*0.7+MIN(E118:F118)*0.3)*0.9,0.7*MAX(E118:F118)))))</f>
        <v>302.65169999999995</v>
      </c>
      <c r="F120" s="286"/>
      <c r="G120" s="285">
        <f>IF(G119&lt;25%,(G118*0.5+H118*0.5)*0.9,IF(G119&lt;50%,(MAX(G118:H118)*0.6+MIN(G118:H118)*0.4)*0.9,IF(G119&lt;70%,(MAX(G118:H118)*0.65+MIN(G118:H118)*0.35)*0.9,IF(G119&lt;100%,(MAX(G118:H118)*0.7+MIN(G118:H118)*0.3)*0.9,0.7*MAX(G118:H118)))))</f>
        <v>805.54748936170199</v>
      </c>
      <c r="H120" s="286"/>
      <c r="I120" s="285">
        <f>IF(I119&lt;25%,(I118*0.5+J118*0.5)*0.9,IF(I119&lt;50%,(MAX(I118:J118)*0.6+MIN(I118:J118)*0.4)*0.9,IF(I119&lt;70%,(MAX(I118:J118)*0.65+MIN(I118:J118)*0.35)*0.9,IF(I119&lt;100%,(MAX(I118:J118)*0.7+MIN(I118:J118)*0.3)*0.9,0.7*MAX(I118:J118)))))</f>
        <v>492.26902941176462</v>
      </c>
      <c r="J120" s="286"/>
      <c r="K120" s="285">
        <f>IF(K119&lt;25%,(K118*0.5+L118*0.5)*0.9,IF(K119&lt;50%,(MAX(K118:L118)*0.6+MIN(K118:L118)*0.4)*0.9,IF(K119&lt;70%,(MAX(K118:L118)*0.65+MIN(K118:L118)*0.35)*0.9,IF(K119&lt;100%,(MAX(K118:L118)*0.7+MIN(K118:L118)*0.3)*0.9,0.7*MAX(K118:L118)))))</f>
        <v>837.18610344827584</v>
      </c>
      <c r="L120" s="286"/>
      <c r="M120" s="285">
        <f>IF(M119&lt;25%,(M118*0.5+N118*0.5)*0.9,IF(M119&lt;50%,(MAX(M118:N118)*0.6+MIN(M118:N118)*0.4)*0.9,IF(M119&lt;70%,(MAX(M118:N118)*0.65+MIN(M118:N118)*0.35)*0.9,IF(M119&lt;100%,(MAX(M118:N118)*0.7+MIN(M118:N118)*0.3)*0.9,0.7*MAX(M118:N118)))))</f>
        <v>1268.3673024538894</v>
      </c>
      <c r="N120" s="286"/>
      <c r="O120" s="285">
        <f>IF(O119&lt;25%,(O118*0.5+P118*0.5)*0.9,IF(O119&lt;50%,(MAX(O118:P118)*0.6+MIN(O118:P118)*0.4)*0.9,IF(O119&lt;70%,(MAX(O118:P118)*0.65+MIN(O118:P118)*0.35)*0.9,IF(O119&lt;100%,(MAX(O118:P118)*0.7+MIN(O118:P118)*0.3)*0.9,0.7*MAX(O118:P118)))))</f>
        <v>820.56385436170194</v>
      </c>
      <c r="P120" s="286"/>
      <c r="Q120" s="285">
        <f>IF(Q119&lt;25%,(Q118*0.5+R118*0.5)*0.9,IF(Q119&lt;50%,(MAX(Q118:R118)*0.6+MIN(Q118:R118)*0.4)*0.9,IF(Q119&lt;70%,(MAX(Q118:R118)*0.65+MIN(Q118:R118)*0.35)*0.9,IF(Q119&lt;100%,(MAX(Q118:R118)*0.7+MIN(Q118:R118)*0.3)*0.9,0.7*MAX(Q118:R118)))))</f>
        <v>1219.3717166129031</v>
      </c>
      <c r="R120" s="286"/>
      <c r="S120" s="285">
        <f>IF(S119&lt;25%,(S118*0.5+T118*0.5)*0.9,IF(S119&lt;50%,(MAX(S118:T118)*0.6+MIN(S118:T118)*0.4)*0.9,IF(S119&lt;70%,(MAX(S118:T118)*0.65+MIN(S118:T118)*0.35)*0.9,IF(S119&lt;100%,(MAX(S118:T118)*0.7+MIN(S118:T118)*0.3)*0.9,0.7*MAX(S118:T118)))))</f>
        <v>1040.4080790697674</v>
      </c>
      <c r="T120" s="286"/>
      <c r="U120" s="285">
        <f>IF(U119&lt;25%,(U118*0.5+V118*0.5)*0.9,IF(U119&lt;50%,(MAX(U118:V118)*0.6+MIN(U118:V118)*0.4)*0.9,IF(U119&lt;70%,(MAX(U118:V118)*0.65+MIN(U118:V118)*0.35)*0.9,IF(U119&lt;100%,(MAX(U118:V118)*0.7+MIN(U118:V118)*0.3)*0.9,0.7*MAX(U118:V118)))))</f>
        <v>165.99128000000002</v>
      </c>
      <c r="V120" s="286"/>
      <c r="W120" s="285">
        <f>IF(W119&lt;25%,(W118*0.5+X118*0.5)*0.9,IF(W119&lt;50%,(MAX(W118:X118)*0.6+MIN(W118:X118)*0.4)*0.9,IF(W119&lt;70%,(MAX(W118:X118)*0.65+MIN(W118:X118)*0.35)*0.9,IF(W119&lt;100%,(MAX(W118:X118)*0.7+MIN(W118:X118)*0.3)*0.9,0.7*MAX(W118:X118)))))</f>
        <v>174.09926625000003</v>
      </c>
      <c r="X120" s="286"/>
      <c r="Y120" s="285">
        <f>IF(Y119&lt;25%,(Y118*0.5+Z118*0.5)*0.9,IF(Y119&lt;50%,(MAX(Y118:Z118)*0.6+MIN(Y118:Z118)*0.4)*0.9,IF(Y119&lt;70%,(MAX(Y118:Z118)*0.65+MIN(Y118:Z118)*0.35)*0.9,IF(Y119&lt;100%,(MAX(Y118:Z118)*0.7+MIN(Y118:Z118)*0.3)*0.9,0.7*MAX(Y118:Z118)))))</f>
        <v>179.28557237500002</v>
      </c>
      <c r="Z120" s="286"/>
      <c r="AA120" s="285">
        <f>IF(AA119&lt;25%,(AA118*0.5+AB118*0.5)*0.9,IF(AA119&lt;50%,(MAX(AA118:AB118)*0.6+MIN(AA118:AB118)*0.4)*0.9,IF(AA119&lt;70%,(MAX(AA118:AB118)*0.65+MIN(AA118:AB118)*0.35)*0.9,IF(AA119&lt;100%,(MAX(AA118:AB118)*0.7+MIN(AA118:AB118)*0.3)*0.9,0.7*MAX(AA118:AB118)))))</f>
        <v>147.04512550000004</v>
      </c>
      <c r="AB120" s="286"/>
      <c r="AC120" s="285">
        <f>IF(AC119&lt;25%,(AC118*0.5+AD118*0.5)*0.9,IF(AC119&lt;50%,(MAX(AC118:AD118)*0.6+MIN(AC118:AD118)*0.4)*0.9,IF(AC119&lt;70%,(MAX(AC118:AD118)*0.65+MIN(AC118:AD118)*0.35)*0.9,IF(AC119&lt;100%,(MAX(AC118:AD118)*0.7+MIN(AC118:AD118)*0.3)*0.9,0.7*MAX(AC118:AD118)))))</f>
        <v>140.63676900000002</v>
      </c>
      <c r="AD120" s="286"/>
    </row>
    <row r="121" spans="2:30" x14ac:dyDescent="0.25">
      <c r="B121" s="104" t="s">
        <v>15</v>
      </c>
      <c r="C121" s="287">
        <f>C120/(0.9*(0.9*($C$7/100))*($L$9*1000))</f>
        <v>0.83759280314835693</v>
      </c>
      <c r="D121" s="288"/>
      <c r="E121" s="287">
        <f>E120/(0.9*(0.9*($C$7/100))*($L$9*1000))</f>
        <v>0.62357155219304727</v>
      </c>
      <c r="F121" s="288"/>
      <c r="G121" s="287">
        <f>G120/(0.9*(0.9*($C$7/100))*($L$9*1000))</f>
        <v>1.659718079582863</v>
      </c>
      <c r="H121" s="288"/>
      <c r="I121" s="287">
        <f>I120/(0.9*(0.9*($C$7/100))*($L$9*1000))</f>
        <v>1.0142515729033041</v>
      </c>
      <c r="J121" s="288"/>
      <c r="K121" s="287">
        <f>K120/(0.9*(0.9*($C$7/100))*($L$9*1000))</f>
        <v>1.7249050244941313</v>
      </c>
      <c r="L121" s="288"/>
      <c r="M121" s="287">
        <f>M120/(0.9*(0.9*($C$7/100))*($L$9*1000))</f>
        <v>2.6132936558495463</v>
      </c>
      <c r="N121" s="288"/>
      <c r="O121" s="287">
        <f>O120/(0.9*(0.9*($C$7/100))*($L$9*1000))</f>
        <v>1.6906572021166117</v>
      </c>
      <c r="P121" s="288"/>
      <c r="Q121" s="287">
        <f>Q120/(0.9*(0.9*($C$7/100))*($L$9*1000))</f>
        <v>2.5123450951328166</v>
      </c>
      <c r="R121" s="288"/>
      <c r="S121" s="287">
        <f>S120/(0.9*(0.9*($C$7/100))*($L$9*1000))</f>
        <v>2.1436155183655718</v>
      </c>
      <c r="T121" s="288"/>
      <c r="U121" s="287">
        <f>U120/(0.9*(0.9*($C$7/100))*($L$9*1000))</f>
        <v>0.3420018460828429</v>
      </c>
      <c r="V121" s="288"/>
      <c r="W121" s="287">
        <f>W120/(0.9*(0.9*($C$7/100))*($L$9*1000))</f>
        <v>0.35870721919349252</v>
      </c>
      <c r="X121" s="288"/>
      <c r="Y121" s="287">
        <f>Y120/(0.9*(0.9*($C$7/100))*($L$9*1000))</f>
        <v>0.36939287851909536</v>
      </c>
      <c r="Z121" s="288"/>
      <c r="AA121" s="287">
        <f>AA120/(0.9*(0.9*($C$7/100))*($L$9*1000))</f>
        <v>0.30296594121379944</v>
      </c>
      <c r="AB121" s="288"/>
      <c r="AC121" s="287">
        <f>AC120/(0.9*(0.9*($C$7/100))*($L$9*1000))</f>
        <v>0.28976241779162332</v>
      </c>
      <c r="AD121" s="288"/>
    </row>
    <row r="122" spans="2:30" x14ac:dyDescent="0.25">
      <c r="B122" s="104" t="s">
        <v>98</v>
      </c>
      <c r="C122" s="281">
        <f>(C121*($L$9))/(0.85*$L$6*100)</f>
        <v>2.0674147620962903E-2</v>
      </c>
      <c r="D122" s="282"/>
      <c r="E122" s="281">
        <f>(E121*($L$9))/(0.85*$L$6*100)</f>
        <v>1.5391500826910279E-2</v>
      </c>
      <c r="F122" s="282"/>
      <c r="G122" s="281">
        <f>(G121*($L$9))/(0.85*$L$6*100)</f>
        <v>4.0966513152333642E-2</v>
      </c>
      <c r="H122" s="282"/>
      <c r="I122" s="281">
        <f>(I121*($L$9))/(0.85*$L$6*100)</f>
        <v>2.5034583229677863E-2</v>
      </c>
      <c r="J122" s="282"/>
      <c r="K122" s="281">
        <f>(K121*($L$9))/(0.85*$L$6*100)</f>
        <v>4.2575510408505664E-2</v>
      </c>
      <c r="L122" s="282"/>
      <c r="M122" s="281">
        <f>(M121*($L$9))/(0.85*$L$6*100)</f>
        <v>6.4503442024429411E-2</v>
      </c>
      <c r="N122" s="282"/>
      <c r="O122" s="281">
        <f>(O121*($L$9))/(0.85*$L$6*100)</f>
        <v>4.1730177768506911E-2</v>
      </c>
      <c r="P122" s="282"/>
      <c r="Q122" s="281">
        <f>(Q121*($L$9))/(0.85*$L$6*100)</f>
        <v>6.2011747446184866E-2</v>
      </c>
      <c r="R122" s="282"/>
      <c r="S122" s="281">
        <f>(S121*($L$9))/(0.85*$L$6*100)</f>
        <v>5.2910463775113305E-2</v>
      </c>
      <c r="T122" s="282"/>
      <c r="U122" s="281">
        <f>(U121*($L$9))/(0.85*$L$6*100)</f>
        <v>8.4415680578694783E-3</v>
      </c>
      <c r="V122" s="282"/>
      <c r="W122" s="281">
        <f>(W121*($L$9))/(0.85*$L$6*100)</f>
        <v>8.8539036802084657E-3</v>
      </c>
      <c r="X122" s="282"/>
      <c r="Y122" s="281">
        <f>(Y121*($L$9))/(0.85*$L$6*100)</f>
        <v>9.1176558250388017E-3</v>
      </c>
      <c r="Z122" s="282"/>
      <c r="AA122" s="281">
        <f>(AA121*($L$9))/(0.85*$L$6*100)</f>
        <v>7.4780520668688679E-3</v>
      </c>
      <c r="AB122" s="282"/>
      <c r="AC122" s="281">
        <f>(AC121*($L$9))/(0.85*$L$6*100)</f>
        <v>7.152151950104658E-3</v>
      </c>
      <c r="AD122" s="282"/>
    </row>
    <row r="123" spans="2:30" ht="15.75" thickBot="1" x14ac:dyDescent="0.3">
      <c r="B123" s="105" t="s">
        <v>15</v>
      </c>
      <c r="C123" s="289">
        <f>ROUNDUP(C120/(0.9*(($C$7-C122/2)/100)*($L$9*1000)),2)</f>
        <v>0.76</v>
      </c>
      <c r="D123" s="290"/>
      <c r="E123" s="289">
        <f>ROUNDUP(E120/(0.9*(($C$7-E122/2)/100)*($L$9*1000)),2)</f>
        <v>0.57000000000000006</v>
      </c>
      <c r="F123" s="290"/>
      <c r="G123" s="289">
        <f>ROUNDUP(G120/(0.9*(($C$7-G122/2)/100)*($L$9*1000)),2)</f>
        <v>1.5</v>
      </c>
      <c r="H123" s="290"/>
      <c r="I123" s="289">
        <f>ROUNDUP(I120/(0.9*(($C$7-I122/2)/100)*($L$9*1000)),2)</f>
        <v>0.92</v>
      </c>
      <c r="J123" s="290"/>
      <c r="K123" s="289">
        <f>ROUNDUP(K120/(0.9*(($C$7-K122/2)/100)*($L$9*1000)),2)</f>
        <v>1.56</v>
      </c>
      <c r="L123" s="290"/>
      <c r="M123" s="289">
        <f>ROUNDUP(M120/(0.9*(($C$7-M122/2)/100)*($L$9*1000)),2)</f>
        <v>2.36</v>
      </c>
      <c r="N123" s="290"/>
      <c r="O123" s="289">
        <f>ROUNDUP(O120/(0.9*(($C$7-O122/2)/100)*($L$9*1000)),2)</f>
        <v>1.53</v>
      </c>
      <c r="P123" s="290"/>
      <c r="Q123" s="289">
        <f>ROUNDUP(Q120/(0.9*(($C$7-Q122/2)/100)*($L$9*1000)),2)</f>
        <v>2.2699999999999996</v>
      </c>
      <c r="R123" s="290"/>
      <c r="S123" s="289">
        <f>ROUNDUP(S120/(0.9*(($C$7-S122/2)/100)*($L$9*1000)),2)</f>
        <v>1.94</v>
      </c>
      <c r="T123" s="290"/>
      <c r="U123" s="289">
        <f>ROUNDUP(U120/(0.9*(($C$7-U122/2)/100)*($L$9*1000)),2)</f>
        <v>0.31</v>
      </c>
      <c r="V123" s="290"/>
      <c r="W123" s="289">
        <f>ROUNDUP(W120/(0.9*(($C$7-W122/2)/100)*($L$9*1000)),2)</f>
        <v>0.33</v>
      </c>
      <c r="X123" s="290"/>
      <c r="Y123" s="289">
        <f>ROUNDUP(Y120/(0.9*(($C$7-Y122/2)/100)*($L$9*1000)),2)</f>
        <v>0.34</v>
      </c>
      <c r="Z123" s="290"/>
      <c r="AA123" s="289">
        <f>ROUNDUP(AA120/(0.9*(($C$7-AA122/2)/100)*($L$9*1000)),2)</f>
        <v>0.28000000000000003</v>
      </c>
      <c r="AB123" s="290"/>
      <c r="AC123" s="289">
        <f>ROUNDUP(AC120/(0.9*(($C$7-AC122/2)/100)*($L$9*1000)),2)</f>
        <v>0.27</v>
      </c>
      <c r="AD123" s="290"/>
    </row>
    <row r="124" spans="2:30" ht="16.5" thickBot="1" x14ac:dyDescent="0.3">
      <c r="B124" s="61" t="s">
        <v>113</v>
      </c>
      <c r="C124" s="279" t="str">
        <f>IF(C123&gt;$C$12,"$\phi"&amp;IF(VLOOKUP(VLOOKUP(C123,tablas!$S$3:$U$66,2,TRUE)&amp;VLOOKUP(C123,tablas!$S$3:$U$66,3,TRUE),tablas!$R$3:$S$66,2,FALSE)&lt;C123,VLOOKUP(C123+0.1,tablas!$S$3:$U$66,2,TRUE),VLOOKUP(C123,tablas!$S$3:$U$66,2,TRUE))&amp;"@"&amp;IF(VLOOKUP(VLOOKUP(C123,tablas!$S$3:$U$66,2,TRUE)&amp;VLOOKUP(C123,tablas!$S$3:$U$66,3,TRUE),tablas!$R$3:$S$66,2,FALSE)&lt;C123,VLOOKUP(C123+0.1,tablas!$S$3:$U$66,3,TRUE)&amp;"$",VLOOKUP(C123,tablas!$S$3:$U$66,3,TRUE)&amp;"$"),$C$13)</f>
        <v>$\phi8@17$</v>
      </c>
      <c r="D124" s="280"/>
      <c r="E124" s="279" t="str">
        <f>IF(E123&gt;$C$12,"$\phi"&amp;IF(VLOOKUP(VLOOKUP(E123,tablas!$S$3:$U$66,2,TRUE)&amp;VLOOKUP(E123,tablas!$S$3:$U$66,3,TRUE),tablas!$R$3:$S$66,2,FALSE)&lt;E123,VLOOKUP(E123+0.1,tablas!$S$3:$U$66,2,TRUE),VLOOKUP(E123,tablas!$S$3:$U$66,2,TRUE))&amp;"@"&amp;IF(VLOOKUP(VLOOKUP(E123,tablas!$S$3:$U$66,2,TRUE)&amp;VLOOKUP(E123,tablas!$S$3:$U$66,3,TRUE),tablas!$R$3:$S$66,2,FALSE)&lt;E123,VLOOKUP(E123+0.1,tablas!$S$3:$U$66,3,TRUE)&amp;"$",VLOOKUP(E123,tablas!$S$3:$U$66,3,TRUE)&amp;"$"),$C$13)</f>
        <v>$\phi8@17$</v>
      </c>
      <c r="F124" s="280"/>
      <c r="G124" s="279" t="str">
        <f>IF(G123&gt;$C$12,"$\phi"&amp;IF(VLOOKUP(VLOOKUP(G123,tablas!$S$3:$U$66,2,TRUE)&amp;VLOOKUP(G123,tablas!$S$3:$U$66,3,TRUE),tablas!$R$3:$S$66,2,FALSE)&lt;G123,VLOOKUP(G123+0.1,tablas!$S$3:$U$66,2,TRUE),VLOOKUP(G123,tablas!$S$3:$U$66,2,TRUE))&amp;"@"&amp;IF(VLOOKUP(VLOOKUP(G123,tablas!$S$3:$U$66,2,TRUE)&amp;VLOOKUP(G123,tablas!$S$3:$U$66,3,TRUE),tablas!$R$3:$S$66,2,FALSE)&lt;G123,VLOOKUP(G123+0.1,tablas!$S$3:$U$66,3,TRUE)&amp;"$",VLOOKUP(G123,tablas!$S$3:$U$66,3,TRUE)&amp;"$"),$C$13)</f>
        <v>$\phi8@17$</v>
      </c>
      <c r="H124" s="280"/>
      <c r="I124" s="279" t="str">
        <f>IF(I123&gt;$C$12,"$\phi"&amp;IF(VLOOKUP(VLOOKUP(I123,tablas!$S$3:$U$66,2,TRUE)&amp;VLOOKUP(I123,tablas!$S$3:$U$66,3,TRUE),tablas!$R$3:$S$66,2,FALSE)&lt;I123,VLOOKUP(I123+0.1,tablas!$S$3:$U$66,2,TRUE),VLOOKUP(I123,tablas!$S$3:$U$66,2,TRUE))&amp;"@"&amp;IF(VLOOKUP(VLOOKUP(I123,tablas!$S$3:$U$66,2,TRUE)&amp;VLOOKUP(I123,tablas!$S$3:$U$66,3,TRUE),tablas!$R$3:$S$66,2,FALSE)&lt;I123,VLOOKUP(I123+0.1,tablas!$S$3:$U$66,3,TRUE)&amp;"$",VLOOKUP(I123,tablas!$S$3:$U$66,3,TRUE)&amp;"$"),$C$13)</f>
        <v>$\phi8@17$</v>
      </c>
      <c r="J124" s="280"/>
      <c r="K124" s="279" t="str">
        <f>IF(K123&gt;$C$12,"$\phi"&amp;IF(VLOOKUP(VLOOKUP(K123,tablas!$S$3:$U$66,2,TRUE)&amp;VLOOKUP(K123,tablas!$S$3:$U$66,3,TRUE),tablas!$R$3:$S$66,2,FALSE)&lt;K123,VLOOKUP(K123+0.1,tablas!$S$3:$U$66,2,TRUE),VLOOKUP(K123,tablas!$S$3:$U$66,2,TRUE))&amp;"@"&amp;IF(VLOOKUP(VLOOKUP(K123,tablas!$S$3:$U$66,2,TRUE)&amp;VLOOKUP(K123,tablas!$S$3:$U$66,3,TRUE),tablas!$R$3:$S$66,2,FALSE)&lt;K123,VLOOKUP(K123+0.1,tablas!$S$3:$U$66,3,TRUE)&amp;"$",VLOOKUP(K123,tablas!$S$3:$U$66,3,TRUE)&amp;"$"),$C$13)</f>
        <v>$\phi8@17$</v>
      </c>
      <c r="L124" s="280"/>
      <c r="M124" s="279" t="str">
        <f>IF(M123&gt;$C$12,"$\phi"&amp;IF(VLOOKUP(VLOOKUP(M123,tablas!$S$3:$U$66,2,TRUE)&amp;VLOOKUP(M123,tablas!$S$3:$U$66,3,TRUE),tablas!$R$3:$S$66,2,FALSE)&lt;M123,VLOOKUP(M123+0.1,tablas!$S$3:$U$66,2,TRUE),VLOOKUP(M123,tablas!$S$3:$U$66,2,TRUE))&amp;"@"&amp;IF(VLOOKUP(VLOOKUP(M123,tablas!$S$3:$U$66,2,TRUE)&amp;VLOOKUP(M123,tablas!$S$3:$U$66,3,TRUE),tablas!$R$3:$S$66,2,FALSE)&lt;M123,VLOOKUP(M123+0.1,tablas!$S$3:$U$66,3,TRUE)&amp;"$",VLOOKUP(M123,tablas!$S$3:$U$66,3,TRUE)&amp;"$"),$C$13)</f>
        <v>$\phi8@17$</v>
      </c>
      <c r="N124" s="280"/>
      <c r="O124" s="279" t="str">
        <f>IF(O123&gt;$C$12,"$\phi"&amp;IF(VLOOKUP(VLOOKUP(O123,tablas!$S$3:$U$66,2,TRUE)&amp;VLOOKUP(O123,tablas!$S$3:$U$66,3,TRUE),tablas!$R$3:$S$66,2,FALSE)&lt;O123,VLOOKUP(O123+0.1,tablas!$S$3:$U$66,2,TRUE),VLOOKUP(O123,tablas!$S$3:$U$66,2,TRUE))&amp;"@"&amp;IF(VLOOKUP(VLOOKUP(O123,tablas!$S$3:$U$66,2,TRUE)&amp;VLOOKUP(O123,tablas!$S$3:$U$66,3,TRUE),tablas!$R$3:$S$66,2,FALSE)&lt;O123,VLOOKUP(O123+0.1,tablas!$S$3:$U$66,3,TRUE)&amp;"$",VLOOKUP(O123,tablas!$S$3:$U$66,3,TRUE)&amp;"$"),$C$13)</f>
        <v>$\phi8@17$</v>
      </c>
      <c r="P124" s="280"/>
      <c r="Q124" s="279" t="str">
        <f>IF(Q123&gt;$C$12,"$\phi"&amp;IF(VLOOKUP(VLOOKUP(Q123,tablas!$S$3:$U$66,2,TRUE)&amp;VLOOKUP(Q123,tablas!$S$3:$U$66,3,TRUE),tablas!$R$3:$S$66,2,FALSE)&lt;Q123,VLOOKUP(Q123+0.1,tablas!$S$3:$U$66,2,TRUE),VLOOKUP(Q123,tablas!$S$3:$U$66,2,TRUE))&amp;"@"&amp;IF(VLOOKUP(VLOOKUP(Q123,tablas!$S$3:$U$66,2,TRUE)&amp;VLOOKUP(Q123,tablas!$S$3:$U$66,3,TRUE),tablas!$R$3:$S$66,2,FALSE)&lt;Q123,VLOOKUP(Q123+0.1,tablas!$S$3:$U$66,3,TRUE)&amp;"$",VLOOKUP(Q123,tablas!$S$3:$U$66,3,TRUE)&amp;"$"),$C$13)</f>
        <v>$\phi8@17$</v>
      </c>
      <c r="R124" s="280"/>
      <c r="S124" s="279" t="str">
        <f>IF(S123&gt;$C$12,"$\phi"&amp;IF(VLOOKUP(VLOOKUP(S123,tablas!$S$3:$U$66,2,TRUE)&amp;VLOOKUP(S123,tablas!$S$3:$U$66,3,TRUE),tablas!$R$3:$S$66,2,FALSE)&lt;S123,VLOOKUP(S123+0.1,tablas!$S$3:$U$66,2,TRUE),VLOOKUP(S123,tablas!$S$3:$U$66,2,TRUE))&amp;"@"&amp;IF(VLOOKUP(VLOOKUP(S123,tablas!$S$3:$U$66,2,TRUE)&amp;VLOOKUP(S123,tablas!$S$3:$U$66,3,TRUE),tablas!$R$3:$S$66,2,FALSE)&lt;S123,VLOOKUP(S123+0.1,tablas!$S$3:$U$66,3,TRUE)&amp;"$",VLOOKUP(S123,tablas!$S$3:$U$66,3,TRUE)&amp;"$"),$C$13)</f>
        <v>$\phi8@17$</v>
      </c>
      <c r="T124" s="280"/>
      <c r="U124" s="279" t="str">
        <f>IF(U123&gt;$C$12,"$\phi"&amp;IF(VLOOKUP(VLOOKUP(U123,tablas!$S$3:$U$66,2,TRUE)&amp;VLOOKUP(U123,tablas!$S$3:$U$66,3,TRUE),tablas!$R$3:$S$66,2,FALSE)&lt;U123,VLOOKUP(U123+0.1,tablas!$S$3:$U$66,2,TRUE),VLOOKUP(U123,tablas!$S$3:$U$66,2,TRUE))&amp;"@"&amp;IF(VLOOKUP(VLOOKUP(U123,tablas!$S$3:$U$66,2,TRUE)&amp;VLOOKUP(U123,tablas!$S$3:$U$66,3,TRUE),tablas!$R$3:$S$66,2,FALSE)&lt;U123,VLOOKUP(U123+0.1,tablas!$S$3:$U$66,3,TRUE)&amp;"$",VLOOKUP(U123,tablas!$S$3:$U$66,3,TRUE)&amp;"$"),$C$13)</f>
        <v>$\phi8@17$</v>
      </c>
      <c r="V124" s="280"/>
      <c r="W124" s="279" t="str">
        <f>IF(W123&gt;$C$12,"$\phi"&amp;IF(VLOOKUP(VLOOKUP(W123,tablas!$S$3:$U$66,2,TRUE)&amp;VLOOKUP(W123,tablas!$S$3:$U$66,3,TRUE),tablas!$R$3:$S$66,2,FALSE)&lt;W123,VLOOKUP(W123+0.1,tablas!$S$3:$U$66,2,TRUE),VLOOKUP(W123,tablas!$S$3:$U$66,2,TRUE))&amp;"@"&amp;IF(VLOOKUP(VLOOKUP(W123,tablas!$S$3:$U$66,2,TRUE)&amp;VLOOKUP(W123,tablas!$S$3:$U$66,3,TRUE),tablas!$R$3:$S$66,2,FALSE)&lt;W123,VLOOKUP(W123+0.1,tablas!$S$3:$U$66,3,TRUE)&amp;"$",VLOOKUP(W123,tablas!$S$3:$U$66,3,TRUE)&amp;"$"),$C$13)</f>
        <v>$\phi8@17$</v>
      </c>
      <c r="X124" s="280"/>
      <c r="Y124" s="279" t="str">
        <f>IF(Y123&gt;$C$12,"$\phi"&amp;IF(VLOOKUP(VLOOKUP(Y123,tablas!$S$3:$U$66,2,TRUE)&amp;VLOOKUP(Y123,tablas!$S$3:$U$66,3,TRUE),tablas!$R$3:$S$66,2,FALSE)&lt;Y123,VLOOKUP(Y123+0.1,tablas!$S$3:$U$66,2,TRUE),VLOOKUP(Y123,tablas!$S$3:$U$66,2,TRUE))&amp;"@"&amp;IF(VLOOKUP(VLOOKUP(Y123,tablas!$S$3:$U$66,2,TRUE)&amp;VLOOKUP(Y123,tablas!$S$3:$U$66,3,TRUE),tablas!$R$3:$S$66,2,FALSE)&lt;Y123,VLOOKUP(Y123+0.1,tablas!$S$3:$U$66,3,TRUE)&amp;"$",VLOOKUP(Y123,tablas!$S$3:$U$66,3,TRUE)&amp;"$"),$C$13)</f>
        <v>$\phi8@17$</v>
      </c>
      <c r="Z124" s="280"/>
      <c r="AA124" s="279" t="str">
        <f>IF(AA123&gt;$C$12,"$\phi"&amp;IF(VLOOKUP(VLOOKUP(AA123,tablas!$S$3:$U$66,2,TRUE)&amp;VLOOKUP(AA123,tablas!$S$3:$U$66,3,TRUE),tablas!$R$3:$S$66,2,FALSE)&lt;AA123,VLOOKUP(AA123+0.1,tablas!$S$3:$U$66,2,TRUE),VLOOKUP(AA123,tablas!$S$3:$U$66,2,TRUE))&amp;"@"&amp;IF(VLOOKUP(VLOOKUP(AA123,tablas!$S$3:$U$66,2,TRUE)&amp;VLOOKUP(AA123,tablas!$S$3:$U$66,3,TRUE),tablas!$R$3:$S$66,2,FALSE)&lt;AA123,VLOOKUP(AA123+0.1,tablas!$S$3:$U$66,3,TRUE)&amp;"$",VLOOKUP(AA123,tablas!$S$3:$U$66,3,TRUE)&amp;"$"),$C$13)</f>
        <v>$\phi8@17$</v>
      </c>
      <c r="AB124" s="280"/>
      <c r="AC124" s="279" t="str">
        <f>IF(AC123&gt;$C$12,"$\phi"&amp;IF(VLOOKUP(VLOOKUP(AC123,tablas!$S$3:$U$66,2,TRUE)&amp;VLOOKUP(AC123,tablas!$S$3:$U$66,3,TRUE),tablas!$R$3:$S$66,2,FALSE)&lt;AC123,VLOOKUP(AC123+0.1,tablas!$S$3:$U$66,2,TRUE),VLOOKUP(AC123,tablas!$S$3:$U$66,2,TRUE))&amp;"@"&amp;IF(VLOOKUP(VLOOKUP(AC123,tablas!$S$3:$U$66,2,TRUE)&amp;VLOOKUP(AC123,tablas!$S$3:$U$66,3,TRUE),tablas!$R$3:$S$66,2,FALSE)&lt;AC123,VLOOKUP(AC123+0.1,tablas!$S$3:$U$66,3,TRUE)&amp;"$",VLOOKUP(AC123,tablas!$S$3:$U$66,3,TRUE)&amp;"$"),$C$13)</f>
        <v>$\phi8@17$</v>
      </c>
      <c r="AD124" s="280"/>
    </row>
  </sheetData>
  <mergeCells count="232">
    <mergeCell ref="E4:F4"/>
    <mergeCell ref="H4:I4"/>
    <mergeCell ref="K4:L4"/>
    <mergeCell ref="B92:C92"/>
    <mergeCell ref="C97:D97"/>
    <mergeCell ref="E97:F97"/>
    <mergeCell ref="G97:H97"/>
    <mergeCell ref="I97:J97"/>
    <mergeCell ref="K97:L97"/>
    <mergeCell ref="Y97:Z97"/>
    <mergeCell ref="C98:D98"/>
    <mergeCell ref="E98:F98"/>
    <mergeCell ref="G98:H98"/>
    <mergeCell ref="I98:J98"/>
    <mergeCell ref="K98:L98"/>
    <mergeCell ref="M98:N98"/>
    <mergeCell ref="O98:P98"/>
    <mergeCell ref="Q98:R98"/>
    <mergeCell ref="S98:T98"/>
    <mergeCell ref="M97:N97"/>
    <mergeCell ref="O97:P97"/>
    <mergeCell ref="Q97:R97"/>
    <mergeCell ref="S97:T97"/>
    <mergeCell ref="U97:V97"/>
    <mergeCell ref="W97:X97"/>
    <mergeCell ref="U98:V98"/>
    <mergeCell ref="W98:X98"/>
    <mergeCell ref="Y98:Z98"/>
    <mergeCell ref="U99:V99"/>
    <mergeCell ref="W99:X99"/>
    <mergeCell ref="Y99:Z99"/>
    <mergeCell ref="C100:D100"/>
    <mergeCell ref="E100:F100"/>
    <mergeCell ref="G100:H100"/>
    <mergeCell ref="I100:J100"/>
    <mergeCell ref="K100:L100"/>
    <mergeCell ref="Y100:Z100"/>
    <mergeCell ref="M100:N100"/>
    <mergeCell ref="O100:P100"/>
    <mergeCell ref="Q100:R100"/>
    <mergeCell ref="S100:T100"/>
    <mergeCell ref="U100:V100"/>
    <mergeCell ref="W100:X100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U101:V101"/>
    <mergeCell ref="W101:X101"/>
    <mergeCell ref="Y101:Z101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S101:T101"/>
    <mergeCell ref="C108:D108"/>
    <mergeCell ref="E108:F108"/>
    <mergeCell ref="G108:H108"/>
    <mergeCell ref="I108:J108"/>
    <mergeCell ref="K108:L108"/>
    <mergeCell ref="Y108:Z108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M108:N108"/>
    <mergeCell ref="O108:P108"/>
    <mergeCell ref="Q108:R108"/>
    <mergeCell ref="S108:T108"/>
    <mergeCell ref="U108:V108"/>
    <mergeCell ref="W108:X108"/>
    <mergeCell ref="U109:V109"/>
    <mergeCell ref="W109:X109"/>
    <mergeCell ref="Y109:Z109"/>
    <mergeCell ref="U110:V110"/>
    <mergeCell ref="W110:X110"/>
    <mergeCell ref="Y110:Z110"/>
    <mergeCell ref="C111:D111"/>
    <mergeCell ref="E111:F111"/>
    <mergeCell ref="G111:H111"/>
    <mergeCell ref="I111:J111"/>
    <mergeCell ref="K111:L111"/>
    <mergeCell ref="Y111:Z111"/>
    <mergeCell ref="M111:N111"/>
    <mergeCell ref="O111:P111"/>
    <mergeCell ref="Q111:R111"/>
    <mergeCell ref="S111:T111"/>
    <mergeCell ref="U111:V111"/>
    <mergeCell ref="W111:X111"/>
    <mergeCell ref="C110:D110"/>
    <mergeCell ref="E110:F110"/>
    <mergeCell ref="G110:H110"/>
    <mergeCell ref="I110:J110"/>
    <mergeCell ref="K110:L110"/>
    <mergeCell ref="M110:N110"/>
    <mergeCell ref="O110:P110"/>
    <mergeCell ref="Q110:R110"/>
    <mergeCell ref="S110:T110"/>
    <mergeCell ref="U112:V112"/>
    <mergeCell ref="W112:X112"/>
    <mergeCell ref="Y112:Z112"/>
    <mergeCell ref="C113:D113"/>
    <mergeCell ref="E113:F113"/>
    <mergeCell ref="G113:H113"/>
    <mergeCell ref="I113:J113"/>
    <mergeCell ref="K113:L113"/>
    <mergeCell ref="M113:N113"/>
    <mergeCell ref="O113:P113"/>
    <mergeCell ref="Q113:R113"/>
    <mergeCell ref="S113:T113"/>
    <mergeCell ref="U113:V113"/>
    <mergeCell ref="W113:X113"/>
    <mergeCell ref="Y113:Z113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S112:T112"/>
    <mergeCell ref="O121:P121"/>
    <mergeCell ref="Q121:R121"/>
    <mergeCell ref="S121:T121"/>
    <mergeCell ref="W121:X121"/>
    <mergeCell ref="W119:X119"/>
    <mergeCell ref="C120:D120"/>
    <mergeCell ref="E120:F120"/>
    <mergeCell ref="G120:H120"/>
    <mergeCell ref="I120:J120"/>
    <mergeCell ref="K120:L120"/>
    <mergeCell ref="M120:N120"/>
    <mergeCell ref="O120:P120"/>
    <mergeCell ref="Q120:R120"/>
    <mergeCell ref="S120:T120"/>
    <mergeCell ref="W120:X120"/>
    <mergeCell ref="C119:D119"/>
    <mergeCell ref="E119:F119"/>
    <mergeCell ref="G119:H119"/>
    <mergeCell ref="I119:J119"/>
    <mergeCell ref="K119:L119"/>
    <mergeCell ref="M119:N119"/>
    <mergeCell ref="O119:P119"/>
    <mergeCell ref="Q119:R119"/>
    <mergeCell ref="S119:T119"/>
    <mergeCell ref="C124:D124"/>
    <mergeCell ref="E124:F124"/>
    <mergeCell ref="G124:H124"/>
    <mergeCell ref="I124:J124"/>
    <mergeCell ref="K124:L124"/>
    <mergeCell ref="C121:D121"/>
    <mergeCell ref="E121:F121"/>
    <mergeCell ref="G121:H121"/>
    <mergeCell ref="I121:J121"/>
    <mergeCell ref="K121:L121"/>
    <mergeCell ref="M122:N122"/>
    <mergeCell ref="O122:P122"/>
    <mergeCell ref="Q122:R122"/>
    <mergeCell ref="S122:T122"/>
    <mergeCell ref="C123:D123"/>
    <mergeCell ref="E123:F123"/>
    <mergeCell ref="G123:H123"/>
    <mergeCell ref="I123:J123"/>
    <mergeCell ref="K123:L123"/>
    <mergeCell ref="C122:D122"/>
    <mergeCell ref="E122:F122"/>
    <mergeCell ref="G122:H122"/>
    <mergeCell ref="I122:J122"/>
    <mergeCell ref="K122:L122"/>
    <mergeCell ref="U124:V124"/>
    <mergeCell ref="Y119:Z119"/>
    <mergeCell ref="Y120:Z120"/>
    <mergeCell ref="Y121:Z121"/>
    <mergeCell ref="Y122:Z122"/>
    <mergeCell ref="Y123:Z123"/>
    <mergeCell ref="Y124:Z124"/>
    <mergeCell ref="M124:N124"/>
    <mergeCell ref="O124:P124"/>
    <mergeCell ref="Q124:R124"/>
    <mergeCell ref="S124:T124"/>
    <mergeCell ref="W124:X124"/>
    <mergeCell ref="U119:V119"/>
    <mergeCell ref="U120:V120"/>
    <mergeCell ref="U121:V121"/>
    <mergeCell ref="U122:V122"/>
    <mergeCell ref="U123:V123"/>
    <mergeCell ref="M123:N123"/>
    <mergeCell ref="O123:P123"/>
    <mergeCell ref="Q123:R123"/>
    <mergeCell ref="S123:T123"/>
    <mergeCell ref="W123:X123"/>
    <mergeCell ref="W122:X122"/>
    <mergeCell ref="M121:N121"/>
    <mergeCell ref="AC119:AD119"/>
    <mergeCell ref="AC120:AD120"/>
    <mergeCell ref="AC121:AD121"/>
    <mergeCell ref="AC122:AD122"/>
    <mergeCell ref="AC123:AD123"/>
    <mergeCell ref="AC124:AD124"/>
    <mergeCell ref="AA119:AB119"/>
    <mergeCell ref="AA120:AB120"/>
    <mergeCell ref="AA121:AB121"/>
    <mergeCell ref="AA122:AB122"/>
    <mergeCell ref="AA123:AB123"/>
    <mergeCell ref="AA124:AB1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357D-C98C-407F-BE7A-2CD9958ECD51}">
  <dimension ref="B1:S68"/>
  <sheetViews>
    <sheetView showGridLines="0" topLeftCell="A3" zoomScale="85" zoomScaleNormal="85" workbookViewId="0">
      <selection activeCell="P16" sqref="P16"/>
    </sheetView>
  </sheetViews>
  <sheetFormatPr defaultColWidth="11.42578125" defaultRowHeight="15" x14ac:dyDescent="0.25"/>
  <cols>
    <col min="1" max="1" width="2.85546875" customWidth="1"/>
    <col min="2" max="3" width="11.42578125" style="200"/>
    <col min="4" max="4" width="14.5703125" customWidth="1"/>
    <col min="5" max="5" width="12" customWidth="1"/>
    <col min="6" max="7" width="13.5703125" customWidth="1"/>
    <col min="8" max="8" width="12.85546875" customWidth="1"/>
    <col min="9" max="9" width="13.5703125" customWidth="1"/>
    <col min="10" max="10" width="12.85546875" customWidth="1"/>
    <col min="11" max="11" width="13.5703125" customWidth="1"/>
    <col min="12" max="12" width="12.85546875" customWidth="1"/>
    <col min="13" max="13" width="13.5703125" customWidth="1"/>
    <col min="14" max="14" width="8.42578125" customWidth="1"/>
    <col min="15" max="15" width="10.5703125" bestFit="1" customWidth="1"/>
    <col min="16" max="16" width="21.5703125" bestFit="1" customWidth="1"/>
    <col min="17" max="17" width="15.140625" bestFit="1" customWidth="1"/>
    <col min="18" max="18" width="13.5703125" customWidth="1"/>
  </cols>
  <sheetData>
    <row r="1" spans="2:19" ht="15.75" thickBot="1" x14ac:dyDescent="0.3"/>
    <row r="2" spans="2:19" ht="15.75" thickBot="1" x14ac:dyDescent="0.3">
      <c r="B2" s="305" t="s">
        <v>273</v>
      </c>
      <c r="C2" s="306"/>
      <c r="D2" s="306"/>
      <c r="E2" s="306"/>
      <c r="F2" s="306"/>
      <c r="G2" s="307"/>
      <c r="H2" s="308"/>
      <c r="I2" s="308"/>
      <c r="J2" s="308"/>
      <c r="K2" s="308"/>
      <c r="L2" s="308"/>
      <c r="M2" s="308"/>
    </row>
    <row r="3" spans="2:19" ht="15.75" thickBot="1" x14ac:dyDescent="0.3">
      <c r="B3" s="309" t="s">
        <v>43</v>
      </c>
      <c r="C3" s="313" t="s">
        <v>19</v>
      </c>
      <c r="D3" s="311" t="s">
        <v>246</v>
      </c>
      <c r="E3" s="311" t="s">
        <v>244</v>
      </c>
      <c r="F3" s="320" t="s">
        <v>240</v>
      </c>
      <c r="G3" s="321"/>
      <c r="H3" s="320" t="s">
        <v>241</v>
      </c>
      <c r="I3" s="321"/>
      <c r="J3" s="320" t="s">
        <v>247</v>
      </c>
      <c r="K3" s="321"/>
      <c r="L3" s="320" t="s">
        <v>248</v>
      </c>
      <c r="M3" s="307"/>
    </row>
    <row r="4" spans="2:19" ht="30.75" thickBot="1" x14ac:dyDescent="0.3">
      <c r="B4" s="310"/>
      <c r="C4" s="314"/>
      <c r="D4" s="312"/>
      <c r="E4" s="312"/>
      <c r="F4" s="138" t="s">
        <v>245</v>
      </c>
      <c r="G4" s="139" t="s">
        <v>242</v>
      </c>
      <c r="H4" s="138" t="s">
        <v>245</v>
      </c>
      <c r="I4" s="139" t="s">
        <v>242</v>
      </c>
      <c r="J4" s="138" t="s">
        <v>245</v>
      </c>
      <c r="K4" s="139" t="s">
        <v>242</v>
      </c>
      <c r="L4" s="138" t="s">
        <v>245</v>
      </c>
      <c r="M4" s="135" t="s">
        <v>242</v>
      </c>
      <c r="O4" s="272" t="str">
        <f>B3</f>
        <v>N° Losa</v>
      </c>
      <c r="P4" s="274" t="s">
        <v>240</v>
      </c>
      <c r="Q4" s="210" t="s">
        <v>241</v>
      </c>
      <c r="R4" s="210" t="s">
        <v>247</v>
      </c>
      <c r="S4" s="211" t="s">
        <v>248</v>
      </c>
    </row>
    <row r="5" spans="2:19" x14ac:dyDescent="0.25">
      <c r="B5" s="212" t="str">
        <f>'23'!C46</f>
        <v>2301</v>
      </c>
      <c r="C5" s="241">
        <f>'23'!$C$4</f>
        <v>16</v>
      </c>
      <c r="D5" s="226">
        <f>'23'!$C$12</f>
        <v>2.88</v>
      </c>
      <c r="E5" s="226">
        <f>HLOOKUP($B5,'23'!$C$46:$AE$90,22)</f>
        <v>910</v>
      </c>
      <c r="F5" s="226">
        <f>HLOOKUP($B5,'23'!$C$46:$AE$90,29)</f>
        <v>2.3899999999999997</v>
      </c>
      <c r="G5" s="226" t="str">
        <f>HLOOKUP($B5,'23'!$C$46:$AE$90,30)</f>
        <v>$\phi8@17$</v>
      </c>
      <c r="H5" s="226">
        <f>HLOOKUP($B5,'23'!$C$46:$AE$90,34)</f>
        <v>0.68</v>
      </c>
      <c r="I5" s="226" t="str">
        <f>HLOOKUP($B5,'23'!$C$46:$AE$90,35)</f>
        <v>$\phi8@17$</v>
      </c>
      <c r="J5" s="226">
        <f>HLOOKUP($B5,'23'!$C$46:$AE$90,39)</f>
        <v>5.01</v>
      </c>
      <c r="K5" s="226" t="str">
        <f>HLOOKUP($B5,'23'!$C$46:$AE$90,40)</f>
        <v>$\phi8@10$</v>
      </c>
      <c r="L5" s="226">
        <f>HLOOKUP($B5,'23'!$C$46:$AE$90,44)</f>
        <v>3.6799999999999997</v>
      </c>
      <c r="M5" s="227" t="str">
        <f>HLOOKUP($B5,'23'!$C$46:$AE$90,45)</f>
        <v>$\phi10@21$</v>
      </c>
      <c r="O5" s="275" t="str">
        <f>B5</f>
        <v>2301</v>
      </c>
      <c r="P5" s="266" t="str">
        <f>IF(G5='[1]Tabla 23'!G5,"IGUAL","CAMBIO")</f>
        <v>IGUAL</v>
      </c>
      <c r="Q5" s="123" t="str">
        <f>IF(I5='[1]Tabla 23'!I5,"IGUAL","CAMBIO")</f>
        <v>IGUAL</v>
      </c>
      <c r="R5" s="123" t="str">
        <f>IF(K5='[1]Tabla 23'!K5,"IGUAL","CAMBIO")</f>
        <v>IGUAL</v>
      </c>
      <c r="S5" s="217" t="str">
        <f>IF(M5='[1]Tabla 23'!M5,"IGUAL","CAMBIO")</f>
        <v>IGUAL</v>
      </c>
    </row>
    <row r="6" spans="2:19" x14ac:dyDescent="0.25">
      <c r="B6" s="218" t="str">
        <f>'23'!D46</f>
        <v>2302</v>
      </c>
      <c r="C6" s="244">
        <f>'23'!$C$4</f>
        <v>16</v>
      </c>
      <c r="D6" s="203">
        <f>'23'!$C$12</f>
        <v>2.88</v>
      </c>
      <c r="E6" s="203">
        <f>HLOOKUP($B6,'23'!$C$46:$AE$90,22)</f>
        <v>910</v>
      </c>
      <c r="F6" s="203">
        <f>HLOOKUP($B6,'23'!$C$46:$AE$90,29)</f>
        <v>1.04</v>
      </c>
      <c r="G6" s="203" t="str">
        <f>HLOOKUP($B6,'23'!$C$46:$AE$90,30)</f>
        <v>$\phi8@17$</v>
      </c>
      <c r="H6" s="203">
        <f>HLOOKUP($B6,'23'!$C$46:$AE$90,34)</f>
        <v>0.49</v>
      </c>
      <c r="I6" s="203" t="str">
        <f>HLOOKUP($B6,'23'!$C$46:$AE$90,35)</f>
        <v>$\phi8@17$</v>
      </c>
      <c r="J6" s="203">
        <f>HLOOKUP($B6,'23'!$C$46:$AE$90,39)</f>
        <v>2.3499999999999996</v>
      </c>
      <c r="K6" s="203" t="str">
        <f>HLOOKUP($B6,'23'!$C$46:$AE$90,40)</f>
        <v>$\phi8@17$</v>
      </c>
      <c r="L6" s="203">
        <f>HLOOKUP($B6,'23'!$C$46:$AE$90,44)</f>
        <v>1.93</v>
      </c>
      <c r="M6" s="228" t="str">
        <f>HLOOKUP($B6,'23'!$C$46:$AE$90,45)</f>
        <v>$\phi8@17$</v>
      </c>
      <c r="O6" s="270" t="str">
        <f t="shared" ref="O6:O26" si="0">B6</f>
        <v>2302</v>
      </c>
      <c r="P6" s="266" t="str">
        <f>IF(G6='[1]Tabla 23'!G6,"IGUAL","CAMBIO")</f>
        <v>IGUAL</v>
      </c>
      <c r="Q6" s="123" t="str">
        <f>IF(I6='[1]Tabla 23'!I6,"IGUAL","CAMBIO")</f>
        <v>IGUAL</v>
      </c>
      <c r="R6" s="123" t="str">
        <f>IF(K6='[1]Tabla 23'!K6,"IGUAL","CAMBIO")</f>
        <v>IGUAL</v>
      </c>
      <c r="S6" s="217" t="str">
        <f>IF(M6='[1]Tabla 23'!M6,"IGUAL","CAMBIO")</f>
        <v>IGUAL</v>
      </c>
    </row>
    <row r="7" spans="2:19" x14ac:dyDescent="0.25">
      <c r="B7" s="218" t="str">
        <f>'23'!E46</f>
        <v>2303</v>
      </c>
      <c r="C7" s="244">
        <f>'23'!$C$4</f>
        <v>16</v>
      </c>
      <c r="D7" s="203">
        <f>'23'!$C$12</f>
        <v>2.88</v>
      </c>
      <c r="E7" s="203">
        <f>HLOOKUP($B7,'23'!$C$46:$AE$90,22)</f>
        <v>910</v>
      </c>
      <c r="F7" s="203">
        <f>HLOOKUP($B7,'23'!$C$46:$AE$90,29)</f>
        <v>1.04</v>
      </c>
      <c r="G7" s="203" t="str">
        <f>HLOOKUP($B7,'23'!$C$46:$AE$90,30)</f>
        <v>$\phi8@17$</v>
      </c>
      <c r="H7" s="203">
        <f>HLOOKUP($B7,'23'!$C$46:$AE$90,34)</f>
        <v>0.49</v>
      </c>
      <c r="I7" s="203" t="str">
        <f>HLOOKUP($B7,'23'!$C$46:$AE$90,35)</f>
        <v>$\phi8@17$</v>
      </c>
      <c r="J7" s="203">
        <f>HLOOKUP($B7,'23'!$C$46:$AE$90,39)</f>
        <v>2.3499999999999996</v>
      </c>
      <c r="K7" s="203" t="str">
        <f>HLOOKUP($B7,'23'!$C$46:$AE$90,40)</f>
        <v>$\phi8@17$</v>
      </c>
      <c r="L7" s="203">
        <f>HLOOKUP($B7,'23'!$C$46:$AE$90,44)</f>
        <v>1.93</v>
      </c>
      <c r="M7" s="228" t="str">
        <f>HLOOKUP($B7,'23'!$C$46:$AE$90,45)</f>
        <v>$\phi8@17$</v>
      </c>
      <c r="O7" s="270" t="str">
        <f t="shared" si="0"/>
        <v>2303</v>
      </c>
      <c r="P7" s="266" t="str">
        <f>IF(G7='[1]Tabla 23'!G7,"IGUAL","CAMBIO")</f>
        <v>IGUAL</v>
      </c>
      <c r="Q7" s="123" t="str">
        <f>IF(I7='[1]Tabla 23'!I7,"IGUAL","CAMBIO")</f>
        <v>IGUAL</v>
      </c>
      <c r="R7" s="123" t="str">
        <f>IF(K7='[1]Tabla 23'!K7,"IGUAL","CAMBIO")</f>
        <v>IGUAL</v>
      </c>
      <c r="S7" s="217" t="str">
        <f>IF(M7='[1]Tabla 23'!M7,"IGUAL","CAMBIO")</f>
        <v>IGUAL</v>
      </c>
    </row>
    <row r="8" spans="2:19" x14ac:dyDescent="0.25">
      <c r="B8" s="218" t="str">
        <f>'23'!F46</f>
        <v>2304</v>
      </c>
      <c r="C8" s="244">
        <f>'23'!$C$4</f>
        <v>16</v>
      </c>
      <c r="D8" s="203">
        <f>'23'!$C$12</f>
        <v>2.88</v>
      </c>
      <c r="E8" s="203">
        <f>HLOOKUP($B8,'23'!$C$46:$AE$90,22)</f>
        <v>910</v>
      </c>
      <c r="F8" s="203">
        <f>HLOOKUP($B8,'23'!$C$46:$AE$90,29)</f>
        <v>1.94</v>
      </c>
      <c r="G8" s="203" t="str">
        <f>HLOOKUP($B8,'23'!$C$46:$AE$90,30)</f>
        <v>$\phi8@17$</v>
      </c>
      <c r="H8" s="203">
        <f>HLOOKUP($B8,'23'!$C$46:$AE$90,34)</f>
        <v>0.74</v>
      </c>
      <c r="I8" s="203" t="str">
        <f>HLOOKUP($B8,'23'!$C$46:$AE$90,35)</f>
        <v>$\phi8@17$</v>
      </c>
      <c r="J8" s="203">
        <f>HLOOKUP($B8,'23'!$C$46:$AE$90,39)</f>
        <v>4.22</v>
      </c>
      <c r="K8" s="203" t="str">
        <f>HLOOKUP($B8,'23'!$C$46:$AE$90,40)</f>
        <v>$\phi8@12$</v>
      </c>
      <c r="L8" s="203">
        <f>HLOOKUP($B8,'23'!$C$46:$AE$90,44)</f>
        <v>3.3</v>
      </c>
      <c r="M8" s="228" t="str">
        <f>HLOOKUP($B8,'23'!$C$46:$AE$90,45)</f>
        <v>$\phi8@15$</v>
      </c>
      <c r="O8" s="270" t="str">
        <f t="shared" si="0"/>
        <v>2304</v>
      </c>
      <c r="P8" s="266" t="str">
        <f>IF(G8='[1]Tabla 23'!G8,"IGUAL","CAMBIO")</f>
        <v>IGUAL</v>
      </c>
      <c r="Q8" s="123" t="str">
        <f>IF(I8='[1]Tabla 23'!I8,"IGUAL","CAMBIO")</f>
        <v>IGUAL</v>
      </c>
      <c r="R8" s="123" t="str">
        <f>IF(K8='[1]Tabla 23'!K8,"IGUAL","CAMBIO")</f>
        <v>IGUAL</v>
      </c>
      <c r="S8" s="217" t="str">
        <f>IF(M8='[1]Tabla 23'!M8,"IGUAL","CAMBIO")</f>
        <v>IGUAL</v>
      </c>
    </row>
    <row r="9" spans="2:19" x14ac:dyDescent="0.25">
      <c r="B9" s="218" t="str">
        <f>'23'!G46</f>
        <v>2305</v>
      </c>
      <c r="C9" s="244">
        <f>'23'!$C$4</f>
        <v>16</v>
      </c>
      <c r="D9" s="203">
        <f>'23'!$C$12</f>
        <v>2.88</v>
      </c>
      <c r="E9" s="203">
        <f>HLOOKUP($B9,'23'!$C$46:$AE$90,22)</f>
        <v>910</v>
      </c>
      <c r="F9" s="203">
        <f>HLOOKUP($B9,'23'!$C$46:$AE$90,29)</f>
        <v>1.54</v>
      </c>
      <c r="G9" s="203" t="str">
        <f>HLOOKUP($B9,'23'!$C$46:$AE$90,30)</f>
        <v>$\phi8@17$</v>
      </c>
      <c r="H9" s="203">
        <f>HLOOKUP($B9,'23'!$C$46:$AE$90,34)</f>
        <v>0.92</v>
      </c>
      <c r="I9" s="203" t="str">
        <f>HLOOKUP($B9,'23'!$C$46:$AE$90,35)</f>
        <v>$\phi8@17$</v>
      </c>
      <c r="J9" s="203">
        <f>HLOOKUP($B9,'23'!$C$46:$AE$90,39)</f>
        <v>3.69</v>
      </c>
      <c r="K9" s="203" t="str">
        <f>HLOOKUP($B9,'23'!$C$46:$AE$90,40)</f>
        <v>$\phi10@21$</v>
      </c>
      <c r="L9" s="203">
        <f>HLOOKUP($B9,'23'!$C$46:$AE$90,44)</f>
        <v>3.19</v>
      </c>
      <c r="M9" s="228" t="str">
        <f>HLOOKUP($B9,'23'!$C$46:$AE$90,45)</f>
        <v>$\phi10@24$</v>
      </c>
      <c r="O9" s="270" t="str">
        <f t="shared" si="0"/>
        <v>2305</v>
      </c>
      <c r="P9" s="266" t="str">
        <f>IF(G9='[1]Tabla 23'!G9,"IGUAL","CAMBIO")</f>
        <v>IGUAL</v>
      </c>
      <c r="Q9" s="123" t="str">
        <f>IF(I9='[1]Tabla 23'!I9,"IGUAL","CAMBIO")</f>
        <v>IGUAL</v>
      </c>
      <c r="R9" s="123" t="str">
        <f>IF(K9='[1]Tabla 23'!K9,"IGUAL","CAMBIO")</f>
        <v>IGUAL</v>
      </c>
      <c r="S9" s="217" t="str">
        <f>IF(M9='[1]Tabla 23'!M9,"IGUAL","CAMBIO")</f>
        <v>IGUAL</v>
      </c>
    </row>
    <row r="10" spans="2:19" x14ac:dyDescent="0.25">
      <c r="B10" s="218" t="str">
        <f>'23'!H46</f>
        <v>2306</v>
      </c>
      <c r="C10" s="244">
        <f>'23'!$C$4</f>
        <v>16</v>
      </c>
      <c r="D10" s="203">
        <f>'23'!$C$12</f>
        <v>2.88</v>
      </c>
      <c r="E10" s="203">
        <f>HLOOKUP($B10,'23'!$C$46:$AE$90,22)</f>
        <v>910</v>
      </c>
      <c r="F10" s="203">
        <f>HLOOKUP($B10,'23'!$C$46:$AE$90,29)</f>
        <v>0.89</v>
      </c>
      <c r="G10" s="203" t="str">
        <f>HLOOKUP($B10,'23'!$C$46:$AE$90,30)</f>
        <v>$\phi8@17$</v>
      </c>
      <c r="H10" s="203">
        <f>HLOOKUP($B10,'23'!$C$46:$AE$90,34)</f>
        <v>0.68</v>
      </c>
      <c r="I10" s="203" t="str">
        <f>HLOOKUP($B10,'23'!$C$46:$AE$90,35)</f>
        <v>$\phi8@17$</v>
      </c>
      <c r="J10" s="203">
        <f>HLOOKUP($B10,'23'!$C$46:$AE$90,39)</f>
        <v>2.2599999999999998</v>
      </c>
      <c r="K10" s="203" t="str">
        <f>HLOOKUP($B10,'23'!$C$46:$AE$90,40)</f>
        <v>$\phi8@17$</v>
      </c>
      <c r="L10" s="203">
        <f>HLOOKUP($B10,'23'!$C$46:$AE$90,44)</f>
        <v>2.0999999999999996</v>
      </c>
      <c r="M10" s="228" t="str">
        <f>HLOOKUP($B10,'23'!$C$46:$AE$90,45)</f>
        <v>$\phi8@17$</v>
      </c>
      <c r="O10" s="270" t="str">
        <f t="shared" si="0"/>
        <v>2306</v>
      </c>
      <c r="P10" s="266" t="str">
        <f>IF(G10='[1]Tabla 23'!G10,"IGUAL","CAMBIO")</f>
        <v>IGUAL</v>
      </c>
      <c r="Q10" s="123" t="str">
        <f>IF(I10='[1]Tabla 23'!I10,"IGUAL","CAMBIO")</f>
        <v>IGUAL</v>
      </c>
      <c r="R10" s="123" t="str">
        <f>IF(K10='[1]Tabla 23'!K10,"IGUAL","CAMBIO")</f>
        <v>IGUAL</v>
      </c>
      <c r="S10" s="217" t="str">
        <f>IF(M10='[1]Tabla 23'!M10,"IGUAL","CAMBIO")</f>
        <v>IGUAL</v>
      </c>
    </row>
    <row r="11" spans="2:19" x14ac:dyDescent="0.25">
      <c r="B11" s="218" t="str">
        <f>'23'!I46</f>
        <v>2307</v>
      </c>
      <c r="C11" s="244">
        <f>'23'!$C$4</f>
        <v>16</v>
      </c>
      <c r="D11" s="203">
        <f>'23'!$C$12</f>
        <v>2.88</v>
      </c>
      <c r="E11" s="203">
        <f>HLOOKUP($B11,'23'!$C$46:$AE$90,22)</f>
        <v>910</v>
      </c>
      <c r="F11" s="203">
        <f>HLOOKUP($B11,'23'!$C$46:$AE$90,29)</f>
        <v>0.4</v>
      </c>
      <c r="G11" s="203" t="str">
        <f>HLOOKUP($B11,'23'!$C$46:$AE$90,30)</f>
        <v>$\phi8@17$</v>
      </c>
      <c r="H11" s="203">
        <f>HLOOKUP($B11,'23'!$C$46:$AE$90,34)</f>
        <v>0.08</v>
      </c>
      <c r="I11" s="203" t="str">
        <f>HLOOKUP($B11,'23'!$C$46:$AE$90,35)</f>
        <v>$\phi8@17$</v>
      </c>
      <c r="J11" s="203">
        <f>HLOOKUP($B11,'23'!$C$46:$AE$90,39)</f>
        <v>0.82000000000000006</v>
      </c>
      <c r="K11" s="203" t="str">
        <f>HLOOKUP($B11,'23'!$C$46:$AE$90,40)</f>
        <v>$\phi8@17$</v>
      </c>
      <c r="L11" s="203">
        <f>HLOOKUP($B11,'23'!$C$46:$AE$90,44)</f>
        <v>0.59</v>
      </c>
      <c r="M11" s="228" t="str">
        <f>HLOOKUP($B11,'23'!$C$46:$AE$90,45)</f>
        <v>$\phi8@17$</v>
      </c>
      <c r="O11" s="270" t="str">
        <f t="shared" si="0"/>
        <v>2307</v>
      </c>
      <c r="P11" s="266" t="str">
        <f>IF(G11='[1]Tabla 23'!G11,"IGUAL","CAMBIO")</f>
        <v>IGUAL</v>
      </c>
      <c r="Q11" s="123" t="str">
        <f>IF(I11='[1]Tabla 23'!I11,"IGUAL","CAMBIO")</f>
        <v>IGUAL</v>
      </c>
      <c r="R11" s="123" t="str">
        <f>IF(K11='[1]Tabla 23'!K11,"IGUAL","CAMBIO")</f>
        <v>IGUAL</v>
      </c>
      <c r="S11" s="217" t="str">
        <f>IF(M11='[1]Tabla 23'!M11,"IGUAL","CAMBIO")</f>
        <v>IGUAL</v>
      </c>
    </row>
    <row r="12" spans="2:19" x14ac:dyDescent="0.25">
      <c r="B12" s="218" t="str">
        <f>'23'!J46</f>
        <v>2308</v>
      </c>
      <c r="C12" s="244">
        <f>'23'!$C$4</f>
        <v>16</v>
      </c>
      <c r="D12" s="203">
        <f>'23'!$C$12</f>
        <v>2.88</v>
      </c>
      <c r="E12" s="203">
        <f>HLOOKUP($B12,'23'!$C$46:$AE$90,22)</f>
        <v>910</v>
      </c>
      <c r="F12" s="203">
        <f>HLOOKUP($B12,'23'!$C$46:$AE$90,29)</f>
        <v>0.2</v>
      </c>
      <c r="G12" s="203" t="str">
        <f>HLOOKUP($B12,'23'!$C$46:$AE$90,30)</f>
        <v>$\phi8@17$</v>
      </c>
      <c r="H12" s="203">
        <f>HLOOKUP($B12,'23'!$C$46:$AE$90,34)</f>
        <v>0</v>
      </c>
      <c r="I12" s="203" t="str">
        <f>HLOOKUP($B12,'23'!$C$46:$AE$90,35)</f>
        <v>$\phi8@17$</v>
      </c>
      <c r="J12" s="203">
        <f>HLOOKUP($B12,'23'!$C$46:$AE$90,39)</f>
        <v>0.28000000000000003</v>
      </c>
      <c r="K12" s="203" t="str">
        <f>HLOOKUP($B12,'23'!$C$46:$AE$90,40)</f>
        <v>$\phi8@17$</v>
      </c>
      <c r="L12" s="203">
        <f>HLOOKUP($B12,'23'!$C$46:$AE$90,44)</f>
        <v>0.19</v>
      </c>
      <c r="M12" s="228" t="str">
        <f>HLOOKUP($B12,'23'!$C$46:$AE$90,45)</f>
        <v>$\phi8@17$</v>
      </c>
      <c r="O12" s="270" t="str">
        <f t="shared" si="0"/>
        <v>2308</v>
      </c>
      <c r="P12" s="266" t="str">
        <f>IF(G12='[1]Tabla 23'!G12,"IGUAL","CAMBIO")</f>
        <v>IGUAL</v>
      </c>
      <c r="Q12" s="123" t="str">
        <f>IF(I12='[1]Tabla 23'!I12,"IGUAL","CAMBIO")</f>
        <v>IGUAL</v>
      </c>
      <c r="R12" s="123" t="str">
        <f>IF(K12='[1]Tabla 23'!K12,"IGUAL","CAMBIO")</f>
        <v>IGUAL</v>
      </c>
      <c r="S12" s="217" t="str">
        <f>IF(M12='[1]Tabla 23'!M12,"IGUAL","CAMBIO")</f>
        <v>IGUAL</v>
      </c>
    </row>
    <row r="13" spans="2:19" x14ac:dyDescent="0.25">
      <c r="B13" s="218" t="str">
        <f>'23'!K46</f>
        <v>2309</v>
      </c>
      <c r="C13" s="244">
        <f>'23'!$C$4</f>
        <v>16</v>
      </c>
      <c r="D13" s="203">
        <f>'23'!$C$12</f>
        <v>2.88</v>
      </c>
      <c r="E13" s="203">
        <f>HLOOKUP($B13,'23'!$C$46:$AE$90,22)</f>
        <v>910</v>
      </c>
      <c r="F13" s="203">
        <f>HLOOKUP($B13,'23'!$C$46:$AE$90,29)</f>
        <v>0.84</v>
      </c>
      <c r="G13" s="203" t="str">
        <f>HLOOKUP($B13,'23'!$C$46:$AE$90,30)</f>
        <v>$\phi8@17$</v>
      </c>
      <c r="H13" s="203">
        <f>HLOOKUP($B13,'23'!$C$46:$AE$90,34)</f>
        <v>0</v>
      </c>
      <c r="I13" s="203" t="str">
        <f>HLOOKUP($B13,'23'!$C$46:$AE$90,35)</f>
        <v>$\phi8@17$</v>
      </c>
      <c r="J13" s="203">
        <f>HLOOKUP($B13,'23'!$C$46:$AE$90,39)</f>
        <v>1.19</v>
      </c>
      <c r="K13" s="203" t="str">
        <f>HLOOKUP($B13,'23'!$C$46:$AE$90,40)</f>
        <v>$\phi8@17$</v>
      </c>
      <c r="L13" s="203">
        <f>HLOOKUP($B13,'23'!$C$46:$AE$90,44)</f>
        <v>0.82000000000000006</v>
      </c>
      <c r="M13" s="228" t="str">
        <f>HLOOKUP($B13,'23'!$C$46:$AE$90,45)</f>
        <v>$\phi8@17$</v>
      </c>
      <c r="O13" s="270" t="str">
        <f t="shared" si="0"/>
        <v>2309</v>
      </c>
      <c r="P13" s="266" t="str">
        <f>IF(G13='[1]Tabla 23'!G13,"IGUAL","CAMBIO")</f>
        <v>IGUAL</v>
      </c>
      <c r="Q13" s="123" t="str">
        <f>IF(I13='[1]Tabla 23'!I13,"IGUAL","CAMBIO")</f>
        <v>IGUAL</v>
      </c>
      <c r="R13" s="123" t="str">
        <f>IF(K13='[1]Tabla 23'!K13,"IGUAL","CAMBIO")</f>
        <v>IGUAL</v>
      </c>
      <c r="S13" s="217" t="str">
        <f>IF(M13='[1]Tabla 23'!M13,"IGUAL","CAMBIO")</f>
        <v>IGUAL</v>
      </c>
    </row>
    <row r="14" spans="2:19" x14ac:dyDescent="0.25">
      <c r="B14" s="218" t="str">
        <f>'23'!L46</f>
        <v>2310</v>
      </c>
      <c r="C14" s="244">
        <f>'23'!$C$4</f>
        <v>16</v>
      </c>
      <c r="D14" s="203">
        <f>'23'!$C$12</f>
        <v>2.88</v>
      </c>
      <c r="E14" s="203">
        <f>HLOOKUP($B14,'23'!$C$46:$AE$90,22)</f>
        <v>910</v>
      </c>
      <c r="F14" s="203">
        <f>HLOOKUP($B14,'23'!$C$46:$AE$90,29)</f>
        <v>0.89</v>
      </c>
      <c r="G14" s="203" t="str">
        <f>HLOOKUP($B14,'23'!$C$46:$AE$90,30)</f>
        <v>$\phi8@17$</v>
      </c>
      <c r="H14" s="203">
        <f>HLOOKUP($B14,'23'!$C$46:$AE$90,34)</f>
        <v>0.68</v>
      </c>
      <c r="I14" s="203" t="str">
        <f>HLOOKUP($B14,'23'!$C$46:$AE$90,35)</f>
        <v>$\phi8@17$</v>
      </c>
      <c r="J14" s="203">
        <f>HLOOKUP($B14,'23'!$C$46:$AE$90,39)</f>
        <v>2.2599999999999998</v>
      </c>
      <c r="K14" s="203" t="str">
        <f>HLOOKUP($B14,'23'!$C$46:$AE$90,40)</f>
        <v>$\phi8@17$</v>
      </c>
      <c r="L14" s="203">
        <f>HLOOKUP($B14,'23'!$C$46:$AE$90,44)</f>
        <v>2.0999999999999996</v>
      </c>
      <c r="M14" s="228" t="str">
        <f>HLOOKUP($B14,'23'!$C$46:$AE$90,45)</f>
        <v>$\phi8@17$</v>
      </c>
      <c r="O14" s="270" t="str">
        <f t="shared" si="0"/>
        <v>2310</v>
      </c>
      <c r="P14" s="266" t="str">
        <f>IF(G14='[1]Tabla 23'!G14,"IGUAL","CAMBIO")</f>
        <v>IGUAL</v>
      </c>
      <c r="Q14" s="123" t="str">
        <f>IF(I14='[1]Tabla 23'!I14,"IGUAL","CAMBIO")</f>
        <v>IGUAL</v>
      </c>
      <c r="R14" s="123" t="str">
        <f>IF(K14='[1]Tabla 23'!K14,"IGUAL","CAMBIO")</f>
        <v>IGUAL</v>
      </c>
      <c r="S14" s="217" t="str">
        <f>IF(M14='[1]Tabla 23'!M14,"IGUAL","CAMBIO")</f>
        <v>IGUAL</v>
      </c>
    </row>
    <row r="15" spans="2:19" x14ac:dyDescent="0.25">
      <c r="B15" s="218" t="str">
        <f>'23'!M46</f>
        <v>2311</v>
      </c>
      <c r="C15" s="244">
        <f>'23'!$C$4</f>
        <v>16</v>
      </c>
      <c r="D15" s="203">
        <f>'23'!$C$12</f>
        <v>2.88</v>
      </c>
      <c r="E15" s="203">
        <f>HLOOKUP($B15,'23'!$C$46:$AE$90,22)</f>
        <v>910</v>
      </c>
      <c r="F15" s="203">
        <f>HLOOKUP($B15,'23'!$C$46:$AE$90,29)</f>
        <v>1.44</v>
      </c>
      <c r="G15" s="203" t="str">
        <f>HLOOKUP($B15,'23'!$C$46:$AE$90,30)</f>
        <v>$\phi8@17$</v>
      </c>
      <c r="H15" s="203">
        <f>HLOOKUP($B15,'23'!$C$46:$AE$90,34)</f>
        <v>0.86</v>
      </c>
      <c r="I15" s="203" t="str">
        <f>HLOOKUP($B15,'23'!$C$46:$AE$90,35)</f>
        <v>$\phi8@17$</v>
      </c>
      <c r="J15" s="203">
        <f>HLOOKUP($B15,'23'!$C$46:$AE$90,39)</f>
        <v>3.44</v>
      </c>
      <c r="K15" s="203" t="str">
        <f>HLOOKUP($B15,'23'!$C$46:$AE$90,40)</f>
        <v>$\phi10@23$</v>
      </c>
      <c r="L15" s="203">
        <f>HLOOKUP($B15,'23'!$C$46:$AE$90,44)</f>
        <v>2.98</v>
      </c>
      <c r="M15" s="228" t="str">
        <f>HLOOKUP($B15,'23'!$C$46:$AE$90,45)</f>
        <v>$\phi8@17$</v>
      </c>
      <c r="O15" s="270" t="str">
        <f t="shared" si="0"/>
        <v>2311</v>
      </c>
      <c r="P15" s="266" t="str">
        <f>IF(G15='[1]Tabla 23'!G15,"IGUAL","CAMBIO")</f>
        <v>IGUAL</v>
      </c>
      <c r="Q15" s="123" t="str">
        <f>IF(I15='[1]Tabla 23'!I15,"IGUAL","CAMBIO")</f>
        <v>IGUAL</v>
      </c>
      <c r="R15" s="123" t="str">
        <f>IF(K15='[1]Tabla 23'!K15,"IGUAL","CAMBIO")</f>
        <v>IGUAL</v>
      </c>
      <c r="S15" s="217" t="str">
        <f>IF(M15='[1]Tabla 23'!M15,"IGUAL","CAMBIO")</f>
        <v>IGUAL</v>
      </c>
    </row>
    <row r="16" spans="2:19" x14ac:dyDescent="0.25">
      <c r="B16" s="218" t="str">
        <f>'23'!N46</f>
        <v>2312</v>
      </c>
      <c r="C16" s="244">
        <f>'23'!$C$4</f>
        <v>16</v>
      </c>
      <c r="D16" s="203">
        <f>'23'!$C$12</f>
        <v>2.88</v>
      </c>
      <c r="E16" s="203">
        <f>HLOOKUP($B16,'23'!$C$46:$AE$90,22)</f>
        <v>910</v>
      </c>
      <c r="F16" s="203">
        <f>HLOOKUP($B16,'23'!$C$46:$AE$90,29)</f>
        <v>0.33</v>
      </c>
      <c r="G16" s="203" t="str">
        <f>HLOOKUP($B16,'23'!$C$46:$AE$90,30)</f>
        <v>$\phi8@17$</v>
      </c>
      <c r="H16" s="203">
        <f>HLOOKUP($B16,'23'!$C$46:$AE$90,34)</f>
        <v>0</v>
      </c>
      <c r="I16" s="203" t="str">
        <f>HLOOKUP($B16,'23'!$C$46:$AE$90,35)</f>
        <v>$\phi8@17$</v>
      </c>
      <c r="J16" s="203">
        <f>HLOOKUP($B16,'23'!$C$46:$AE$90,39)</f>
        <v>0.49</v>
      </c>
      <c r="K16" s="203" t="str">
        <f>HLOOKUP($B16,'23'!$C$46:$AE$90,40)</f>
        <v>$\phi8@17$</v>
      </c>
      <c r="L16" s="203">
        <f>HLOOKUP($B16,'23'!$C$46:$AE$90,44)</f>
        <v>0.35000000000000003</v>
      </c>
      <c r="M16" s="228" t="str">
        <f>HLOOKUP($B16,'23'!$C$46:$AE$90,45)</f>
        <v>$\phi8@17$</v>
      </c>
      <c r="O16" s="270" t="str">
        <f t="shared" si="0"/>
        <v>2312</v>
      </c>
      <c r="P16" s="266" t="str">
        <f>IF(G16='[1]Tabla 23'!G16,"IGUAL","CAMBIO")</f>
        <v>IGUAL</v>
      </c>
      <c r="Q16" s="123" t="str">
        <f>IF(I16='[1]Tabla 23'!I16,"IGUAL","CAMBIO")</f>
        <v>IGUAL</v>
      </c>
      <c r="R16" s="123" t="str">
        <f>IF(K16='[1]Tabla 23'!K16,"IGUAL","CAMBIO")</f>
        <v>IGUAL</v>
      </c>
      <c r="S16" s="217" t="str">
        <f>IF(M16='[1]Tabla 23'!M16,"IGUAL","CAMBIO")</f>
        <v>IGUAL</v>
      </c>
    </row>
    <row r="17" spans="2:19" x14ac:dyDescent="0.25">
      <c r="B17" s="218" t="str">
        <f>'23'!$O$46</f>
        <v>2313</v>
      </c>
      <c r="C17" s="244">
        <f>'23'!$C$4</f>
        <v>16</v>
      </c>
      <c r="D17" s="203">
        <f>'23'!$C$12</f>
        <v>2.88</v>
      </c>
      <c r="E17" s="203">
        <f>HLOOKUP($B17,'23'!$C$46:$AE$90,22)</f>
        <v>910</v>
      </c>
      <c r="F17" s="203">
        <f>HLOOKUP($B17,'23'!$C$46:$AE$90,29)</f>
        <v>0.33</v>
      </c>
      <c r="G17" s="203" t="str">
        <f>HLOOKUP($B17,'23'!$C$46:$AE$90,30)</f>
        <v>$\phi8@17$</v>
      </c>
      <c r="H17" s="203">
        <f>HLOOKUP($B17,'23'!$C$46:$AE$90,34)</f>
        <v>0</v>
      </c>
      <c r="I17" s="203" t="str">
        <f>HLOOKUP($B17,'23'!$C$46:$AE$90,35)</f>
        <v>$\phi8@17$</v>
      </c>
      <c r="J17" s="203">
        <f>HLOOKUP($B17,'23'!$C$46:$AE$90,39)</f>
        <v>0.49</v>
      </c>
      <c r="K17" s="203" t="str">
        <f>HLOOKUP($B17,'23'!$C$46:$AE$90,40)</f>
        <v>$\phi8@17$</v>
      </c>
      <c r="L17" s="203">
        <f>HLOOKUP($B17,'23'!$C$46:$AE$90,44)</f>
        <v>0.35000000000000003</v>
      </c>
      <c r="M17" s="228" t="str">
        <f>HLOOKUP($B17,'23'!$C$46:$AE$90,45)</f>
        <v>$\phi8@17$</v>
      </c>
      <c r="O17" s="270" t="str">
        <f t="shared" si="0"/>
        <v>2313</v>
      </c>
      <c r="P17" s="266" t="str">
        <f>IF(G17='[1]Tabla 23'!G17,"IGUAL","CAMBIO")</f>
        <v>IGUAL</v>
      </c>
      <c r="Q17" s="123" t="str">
        <f>IF(I17='[1]Tabla 23'!I17,"IGUAL","CAMBIO")</f>
        <v>IGUAL</v>
      </c>
      <c r="R17" s="123" t="str">
        <f>IF(K17='[1]Tabla 23'!K17,"IGUAL","CAMBIO")</f>
        <v>IGUAL</v>
      </c>
      <c r="S17" s="217" t="str">
        <f>IF(M17='[1]Tabla 23'!M17,"IGUAL","CAMBIO")</f>
        <v>IGUAL</v>
      </c>
    </row>
    <row r="18" spans="2:19" x14ac:dyDescent="0.25">
      <c r="B18" s="218" t="str">
        <f>'23'!$P$46</f>
        <v>2314</v>
      </c>
      <c r="C18" s="244">
        <f>'23'!$C$4</f>
        <v>16</v>
      </c>
      <c r="D18" s="203">
        <f>'23'!$C$12</f>
        <v>2.88</v>
      </c>
      <c r="E18" s="203">
        <f>HLOOKUP($B18,'23'!$C$46:$AE$90,22)</f>
        <v>910</v>
      </c>
      <c r="F18" s="203">
        <f>HLOOKUP($B18,'23'!$C$46:$AE$90,29)</f>
        <v>0.33</v>
      </c>
      <c r="G18" s="203" t="str">
        <f>HLOOKUP($B18,'23'!$C$46:$AE$90,30)</f>
        <v>$\phi8@17$</v>
      </c>
      <c r="H18" s="203">
        <f>HLOOKUP($B18,'23'!$C$46:$AE$90,34)</f>
        <v>0</v>
      </c>
      <c r="I18" s="203" t="str">
        <f>HLOOKUP($B18,'23'!$C$46:$AE$90,35)</f>
        <v>$\phi8@17$</v>
      </c>
      <c r="J18" s="203">
        <f>HLOOKUP($B18,'23'!$C$46:$AE$90,39)</f>
        <v>0.49</v>
      </c>
      <c r="K18" s="203" t="str">
        <f>HLOOKUP($B18,'23'!$C$46:$AE$90,40)</f>
        <v>$\phi8@17$</v>
      </c>
      <c r="L18" s="203">
        <f>HLOOKUP($B18,'23'!$C$46:$AE$90,44)</f>
        <v>0.35000000000000003</v>
      </c>
      <c r="M18" s="228" t="str">
        <f>HLOOKUP($B18,'23'!$C$46:$AE$90,45)</f>
        <v>$\phi8@17$</v>
      </c>
      <c r="O18" s="270" t="str">
        <f t="shared" si="0"/>
        <v>2314</v>
      </c>
      <c r="P18" s="266" t="str">
        <f>IF(G18='[1]Tabla 23'!G18,"IGUAL","CAMBIO")</f>
        <v>IGUAL</v>
      </c>
      <c r="Q18" s="123" t="str">
        <f>IF(I18='[1]Tabla 23'!I18,"IGUAL","CAMBIO")</f>
        <v>IGUAL</v>
      </c>
      <c r="R18" s="123" t="str">
        <f>IF(K18='[1]Tabla 23'!K18,"IGUAL","CAMBIO")</f>
        <v>IGUAL</v>
      </c>
      <c r="S18" s="217" t="str">
        <f>IF(M18='[1]Tabla 23'!M18,"IGUAL","CAMBIO")</f>
        <v>IGUAL</v>
      </c>
    </row>
    <row r="19" spans="2:19" x14ac:dyDescent="0.25">
      <c r="B19" s="218" t="str">
        <f>'23'!$Q$46</f>
        <v>2315</v>
      </c>
      <c r="C19" s="244">
        <f>'23'!$C$4</f>
        <v>16</v>
      </c>
      <c r="D19" s="203">
        <f>'23'!$C$12</f>
        <v>2.88</v>
      </c>
      <c r="E19" s="203">
        <f>HLOOKUP($B19,'23'!$C$46:$AE$90,22)</f>
        <v>910</v>
      </c>
      <c r="F19" s="203">
        <f>HLOOKUP($B19,'23'!$C$46:$AE$90,29)</f>
        <v>0.33</v>
      </c>
      <c r="G19" s="203" t="str">
        <f>HLOOKUP($B19,'23'!$C$46:$AE$90,30)</f>
        <v>$\phi8@17$</v>
      </c>
      <c r="H19" s="203">
        <f>HLOOKUP($B19,'23'!$C$46:$AE$90,34)</f>
        <v>0</v>
      </c>
      <c r="I19" s="203" t="str">
        <f>HLOOKUP($B19,'23'!$C$46:$AE$90,35)</f>
        <v>$\phi8@17$</v>
      </c>
      <c r="J19" s="203">
        <f>HLOOKUP($B19,'23'!$C$46:$AE$90,39)</f>
        <v>0.49</v>
      </c>
      <c r="K19" s="203" t="str">
        <f>HLOOKUP($B19,'23'!$C$46:$AE$90,40)</f>
        <v>$\phi8@17$</v>
      </c>
      <c r="L19" s="203">
        <f>HLOOKUP($B19,'23'!$C$46:$AE$90,44)</f>
        <v>0.35000000000000003</v>
      </c>
      <c r="M19" s="228" t="str">
        <f>HLOOKUP($B19,'23'!$C$46:$AE$90,45)</f>
        <v>$\phi8@17$</v>
      </c>
      <c r="O19" s="270" t="str">
        <f t="shared" si="0"/>
        <v>2315</v>
      </c>
      <c r="P19" s="266" t="str">
        <f>IF(G19='[1]Tabla 23'!G19,"IGUAL","CAMBIO")</f>
        <v>IGUAL</v>
      </c>
      <c r="Q19" s="123" t="str">
        <f>IF(I19='[1]Tabla 23'!I19,"IGUAL","CAMBIO")</f>
        <v>IGUAL</v>
      </c>
      <c r="R19" s="123" t="str">
        <f>IF(K19='[1]Tabla 23'!K19,"IGUAL","CAMBIO")</f>
        <v>IGUAL</v>
      </c>
      <c r="S19" s="217" t="str">
        <f>IF(M19='[1]Tabla 23'!M19,"IGUAL","CAMBIO")</f>
        <v>IGUAL</v>
      </c>
    </row>
    <row r="20" spans="2:19" x14ac:dyDescent="0.25">
      <c r="B20" s="218" t="str">
        <f>'23'!$R$46</f>
        <v>2316</v>
      </c>
      <c r="C20" s="244">
        <f>'23'!$C$4</f>
        <v>16</v>
      </c>
      <c r="D20" s="203">
        <f>'23'!$C$12</f>
        <v>2.88</v>
      </c>
      <c r="E20" s="203">
        <f>HLOOKUP($B20,'23'!$C$46:$AE$90,22)</f>
        <v>910</v>
      </c>
      <c r="F20" s="203">
        <f>HLOOKUP($B20,'23'!$C$46:$AE$90,29)</f>
        <v>0.16</v>
      </c>
      <c r="G20" s="203" t="str">
        <f>HLOOKUP($B20,'23'!$C$46:$AE$90,30)</f>
        <v>$\phi8@17$</v>
      </c>
      <c r="H20" s="203">
        <f>HLOOKUP($B20,'23'!$C$46:$AE$90,34)</f>
        <v>0</v>
      </c>
      <c r="I20" s="203" t="str">
        <f>HLOOKUP($B20,'23'!$C$46:$AE$90,35)</f>
        <v>$\phi8@17$</v>
      </c>
      <c r="J20" s="203">
        <f>HLOOKUP($B20,'23'!$C$46:$AE$90,39)</f>
        <v>0.23</v>
      </c>
      <c r="K20" s="203" t="str">
        <f>HLOOKUP($B20,'23'!$C$46:$AE$90,40)</f>
        <v>$\phi8@17$</v>
      </c>
      <c r="L20" s="203">
        <f>HLOOKUP($B20,'23'!$C$46:$AE$90,44)</f>
        <v>0.17</v>
      </c>
      <c r="M20" s="228" t="str">
        <f>HLOOKUP($B20,'23'!$C$46:$AE$90,45)</f>
        <v>$\phi8@17$</v>
      </c>
      <c r="O20" s="270" t="str">
        <f t="shared" si="0"/>
        <v>2316</v>
      </c>
      <c r="P20" s="266" t="str">
        <f>IF(G20='[1]Tabla 23'!G20,"IGUAL","CAMBIO")</f>
        <v>IGUAL</v>
      </c>
      <c r="Q20" s="123" t="str">
        <f>IF(I20='[1]Tabla 23'!I20,"IGUAL","CAMBIO")</f>
        <v>IGUAL</v>
      </c>
      <c r="R20" s="123" t="str">
        <f>IF(K20='[1]Tabla 23'!K20,"IGUAL","CAMBIO")</f>
        <v>IGUAL</v>
      </c>
      <c r="S20" s="217" t="str">
        <f>IF(M20='[1]Tabla 23'!M20,"IGUAL","CAMBIO")</f>
        <v>IGUAL</v>
      </c>
    </row>
    <row r="21" spans="2:19" x14ac:dyDescent="0.25">
      <c r="B21" s="218" t="str">
        <f>'23'!$S$46</f>
        <v>2317</v>
      </c>
      <c r="C21" s="244">
        <f>'23'!$C$4</f>
        <v>16</v>
      </c>
      <c r="D21" s="203">
        <f>'23'!$C$12</f>
        <v>2.88</v>
      </c>
      <c r="E21" s="203">
        <f>HLOOKUP($B21,'23'!$C$46:$AE$90,22)</f>
        <v>910</v>
      </c>
      <c r="F21" s="203">
        <f>HLOOKUP($B21,'23'!$C$46:$AE$90,29)</f>
        <v>0.16</v>
      </c>
      <c r="G21" s="203" t="str">
        <f>HLOOKUP($B21,'23'!$C$46:$AE$90,30)</f>
        <v>$\phi8@17$</v>
      </c>
      <c r="H21" s="203">
        <f>HLOOKUP($B21,'23'!$C$46:$AE$90,34)</f>
        <v>0</v>
      </c>
      <c r="I21" s="203" t="str">
        <f>HLOOKUP($B21,'23'!$C$46:$AE$90,35)</f>
        <v>$\phi8@17$</v>
      </c>
      <c r="J21" s="203">
        <f>HLOOKUP($B21,'23'!$C$46:$AE$90,39)</f>
        <v>0.23</v>
      </c>
      <c r="K21" s="203" t="str">
        <f>HLOOKUP($B21,'23'!$C$46:$AE$90,40)</f>
        <v>$\phi8@17$</v>
      </c>
      <c r="L21" s="203">
        <f>HLOOKUP($B21,'23'!$C$46:$AE$90,44)</f>
        <v>0.17</v>
      </c>
      <c r="M21" s="228" t="str">
        <f>HLOOKUP($B21,'23'!$C$46:$AE$90,45)</f>
        <v>$\phi8@17$</v>
      </c>
      <c r="O21" s="270" t="str">
        <f t="shared" si="0"/>
        <v>2317</v>
      </c>
      <c r="P21" s="266" t="str">
        <f>IF(G21='[1]Tabla 23'!G21,"IGUAL","CAMBIO")</f>
        <v>IGUAL</v>
      </c>
      <c r="Q21" s="123" t="str">
        <f>IF(I21='[1]Tabla 23'!I21,"IGUAL","CAMBIO")</f>
        <v>IGUAL</v>
      </c>
      <c r="R21" s="123" t="str">
        <f>IF(K21='[1]Tabla 23'!K21,"IGUAL","CAMBIO")</f>
        <v>IGUAL</v>
      </c>
      <c r="S21" s="217" t="str">
        <f>IF(M21='[1]Tabla 23'!M21,"IGUAL","CAMBIO")</f>
        <v>IGUAL</v>
      </c>
    </row>
    <row r="22" spans="2:19" x14ac:dyDescent="0.25">
      <c r="B22" s="218" t="str">
        <f>'23'!T46</f>
        <v>2318</v>
      </c>
      <c r="C22" s="244">
        <f>'23'!$C$4</f>
        <v>16</v>
      </c>
      <c r="D22" s="203">
        <f>'23'!$C$12</f>
        <v>2.88</v>
      </c>
      <c r="E22" s="203">
        <f>HLOOKUP($B22,'23'!$C$46:$AE$90,22)</f>
        <v>910</v>
      </c>
      <c r="F22" s="203">
        <f>HLOOKUP($B22,'23'!$C$46:$AE$90,29)</f>
        <v>0.26</v>
      </c>
      <c r="G22" s="203" t="str">
        <f>HLOOKUP($B22,'23'!$C$46:$AE$90,30)</f>
        <v>$\phi8@17$</v>
      </c>
      <c r="H22" s="203">
        <f>HLOOKUP($B22,'23'!$C$46:$AE$90,34)</f>
        <v>0</v>
      </c>
      <c r="I22" s="203" t="str">
        <f>HLOOKUP($B22,'23'!$C$46:$AE$90,35)</f>
        <v>$\phi8@17$</v>
      </c>
      <c r="J22" s="203">
        <f>HLOOKUP($B22,'23'!$C$46:$AE$90,39)</f>
        <v>0.38</v>
      </c>
      <c r="K22" s="203" t="str">
        <f>HLOOKUP($B22,'23'!$C$46:$AE$90,40)</f>
        <v>$\phi8@17$</v>
      </c>
      <c r="L22" s="203">
        <f>HLOOKUP($B22,'23'!$C$46:$AE$90,44)</f>
        <v>0.27</v>
      </c>
      <c r="M22" s="228" t="str">
        <f>HLOOKUP($B22,'23'!$C$46:$AE$90,45)</f>
        <v>$\phi8@17$</v>
      </c>
      <c r="O22" s="270" t="str">
        <f t="shared" si="0"/>
        <v>2318</v>
      </c>
      <c r="P22" s="266" t="str">
        <f>IF(G22='[1]Tabla 23'!G22,"IGUAL","CAMBIO")</f>
        <v>IGUAL</v>
      </c>
      <c r="Q22" s="123" t="str">
        <f>IF(I22='[1]Tabla 23'!I22,"IGUAL","CAMBIO")</f>
        <v>IGUAL</v>
      </c>
      <c r="R22" s="123" t="str">
        <f>IF(K22='[1]Tabla 23'!K22,"IGUAL","CAMBIO")</f>
        <v>IGUAL</v>
      </c>
      <c r="S22" s="217" t="str">
        <f>IF(M22='[1]Tabla 23'!M22,"IGUAL","CAMBIO")</f>
        <v>IGUAL</v>
      </c>
    </row>
    <row r="23" spans="2:19" x14ac:dyDescent="0.25">
      <c r="B23" s="218" t="str">
        <f>'23'!$U$46</f>
        <v>2319</v>
      </c>
      <c r="C23" s="244">
        <f>'23'!$C$4</f>
        <v>16</v>
      </c>
      <c r="D23" s="203">
        <f>'23'!$C$12</f>
        <v>2.88</v>
      </c>
      <c r="E23" s="203">
        <f>HLOOKUP($B23,'23'!$C$46:$AE$90,22)</f>
        <v>910</v>
      </c>
      <c r="F23" s="203">
        <f>HLOOKUP($B23,'23'!$C$46:$AE$90,29)</f>
        <v>0.26</v>
      </c>
      <c r="G23" s="203" t="str">
        <f>HLOOKUP($B23,'23'!$C$46:$AE$90,30)</f>
        <v>$\phi8@17$</v>
      </c>
      <c r="H23" s="203">
        <f>HLOOKUP($B23,'23'!$C$46:$AE$90,34)</f>
        <v>0</v>
      </c>
      <c r="I23" s="203" t="str">
        <f>HLOOKUP($B23,'23'!$C$46:$AE$90,35)</f>
        <v>$\phi8@17$</v>
      </c>
      <c r="J23" s="203">
        <f>HLOOKUP($B23,'23'!$C$46:$AE$90,39)</f>
        <v>0.38</v>
      </c>
      <c r="K23" s="203" t="str">
        <f>HLOOKUP($B23,'23'!$C$46:$AE$90,40)</f>
        <v>$\phi8@17$</v>
      </c>
      <c r="L23" s="203">
        <f>HLOOKUP($B23,'23'!$C$46:$AE$90,44)</f>
        <v>0.27</v>
      </c>
      <c r="M23" s="228" t="str">
        <f>HLOOKUP($B23,'23'!$C$46:$AE$90,45)</f>
        <v>$\phi8@17$</v>
      </c>
      <c r="O23" s="270" t="str">
        <f t="shared" si="0"/>
        <v>2319</v>
      </c>
      <c r="P23" s="266" t="str">
        <f>IF(G23='[1]Tabla 23'!G23,"IGUAL","CAMBIO")</f>
        <v>IGUAL</v>
      </c>
      <c r="Q23" s="123" t="str">
        <f>IF(I23='[1]Tabla 23'!I23,"IGUAL","CAMBIO")</f>
        <v>IGUAL</v>
      </c>
      <c r="R23" s="123" t="str">
        <f>IF(K23='[1]Tabla 23'!K23,"IGUAL","CAMBIO")</f>
        <v>IGUAL</v>
      </c>
      <c r="S23" s="217" t="str">
        <f>IF(M23='[1]Tabla 23'!M23,"IGUAL","CAMBIO")</f>
        <v>IGUAL</v>
      </c>
    </row>
    <row r="24" spans="2:19" x14ac:dyDescent="0.25">
      <c r="B24" s="218" t="str">
        <f>'23'!$V$46</f>
        <v>2320</v>
      </c>
      <c r="C24" s="244">
        <f>'23'!$C$4</f>
        <v>16</v>
      </c>
      <c r="D24" s="203">
        <f>'23'!$C$12</f>
        <v>2.88</v>
      </c>
      <c r="E24" s="203">
        <f>HLOOKUP($B24,'23'!$C$46:$AE$90,22)</f>
        <v>910</v>
      </c>
      <c r="F24" s="203">
        <f>HLOOKUP($B24,'23'!$C$46:$AE$90,29)</f>
        <v>0.08</v>
      </c>
      <c r="G24" s="203" t="str">
        <f>HLOOKUP($B24,'23'!$C$46:$AE$90,30)</f>
        <v>$\phi8@17$</v>
      </c>
      <c r="H24" s="203">
        <f>HLOOKUP($B24,'23'!$C$46:$AE$90,34)</f>
        <v>0</v>
      </c>
      <c r="I24" s="203" t="str">
        <f>HLOOKUP($B24,'23'!$C$46:$AE$90,35)</f>
        <v>$\phi8@17$</v>
      </c>
      <c r="J24" s="203">
        <f>HLOOKUP($B24,'23'!$C$46:$AE$90,39)</f>
        <v>0.12</v>
      </c>
      <c r="K24" s="203" t="str">
        <f>HLOOKUP($B24,'23'!$C$46:$AE$90,40)</f>
        <v>$\phi8@17$</v>
      </c>
      <c r="L24" s="203">
        <f>HLOOKUP($B24,'23'!$C$46:$AE$90,44)</f>
        <v>0.09</v>
      </c>
      <c r="M24" s="228" t="str">
        <f>HLOOKUP($B24,'23'!$C$46:$AE$90,45)</f>
        <v>$\phi8@17$</v>
      </c>
      <c r="O24" s="270" t="str">
        <f t="shared" si="0"/>
        <v>2320</v>
      </c>
      <c r="P24" s="266" t="str">
        <f>IF(G24='[1]Tabla 23'!G24,"IGUAL","CAMBIO")</f>
        <v>IGUAL</v>
      </c>
      <c r="Q24" s="123" t="str">
        <f>IF(I24='[1]Tabla 23'!I24,"IGUAL","CAMBIO")</f>
        <v>IGUAL</v>
      </c>
      <c r="R24" s="123" t="str">
        <f>IF(K24='[1]Tabla 23'!K24,"IGUAL","CAMBIO")</f>
        <v>IGUAL</v>
      </c>
      <c r="S24" s="217" t="str">
        <f>IF(M24='[1]Tabla 23'!M24,"IGUAL","CAMBIO")</f>
        <v>IGUAL</v>
      </c>
    </row>
    <row r="25" spans="2:19" x14ac:dyDescent="0.25">
      <c r="B25" s="218" t="str">
        <f>'23'!$W$46</f>
        <v>2321</v>
      </c>
      <c r="C25" s="244">
        <f>'23'!$C$4</f>
        <v>16</v>
      </c>
      <c r="D25" s="203">
        <f>'23'!$C$12</f>
        <v>2.88</v>
      </c>
      <c r="E25" s="203">
        <f>HLOOKUP($B25,'23'!$C$46:$AE$90,22)</f>
        <v>910</v>
      </c>
      <c r="F25" s="203">
        <f>HLOOKUP($B25,'23'!$C$46:$AE$90,29)</f>
        <v>6.9999999999999993E-2</v>
      </c>
      <c r="G25" s="203" t="str">
        <f>HLOOKUP($B25,'23'!$C$46:$AE$90,30)</f>
        <v>$\phi8@17$</v>
      </c>
      <c r="H25" s="203">
        <f>HLOOKUP($B25,'23'!$C$46:$AE$90,34)</f>
        <v>0</v>
      </c>
      <c r="I25" s="203" t="str">
        <f>HLOOKUP($B25,'23'!$C$46:$AE$90,35)</f>
        <v>$\phi8@17$</v>
      </c>
      <c r="J25" s="203">
        <f>HLOOKUP($B25,'23'!$C$46:$AE$90,39)</f>
        <v>0.11</v>
      </c>
      <c r="K25" s="203" t="str">
        <f>HLOOKUP($B25,'23'!$C$46:$AE$90,40)</f>
        <v>$\phi8@17$</v>
      </c>
      <c r="L25" s="203">
        <f>HLOOKUP($B25,'23'!$C$46:$AE$90,44)</f>
        <v>0.08</v>
      </c>
      <c r="M25" s="228" t="str">
        <f>HLOOKUP($B25,'23'!$C$46:$AE$90,45)</f>
        <v>$\phi8@17$</v>
      </c>
      <c r="O25" s="270" t="str">
        <f t="shared" si="0"/>
        <v>2321</v>
      </c>
      <c r="P25" s="266" t="str">
        <f>IF(G25='[1]Tabla 23'!G25,"IGUAL","CAMBIO")</f>
        <v>IGUAL</v>
      </c>
      <c r="Q25" s="123" t="str">
        <f>IF(I25='[1]Tabla 23'!I25,"IGUAL","CAMBIO")</f>
        <v>IGUAL</v>
      </c>
      <c r="R25" s="123" t="str">
        <f>IF(K25='[1]Tabla 23'!K25,"IGUAL","CAMBIO")</f>
        <v>IGUAL</v>
      </c>
      <c r="S25" s="217" t="str">
        <f>IF(M25='[1]Tabla 23'!M25,"IGUAL","CAMBIO")</f>
        <v>IGUAL</v>
      </c>
    </row>
    <row r="26" spans="2:19" ht="15.75" thickBot="1" x14ac:dyDescent="0.3">
      <c r="B26" s="219" t="str">
        <f>'23'!$X$46</f>
        <v>2322</v>
      </c>
      <c r="C26" s="245">
        <f>'23'!$C$4</f>
        <v>16</v>
      </c>
      <c r="D26" s="204">
        <f>'23'!$C$12</f>
        <v>2.88</v>
      </c>
      <c r="E26" s="204">
        <f>HLOOKUP($B26,'23'!$C$46:$AE$90,22)</f>
        <v>910</v>
      </c>
      <c r="F26" s="204">
        <f>HLOOKUP($B26,'23'!$C$46:$AE$90,29)</f>
        <v>0.47000000000000003</v>
      </c>
      <c r="G26" s="204" t="str">
        <f>HLOOKUP($B26,'23'!$C$46:$AE$90,30)</f>
        <v>$\phi8@17$</v>
      </c>
      <c r="H26" s="204">
        <f>HLOOKUP($B26,'23'!$C$46:$AE$90,34)</f>
        <v>0.13</v>
      </c>
      <c r="I26" s="204" t="str">
        <f>HLOOKUP($B26,'23'!$C$46:$AE$90,35)</f>
        <v>$\phi8@17$</v>
      </c>
      <c r="J26" s="204">
        <f>HLOOKUP($B26,'23'!$C$46:$AE$90,39)</f>
        <v>1.01</v>
      </c>
      <c r="K26" s="204" t="str">
        <f>HLOOKUP($B26,'23'!$C$46:$AE$90,40)</f>
        <v>$\phi8@17$</v>
      </c>
      <c r="L26" s="204">
        <f>HLOOKUP($B26,'23'!$C$46:$AE$90,44)</f>
        <v>0.77</v>
      </c>
      <c r="M26" s="229" t="str">
        <f>HLOOKUP($B26,'23'!$C$46:$AE$90,45)</f>
        <v>$\phi8@17$</v>
      </c>
      <c r="O26" s="271" t="str">
        <f t="shared" si="0"/>
        <v>2322</v>
      </c>
      <c r="P26" s="258" t="str">
        <f>IF(G26='[1]Tabla 23'!G26,"IGUAL","CAMBIO")</f>
        <v>IGUAL</v>
      </c>
      <c r="Q26" s="125" t="str">
        <f>IF(I26='[1]Tabla 23'!I26,"IGUAL","CAMBIO")</f>
        <v>IGUAL</v>
      </c>
      <c r="R26" s="125" t="str">
        <f>IF(K26='[1]Tabla 23'!K26,"IGUAL","CAMBIO")</f>
        <v>IGUAL</v>
      </c>
      <c r="S26" s="220" t="str">
        <f>IF(M26='[1]Tabla 23'!M26,"IGUAL","CAMBIO")</f>
        <v>IGUAL</v>
      </c>
    </row>
    <row r="27" spans="2:19" ht="15.75" thickBot="1" x14ac:dyDescent="0.3"/>
    <row r="28" spans="2:19" ht="15.75" thickBot="1" x14ac:dyDescent="0.3">
      <c r="D28" s="301" t="s">
        <v>107</v>
      </c>
      <c r="E28" s="302"/>
      <c r="F28" s="121"/>
      <c r="G28" s="121"/>
    </row>
    <row r="29" spans="2:19" s="235" customFormat="1" ht="30" customHeight="1" thickBot="1" x14ac:dyDescent="0.3">
      <c r="B29" s="236"/>
      <c r="C29" s="236"/>
      <c r="D29" s="133" t="s">
        <v>278</v>
      </c>
      <c r="E29" s="134" t="str">
        <f>'-1'!B98</f>
        <v>Mu $[kgf \cdot m/m]$</v>
      </c>
      <c r="F29" s="134" t="str">
        <f>'-1'!B101</f>
        <v>As $[cm^2/m]$</v>
      </c>
      <c r="G29" s="135" t="str">
        <f>'-1'!B102</f>
        <v>F'</v>
      </c>
      <c r="I29" s="269" t="s">
        <v>338</v>
      </c>
    </row>
    <row r="30" spans="2:19" x14ac:dyDescent="0.25">
      <c r="D30" s="2" t="str">
        <f>'23'!C93&amp;"-"&amp;'23'!D93</f>
        <v>2301-2302</v>
      </c>
      <c r="E30" s="152">
        <f>HLOOKUP($D30,'23'!$C$94:$AF$102,E$68,FALSE)</f>
        <v>1438.1004704888012</v>
      </c>
      <c r="F30" s="152">
        <f>HLOOKUP($D30,'23'!$C$94:$AF$102,F$68,FALSE)</f>
        <v>2.6799999999999997</v>
      </c>
      <c r="G30" s="153" t="str">
        <f>HLOOKUP($D30,'23'!$C$94:$AF$102,G$68,FALSE)</f>
        <v>$\phi8@17$</v>
      </c>
      <c r="I30" s="267" t="str">
        <f>IF(G30='[1]Tabla 23'!G30,"IGUAL","CAMBIO")</f>
        <v>IGUAL</v>
      </c>
    </row>
    <row r="31" spans="2:19" x14ac:dyDescent="0.25">
      <c r="D31" s="145" t="str">
        <f>'23'!E93&amp;"-"&amp;'23'!F93</f>
        <v>2301-2305</v>
      </c>
      <c r="E31" s="146">
        <f>HLOOKUP($D31,'23'!$C$94:$AF$102,E$68,FALSE)</f>
        <v>2163.6786618410697</v>
      </c>
      <c r="F31" s="146">
        <f>HLOOKUP($D31,'23'!$C$94:$AF$102,F$68,FALSE)</f>
        <v>4.0299999999999994</v>
      </c>
      <c r="G31" s="147" t="str">
        <f>HLOOKUP($D31,'23'!$C$94:$AF$102,G$68,FALSE)</f>
        <v>$\phi10@20$</v>
      </c>
      <c r="I31" s="267" t="str">
        <f>IF(G31='[1]Tabla 23'!G31,"IGUAL","CAMBIO")</f>
        <v>IGUAL</v>
      </c>
    </row>
    <row r="32" spans="2:19" x14ac:dyDescent="0.25">
      <c r="D32" s="145" t="str">
        <f>'23'!G93&amp;"-"&amp;'23'!H93</f>
        <v>2301-2306</v>
      </c>
      <c r="E32" s="146">
        <f>HLOOKUP($D32,'23'!$C$94:$AF$102,E$68,FALSE)</f>
        <v>1925.511017661901</v>
      </c>
      <c r="F32" s="146">
        <f>HLOOKUP($D32,'23'!$C$94:$AF$102,F$68,FALSE)</f>
        <v>3.59</v>
      </c>
      <c r="G32" s="147" t="str">
        <f>HLOOKUP($D32,'23'!$C$94:$AF$102,G$68,FALSE)</f>
        <v>$\phi8@14$</v>
      </c>
      <c r="I32" s="267" t="str">
        <f>IF(G32='[1]Tabla 23'!G32,"IGUAL","CAMBIO")</f>
        <v>IGUAL</v>
      </c>
    </row>
    <row r="33" spans="4:9" hidden="1" x14ac:dyDescent="0.25">
      <c r="D33" s="145" t="str">
        <f>'23'!I93&amp;"-"&amp;'23'!J93</f>
        <v>2301-2312</v>
      </c>
      <c r="E33" s="146">
        <f>HLOOKUP($D33,'23'!$C$94:$AF$102,E$68,FALSE)</f>
        <v>1761.9617175914634</v>
      </c>
      <c r="F33" s="146">
        <f>HLOOKUP($D33,'23'!$C$94:$AF$102,F$68,FALSE)</f>
        <v>3.28</v>
      </c>
      <c r="G33" s="147" t="str">
        <f>HLOOKUP($D33,'23'!$C$94:$AF$102,G$68,FALSE)</f>
        <v>$\phi8@15$</v>
      </c>
      <c r="I33" s="267" t="str">
        <f>IF(G33='[1]Tabla 23'!G33,"IGUAL","CAMBIO")</f>
        <v>IGUAL</v>
      </c>
    </row>
    <row r="34" spans="4:9" hidden="1" x14ac:dyDescent="0.25">
      <c r="D34" s="145" t="str">
        <f>'23'!K93&amp;"-"&amp;'23'!L93</f>
        <v>2301-2321</v>
      </c>
      <c r="E34" s="146">
        <f>HLOOKUP($D34,'23'!$C$94:$AF$102,E$68,FALSE)</f>
        <v>1258.2265443548388</v>
      </c>
      <c r="F34" s="146">
        <f>HLOOKUP($D34,'23'!$C$94:$AF$102,F$68,FALSE)</f>
        <v>2.34</v>
      </c>
      <c r="G34" s="147" t="str">
        <f>HLOOKUP($D34,'23'!$C$94:$AF$102,G$68,FALSE)</f>
        <v>$\phi8@17$</v>
      </c>
      <c r="I34" s="267" t="str">
        <f>IF(G34='[1]Tabla 23'!G34,"IGUAL","CAMBIO")</f>
        <v>IGUAL</v>
      </c>
    </row>
    <row r="35" spans="4:9" x14ac:dyDescent="0.25">
      <c r="D35" s="145" t="str">
        <f>'23'!M93&amp;"-"&amp;'23'!N93</f>
        <v>2302-2303</v>
      </c>
      <c r="E35" s="146">
        <f>HLOOKUP($D35,'23'!$C$94:$AF$102,E$68,FALSE)</f>
        <v>931.29956331877725</v>
      </c>
      <c r="F35" s="146">
        <f>HLOOKUP($D35,'23'!$C$94:$AF$102,F$68,FALSE)</f>
        <v>1.73</v>
      </c>
      <c r="G35" s="147" t="str">
        <f>HLOOKUP($D35,'23'!$C$94:$AF$102,G$68,FALSE)</f>
        <v>$\phi8@17$</v>
      </c>
      <c r="I35" s="267" t="str">
        <f>IF(G35='[1]Tabla 23'!G35,"IGUAL","CAMBIO")</f>
        <v>IGUAL</v>
      </c>
    </row>
    <row r="36" spans="4:9" x14ac:dyDescent="0.25">
      <c r="D36" s="145" t="str">
        <f>'23'!O93&amp;"-"&amp;'23'!P93</f>
        <v>2302-2308</v>
      </c>
      <c r="E36" s="146">
        <f>HLOOKUP($D36,'23'!$C$94:$AF$102,E$68,FALSE)</f>
        <v>834.21248936170207</v>
      </c>
      <c r="F36" s="146">
        <f>HLOOKUP($D36,'23'!$C$94:$AF$102,F$68,FALSE)</f>
        <v>1.55</v>
      </c>
      <c r="G36" s="147" t="str">
        <f>HLOOKUP($D36,'23'!$C$94:$AF$102,G$68,FALSE)</f>
        <v>$\phi8@17$</v>
      </c>
      <c r="I36" s="267" t="str">
        <f>IF(G36='[1]Tabla 23'!G36,"IGUAL","CAMBIO")</f>
        <v>IGUAL</v>
      </c>
    </row>
    <row r="37" spans="4:9" hidden="1" x14ac:dyDescent="0.25">
      <c r="D37" s="145" t="str">
        <f>'23'!Q93&amp;"-"&amp;'23'!R93</f>
        <v>2302-2313</v>
      </c>
      <c r="E37" s="146">
        <f>HLOOKUP($D37,'23'!$C$94:$AF$102,E$68,FALSE)</f>
        <v>864.10906061170203</v>
      </c>
      <c r="F37" s="146">
        <f>HLOOKUP($D37,'23'!$C$94:$AF$102,F$68,FALSE)</f>
        <v>1.61</v>
      </c>
      <c r="G37" s="147" t="str">
        <f>HLOOKUP($D37,'23'!$C$94:$AF$102,G$68,FALSE)</f>
        <v>$\phi8@17$</v>
      </c>
      <c r="I37" s="267" t="str">
        <f>IF(G37='[1]Tabla 23'!G37,"IGUAL","CAMBIO")</f>
        <v>IGUAL</v>
      </c>
    </row>
    <row r="38" spans="4:9" hidden="1" x14ac:dyDescent="0.25">
      <c r="D38" s="145" t="str">
        <f>'23'!S93&amp;"-"&amp;'23'!T93</f>
        <v>2303-2314</v>
      </c>
      <c r="E38" s="146">
        <f>HLOOKUP($D38,'23'!$C$94:$AF$102,E$68,FALSE)</f>
        <v>864.10906061170203</v>
      </c>
      <c r="F38" s="146">
        <f>HLOOKUP($D38,'23'!$C$94:$AF$102,F$68,FALSE)</f>
        <v>1.61</v>
      </c>
      <c r="G38" s="147" t="str">
        <f>HLOOKUP($D38,'23'!$C$94:$AF$102,G$68,FALSE)</f>
        <v>$\phi8@17$</v>
      </c>
      <c r="I38" s="267" t="str">
        <f>IF(G38='[1]Tabla 23'!G38,"IGUAL","CAMBIO")</f>
        <v>IGUAL</v>
      </c>
    </row>
    <row r="39" spans="4:9" x14ac:dyDescent="0.25">
      <c r="D39" s="145" t="str">
        <f>'23'!U93&amp;"-"&amp;'23'!V93</f>
        <v>2303-2308</v>
      </c>
      <c r="E39" s="146">
        <f>HLOOKUP($D39,'23'!$C$94:$AF$102,E$68,FALSE)</f>
        <v>834.21248936170207</v>
      </c>
      <c r="F39" s="146">
        <f>HLOOKUP($D39,'23'!$C$94:$AF$102,F$68,FALSE)</f>
        <v>1.55</v>
      </c>
      <c r="G39" s="147" t="str">
        <f>HLOOKUP($D39,'23'!$C$94:$AF$102,G$68,FALSE)</f>
        <v>$\phi8@17$</v>
      </c>
      <c r="I39" s="267" t="str">
        <f>IF(G39='[1]Tabla 23'!G39,"IGUAL","CAMBIO")</f>
        <v>IGUAL</v>
      </c>
    </row>
    <row r="40" spans="4:9" x14ac:dyDescent="0.25">
      <c r="D40" s="145" t="str">
        <f>'23'!W93&amp;"-"&amp;'23'!X93</f>
        <v>2303-2304</v>
      </c>
      <c r="E40" s="146">
        <f>HLOOKUP($D40,'23'!$C$94:$AF$102,E$68,FALSE)</f>
        <v>1329.9375110417966</v>
      </c>
      <c r="F40" s="146">
        <f>HLOOKUP($D40,'23'!$C$94:$AF$102,F$68,FALSE)</f>
        <v>2.48</v>
      </c>
      <c r="G40" s="147" t="str">
        <f>HLOOKUP($D40,'23'!$C$94:$AF$102,G$68,FALSE)</f>
        <v>$\phi8@17$</v>
      </c>
      <c r="I40" s="267" t="str">
        <f>IF(G40='[1]Tabla 23'!G40,"IGUAL","CAMBIO")</f>
        <v>IGUAL</v>
      </c>
    </row>
    <row r="41" spans="4:9" hidden="1" x14ac:dyDescent="0.25">
      <c r="D41" s="145" t="str">
        <f>'23'!Y93&amp;"-"&amp;'23'!Z93</f>
        <v>2304-2315</v>
      </c>
      <c r="E41" s="146">
        <f>HLOOKUP($D41,'23'!$C$94:$AF$102,E$68,FALSE)</f>
        <v>1495.3499071874999</v>
      </c>
      <c r="F41" s="146">
        <f>HLOOKUP($D41,'23'!$C$94:$AF$102,F$68,FALSE)</f>
        <v>2.7899999999999996</v>
      </c>
      <c r="G41" s="147" t="str">
        <f>HLOOKUP($D41,'23'!$C$94:$AF$102,G$68,FALSE)</f>
        <v>$\phi8@17$</v>
      </c>
      <c r="I41" s="267" t="str">
        <f>IF(G41='[1]Tabla 23'!G41,"IGUAL","CAMBIO")</f>
        <v>IGUAL</v>
      </c>
    </row>
    <row r="42" spans="4:9" hidden="1" x14ac:dyDescent="0.25">
      <c r="D42" s="145" t="str">
        <f>'23'!C104&amp;"-"&amp;'23'!D104</f>
        <v>2304-2308</v>
      </c>
      <c r="E42" s="146">
        <f>HLOOKUP($D42,'23'!$C$105:$AF$113,E$68,FALSE)</f>
        <v>1144.5056999999999</v>
      </c>
      <c r="F42" s="146">
        <f>HLOOKUP($D42,'23'!$C$105:$AF$113,F$68,FALSE)</f>
        <v>2.13</v>
      </c>
      <c r="G42" s="147" t="str">
        <f>HLOOKUP($D42,'23'!$C$105:$AF$113,G$68,FALSE)</f>
        <v>$\phi8@17$</v>
      </c>
      <c r="I42" s="267" t="str">
        <f>IF(G42='[1]Tabla 23'!G42,"IGUAL","CAMBIO")</f>
        <v>IGUAL</v>
      </c>
    </row>
    <row r="43" spans="4:9" hidden="1" x14ac:dyDescent="0.25">
      <c r="D43" s="145" t="str">
        <f>'23'!E104&amp;"-"&amp;'23'!F104</f>
        <v>2304-2316</v>
      </c>
      <c r="E43" s="146">
        <f>HLOOKUP($D43,'23'!$C$105:$AF$113,E$68,FALSE)</f>
        <v>1150.2059400000001</v>
      </c>
      <c r="F43" s="146">
        <f>HLOOKUP($D43,'23'!$C$105:$AF$113,F$68,FALSE)</f>
        <v>2.1399999999999997</v>
      </c>
      <c r="G43" s="147" t="str">
        <f>HLOOKUP($D43,'23'!$C$105:$AF$113,G$68,FALSE)</f>
        <v>$\phi8@17$</v>
      </c>
      <c r="I43" s="267" t="str">
        <f>IF(G43='[1]Tabla 23'!G43,"IGUAL","CAMBIO")</f>
        <v>IGUAL</v>
      </c>
    </row>
    <row r="44" spans="4:9" x14ac:dyDescent="0.25">
      <c r="D44" s="145" t="str">
        <f>'23'!G104&amp;"-"&amp;'23'!H104</f>
        <v>2304-2310</v>
      </c>
      <c r="E44" s="146">
        <f>HLOOKUP($D44,'23'!$C$105:$AF$113,E$68,FALSE)</f>
        <v>1659.0857104388297</v>
      </c>
      <c r="F44" s="146">
        <f>HLOOKUP($D44,'23'!$C$105:$AF$113,F$68,FALSE)</f>
        <v>3.09</v>
      </c>
      <c r="G44" s="147" t="str">
        <f>HLOOKUP($D44,'23'!$C$105:$AF$113,G$68,FALSE)</f>
        <v>$\phi10@25$</v>
      </c>
      <c r="I44" s="267" t="str">
        <f>IF(G44='[1]Tabla 23'!G44,"IGUAL","CAMBIO")</f>
        <v>IGUAL</v>
      </c>
    </row>
    <row r="45" spans="4:9" x14ac:dyDescent="0.25">
      <c r="D45" s="145" t="str">
        <f>'23'!I104&amp;"-"&amp;'23'!J104</f>
        <v>2304-2311</v>
      </c>
      <c r="E45" s="146">
        <f>HLOOKUP($D45,'23'!$C$105:$AF$113,E$68,FALSE)</f>
        <v>1849.676205393145</v>
      </c>
      <c r="F45" s="146">
        <f>HLOOKUP($D45,'23'!$C$105:$AF$113,F$68,FALSE)</f>
        <v>3.4499999999999997</v>
      </c>
      <c r="G45" s="147" t="str">
        <f>HLOOKUP($D45,'23'!$C$105:$AF$113,G$68,FALSE)</f>
        <v>$\phi10@23$</v>
      </c>
      <c r="I45" s="267" t="str">
        <f>IF(G45='[1]Tabla 23'!G45,"IGUAL","CAMBIO")</f>
        <v>IGUAL</v>
      </c>
    </row>
    <row r="46" spans="4:9" hidden="1" x14ac:dyDescent="0.25">
      <c r="D46" s="145" t="str">
        <f>'23'!K104&amp;"-"&amp;'23'!L104</f>
        <v>2305-2320</v>
      </c>
      <c r="E46" s="146">
        <f>HLOOKUP($D46,'23'!$C$105:$AF$113,E$68,FALSE)</f>
        <v>1096.9473631395347</v>
      </c>
      <c r="F46" s="146">
        <f>HLOOKUP($D46,'23'!$C$105:$AF$113,F$68,FALSE)</f>
        <v>2.0399999999999996</v>
      </c>
      <c r="G46" s="147" t="str">
        <f>HLOOKUP($D46,'23'!$C$105:$AF$113,G$68,FALSE)</f>
        <v>$\phi8@17$</v>
      </c>
      <c r="I46" s="267" t="str">
        <f>IF(G46='[1]Tabla 23'!G46,"IGUAL","CAMBIO")</f>
        <v>IGUAL</v>
      </c>
    </row>
    <row r="47" spans="4:9" x14ac:dyDescent="0.25">
      <c r="D47" s="145" t="str">
        <f>'23'!M104&amp;"-"&amp;'23'!N104</f>
        <v>2305-2306</v>
      </c>
      <c r="E47" s="146">
        <f>HLOOKUP($D47,'23'!$C$105:$AF$113,E$68,FALSE)</f>
        <v>1363.2058780405737</v>
      </c>
      <c r="F47" s="146">
        <f>HLOOKUP($D47,'23'!$C$105:$AF$113,F$68,FALSE)</f>
        <v>2.5399999999999996</v>
      </c>
      <c r="G47" s="147" t="str">
        <f>HLOOKUP($D47,'23'!$C$105:$AF$113,G$68,FALSE)</f>
        <v>$\phi8@17$</v>
      </c>
      <c r="I47" s="267" t="str">
        <f>IF(G47='[1]Tabla 23'!G47,"IGUAL","CAMBIO")</f>
        <v>IGUAL</v>
      </c>
    </row>
    <row r="48" spans="4:9" hidden="1" x14ac:dyDescent="0.25">
      <c r="D48" s="145" t="str">
        <f>'23'!O104&amp;"-"&amp;'23'!P104</f>
        <v>2305-2319</v>
      </c>
      <c r="E48" s="146">
        <f>HLOOKUP($D48,'23'!$C$105:$AF$113,E$68,FALSE)</f>
        <v>1303.6838037096772</v>
      </c>
      <c r="F48" s="146">
        <f>HLOOKUP($D48,'23'!$C$105:$AF$113,F$68,FALSE)</f>
        <v>2.4299999999999997</v>
      </c>
      <c r="G48" s="147" t="str">
        <f>HLOOKUP($D48,'23'!$C$105:$AF$113,G$68,FALSE)</f>
        <v>$\phi8@17$</v>
      </c>
      <c r="I48" s="267" t="str">
        <f>IF(G48='[1]Tabla 23'!G48,"IGUAL","CAMBIO")</f>
        <v>IGUAL</v>
      </c>
    </row>
    <row r="49" spans="4:9" hidden="1" x14ac:dyDescent="0.25">
      <c r="D49" s="145" t="str">
        <f>'23'!Q104&amp;"-"&amp;'23'!R104</f>
        <v>2306-2319</v>
      </c>
      <c r="E49" s="146">
        <f>HLOOKUP($D49,'23'!$C$105:$AF$113,E$68,FALSE)</f>
        <v>764.00598568965506</v>
      </c>
      <c r="F49" s="146">
        <f>HLOOKUP($D49,'23'!$C$105:$AF$113,F$68,FALSE)</f>
        <v>1.42</v>
      </c>
      <c r="G49" s="147" t="str">
        <f>HLOOKUP($D49,'23'!$C$105:$AF$113,G$68,FALSE)</f>
        <v>$\phi8@17$</v>
      </c>
      <c r="I49" s="267" t="str">
        <f>IF(G49='[1]Tabla 23'!G49,"IGUAL","CAMBIO")</f>
        <v>IGUAL</v>
      </c>
    </row>
    <row r="50" spans="4:9" x14ac:dyDescent="0.25">
      <c r="D50" s="145" t="str">
        <f>'23'!S104&amp;"-"&amp;'23'!T104</f>
        <v>2306-2308</v>
      </c>
      <c r="E50" s="146">
        <f>HLOOKUP($D50,'23'!$C$105:$AF$113,E$68,FALSE)</f>
        <v>748.989620689655</v>
      </c>
      <c r="F50" s="146">
        <f>HLOOKUP($D50,'23'!$C$105:$AF$113,F$68,FALSE)</f>
        <v>1.4</v>
      </c>
      <c r="G50" s="147" t="str">
        <f>HLOOKUP($D50,'23'!$C$105:$AF$113,G$68,FALSE)</f>
        <v>$\phi8@17$</v>
      </c>
      <c r="I50" s="267" t="str">
        <f>IF(G50='[1]Tabla 23'!G50,"IGUAL","CAMBIO")</f>
        <v>IGUAL</v>
      </c>
    </row>
    <row r="51" spans="4:9" x14ac:dyDescent="0.25">
      <c r="D51" s="145" t="str">
        <f>'23'!U104&amp;"-"&amp;'23'!V104</f>
        <v>2306-2307</v>
      </c>
      <c r="E51" s="146">
        <f>HLOOKUP($D51,'23'!$C$105:$AF$113,E$68,FALSE)</f>
        <v>848.92221252417778</v>
      </c>
      <c r="F51" s="146">
        <f>HLOOKUP($D51,'23'!$C$105:$AF$113,F$68,FALSE)</f>
        <v>1.58</v>
      </c>
      <c r="G51" s="147" t="str">
        <f>HLOOKUP($D51,'23'!$C$105:$AF$113,G$68,FALSE)</f>
        <v>$\phi8@17$</v>
      </c>
      <c r="I51" s="267" t="str">
        <f>IF(G51='[1]Tabla 23'!G51,"IGUAL","CAMBIO")</f>
        <v>IGUAL</v>
      </c>
    </row>
    <row r="52" spans="4:9" x14ac:dyDescent="0.25">
      <c r="D52" s="145" t="str">
        <f>'23'!W104&amp;"-"&amp;'23'!X104</f>
        <v>2306-2322</v>
      </c>
      <c r="E52" s="146">
        <f>HLOOKUP($D52,'23'!$C$105:$AF$113,E$68,FALSE)</f>
        <v>840.13847121401739</v>
      </c>
      <c r="F52" s="146">
        <f>HLOOKUP($D52,'23'!$C$105:$AF$113,F$68,FALSE)</f>
        <v>1.57</v>
      </c>
      <c r="G52" s="147" t="str">
        <f>HLOOKUP($D52,'23'!$C$105:$AF$113,G$68,FALSE)</f>
        <v>$\phi8@17$</v>
      </c>
      <c r="I52" s="267" t="str">
        <f>IF(G52='[1]Tabla 23'!G52,"IGUAL","CAMBIO")</f>
        <v>IGUAL</v>
      </c>
    </row>
    <row r="53" spans="4:9" x14ac:dyDescent="0.25">
      <c r="D53" s="145" t="str">
        <f>'23'!Y104&amp;"-"&amp;'23'!Z104</f>
        <v>2307-2308</v>
      </c>
      <c r="E53" s="146">
        <f>HLOOKUP($D53,'23'!$C$105:$AF$113,E$68,FALSE)</f>
        <v>230.41532926829268</v>
      </c>
      <c r="F53" s="146">
        <f>HLOOKUP($D53,'23'!$C$105:$AF$113,F$68,FALSE)</f>
        <v>0.43</v>
      </c>
      <c r="G53" s="147" t="str">
        <f>HLOOKUP($D53,'23'!$C$105:$AF$113,G$68,FALSE)</f>
        <v>$\phi8@17$</v>
      </c>
      <c r="I53" s="267" t="str">
        <f>IF(G53='[1]Tabla 23'!G53,"IGUAL","CAMBIO")</f>
        <v>IGUAL</v>
      </c>
    </row>
    <row r="54" spans="4:9" hidden="1" x14ac:dyDescent="0.25">
      <c r="D54" s="145" t="str">
        <f>'23'!C115&amp;"-"&amp;'23'!D115</f>
        <v>2307-2322</v>
      </c>
      <c r="E54" s="146">
        <f>HLOOKUP($D54,'23'!$C$116:$AF$124,E$68,FALSE)</f>
        <v>406.52734219366147</v>
      </c>
      <c r="F54" s="146">
        <f>HLOOKUP($D54,'23'!$C$116:$AF$124,F$68,FALSE)</f>
        <v>0.76</v>
      </c>
      <c r="G54" s="147" t="str">
        <f>HLOOKUP($D54,'23'!$C$116:$AF$124,G$68,FALSE)</f>
        <v>$\phi8@17$</v>
      </c>
      <c r="I54" s="267" t="str">
        <f>IF(G54='[1]Tabla 23'!G54,"IGUAL","CAMBIO")</f>
        <v>IGUAL</v>
      </c>
    </row>
    <row r="55" spans="4:9" x14ac:dyDescent="0.25">
      <c r="D55" s="145" t="str">
        <f>'23'!E115&amp;"-"&amp;'23'!F115</f>
        <v>2308-2309</v>
      </c>
      <c r="E55" s="146">
        <f>HLOOKUP($D55,'23'!$C$116:$AF$124,E$68,FALSE)</f>
        <v>302.65169999999995</v>
      </c>
      <c r="F55" s="146">
        <f>HLOOKUP($D55,'23'!$C$116:$AF$124,F$68,FALSE)</f>
        <v>0.57000000000000006</v>
      </c>
      <c r="G55" s="147" t="str">
        <f>HLOOKUP($D55,'23'!$C$116:$AF$124,G$68,FALSE)</f>
        <v>$\phi8@17$</v>
      </c>
      <c r="I55" s="267" t="str">
        <f>IF(G55='[1]Tabla 23'!G55,"IGUAL","CAMBIO")</f>
        <v>IGUAL</v>
      </c>
    </row>
    <row r="56" spans="4:9" x14ac:dyDescent="0.25">
      <c r="D56" s="145" t="str">
        <f>'23'!G115&amp;"-"&amp;'23'!H115</f>
        <v>2308-2310</v>
      </c>
      <c r="E56" s="146">
        <f>HLOOKUP($D56,'23'!$C$116:$AF$124,E$68,FALSE)</f>
        <v>805.54748936170199</v>
      </c>
      <c r="F56" s="146">
        <f>HLOOKUP($D56,'23'!$C$116:$AF$124,F$68,FALSE)</f>
        <v>1.5</v>
      </c>
      <c r="G56" s="147" t="str">
        <f>HLOOKUP($D56,'23'!$C$116:$AF$124,G$68,FALSE)</f>
        <v>$\phi8@17$</v>
      </c>
      <c r="I56" s="267" t="str">
        <f>IF(G56='[1]Tabla 23'!G56,"IGUAL","CAMBIO")</f>
        <v>IGUAL</v>
      </c>
    </row>
    <row r="57" spans="4:9" x14ac:dyDescent="0.25">
      <c r="D57" s="145" t="str">
        <f>'23'!I115&amp;"-"&amp;'23'!J115</f>
        <v>2309-2322</v>
      </c>
      <c r="E57" s="146">
        <f>HLOOKUP($D57,'23'!$C$116:$AF$124,E$68,FALSE)</f>
        <v>492.26902941176462</v>
      </c>
      <c r="F57" s="146">
        <f>HLOOKUP($D57,'23'!$C$116:$AF$124,F$68,FALSE)</f>
        <v>0.92</v>
      </c>
      <c r="G57" s="147" t="str">
        <f>HLOOKUP($D57,'23'!$C$116:$AF$124,G$68,FALSE)</f>
        <v>$\phi8@17$</v>
      </c>
      <c r="I57" s="267" t="str">
        <f>IF(G57='[1]Tabla 23'!G57,"IGUAL","CAMBIO")</f>
        <v>IGUAL</v>
      </c>
    </row>
    <row r="58" spans="4:9" x14ac:dyDescent="0.25">
      <c r="D58" s="145" t="str">
        <f>'23'!K115&amp;"-"&amp;'23'!L115</f>
        <v>2309-2310</v>
      </c>
      <c r="E58" s="146">
        <f>HLOOKUP($D58,'23'!$C$116:$AF$124,E$68,FALSE)</f>
        <v>837.18610344827584</v>
      </c>
      <c r="F58" s="146">
        <f>HLOOKUP($D58,'23'!$C$116:$AF$124,F$68,FALSE)</f>
        <v>1.56</v>
      </c>
      <c r="G58" s="147" t="str">
        <f>HLOOKUP($D58,'23'!$C$116:$AF$124,G$68,FALSE)</f>
        <v>$\phi8@17$</v>
      </c>
      <c r="I58" s="267" t="str">
        <f>IF(G58='[1]Tabla 23'!G58,"IGUAL","CAMBIO")</f>
        <v>IGUAL</v>
      </c>
    </row>
    <row r="59" spans="4:9" ht="15.75" thickBot="1" x14ac:dyDescent="0.3">
      <c r="D59" s="132" t="str">
        <f>'23'!M115&amp;"-"&amp;'23'!N115</f>
        <v>2310-2311</v>
      </c>
      <c r="E59" s="149">
        <f>HLOOKUP($D59,'23'!$C$116:$AF$124,E$68,FALSE)</f>
        <v>1268.3673024538894</v>
      </c>
      <c r="F59" s="149">
        <f>HLOOKUP($D59,'23'!$C$116:$AF$124,F$68,FALSE)</f>
        <v>2.36</v>
      </c>
      <c r="G59" s="150" t="str">
        <f>HLOOKUP($D59,'23'!$C$116:$AF$124,G$68,FALSE)</f>
        <v>$\phi8@17$</v>
      </c>
      <c r="I59" s="268" t="str">
        <f>IF(G59='[1]Tabla 23'!G59,"IGUAL","CAMBIO")</f>
        <v>IGUAL</v>
      </c>
    </row>
    <row r="60" spans="4:9" hidden="1" x14ac:dyDescent="0.25">
      <c r="D60" s="145" t="str">
        <f>'23'!O115&amp;"-"&amp;'23'!P115</f>
        <v>2310-2318</v>
      </c>
      <c r="E60" s="146">
        <f>HLOOKUP($D60,'23'!$C$116:$AF$124,E$68,FALSE)</f>
        <v>820.56385436170194</v>
      </c>
      <c r="F60" s="146">
        <f>HLOOKUP($D60,'23'!$C$116:$AF$124,F$68,FALSE)</f>
        <v>1.53</v>
      </c>
      <c r="G60" s="147" t="str">
        <f>HLOOKUP($D60,'23'!$C$116:$AF$124,G$68,FALSE)</f>
        <v>$\phi8@17$</v>
      </c>
    </row>
    <row r="61" spans="4:9" hidden="1" x14ac:dyDescent="0.25">
      <c r="D61" s="145" t="str">
        <f>'23'!Q115&amp;"-"&amp;'23'!R115</f>
        <v>2311-2318</v>
      </c>
      <c r="E61" s="146">
        <f>HLOOKUP($D61,'23'!$C$116:$AF$124,E$68,FALSE)</f>
        <v>1219.3717166129031</v>
      </c>
      <c r="F61" s="146">
        <f>HLOOKUP($D61,'23'!$C$116:$AF$124,F$68,FALSE)</f>
        <v>2.2699999999999996</v>
      </c>
      <c r="G61" s="147" t="str">
        <f>HLOOKUP($D61,'23'!$C$116:$AF$124,G$68,FALSE)</f>
        <v>$\phi8@17$</v>
      </c>
    </row>
    <row r="62" spans="4:9" hidden="1" x14ac:dyDescent="0.25">
      <c r="D62" s="145" t="str">
        <f>'23'!S115&amp;"-"&amp;'23'!T115</f>
        <v>2311-2317</v>
      </c>
      <c r="E62" s="146">
        <f>HLOOKUP($D62,'23'!$C$116:$AF$124,E$68,FALSE)</f>
        <v>1040.4080790697674</v>
      </c>
      <c r="F62" s="146">
        <f>HLOOKUP($D62,'23'!$C$116:$AF$124,F$68,FALSE)</f>
        <v>1.94</v>
      </c>
      <c r="G62" s="147" t="str">
        <f>HLOOKUP($D62,'23'!$C$116:$AF$124,G$68,FALSE)</f>
        <v>$\phi8@17$</v>
      </c>
    </row>
    <row r="63" spans="4:9" hidden="1" x14ac:dyDescent="0.25">
      <c r="D63" s="145" t="str">
        <f>'23'!U115&amp;"-"&amp;'23'!V115</f>
        <v>2313-2314</v>
      </c>
      <c r="E63" s="146">
        <f>HLOOKUP($D63,'23'!$C$116:$AF$124,E$68,FALSE)</f>
        <v>165.99128000000002</v>
      </c>
      <c r="F63" s="146">
        <f>HLOOKUP($D63,'23'!$C$116:$AF$124,F$68,FALSE)</f>
        <v>0.31</v>
      </c>
      <c r="G63" s="147" t="str">
        <f>HLOOKUP($D63,'23'!$C$116:$AF$124,G$68,FALSE)</f>
        <v>$\phi8@17$</v>
      </c>
    </row>
    <row r="64" spans="4:9" hidden="1" x14ac:dyDescent="0.25">
      <c r="D64" s="145" t="str">
        <f>'23'!W115&amp;"-"&amp;'23'!X115</f>
        <v>2312-2321</v>
      </c>
      <c r="E64" s="146">
        <f>HLOOKUP($D64,'23'!$C$116:$AF$124,E$68,FALSE)</f>
        <v>174.09926625000003</v>
      </c>
      <c r="F64" s="146">
        <f>HLOOKUP($D64,'23'!$C$116:$AF$124,F$68,FALSE)</f>
        <v>0.33</v>
      </c>
      <c r="G64" s="147" t="str">
        <f>HLOOKUP($D64,'23'!$C$116:$AF$124,G$68,FALSE)</f>
        <v>$\phi8@17$</v>
      </c>
    </row>
    <row r="65" spans="4:7" hidden="1" x14ac:dyDescent="0.25">
      <c r="D65" s="237" t="str">
        <f>'23'!Y115&amp;"-"&amp;'23'!Z115</f>
        <v>2315-2316</v>
      </c>
      <c r="E65" s="146">
        <f>HLOOKUP($D65,'23'!$C$116:$AF$124,E$68,FALSE)</f>
        <v>179.28557237500002</v>
      </c>
      <c r="F65" s="146">
        <f>HLOOKUP($D65,'23'!$C$116:$AF$124,F$68,FALSE)</f>
        <v>0.34</v>
      </c>
      <c r="G65" s="147" t="str">
        <f>HLOOKUP($D65,'23'!$C$116:$AF$124,G$68,FALSE)</f>
        <v>$\phi8@17$</v>
      </c>
    </row>
    <row r="66" spans="4:7" hidden="1" x14ac:dyDescent="0.25">
      <c r="D66" s="237" t="str">
        <f>'23'!AA115&amp;"-"&amp;'23'!AB115</f>
        <v>2317-2318</v>
      </c>
      <c r="E66" s="146">
        <f>HLOOKUP($D66,'23'!$C$116:$AF$124,E$68,FALSE)</f>
        <v>147.04512550000004</v>
      </c>
      <c r="F66" s="146">
        <f>HLOOKUP($D66,'23'!$C$116:$AF$124,F$68,FALSE)</f>
        <v>0.28000000000000003</v>
      </c>
      <c r="G66" s="147" t="str">
        <f>HLOOKUP($D66,'23'!$C$116:$AF$124,G$68,FALSE)</f>
        <v>$\phi8@17$</v>
      </c>
    </row>
    <row r="67" spans="4:7" ht="15.75" hidden="1" thickBot="1" x14ac:dyDescent="0.3">
      <c r="D67" s="132" t="str">
        <f>'23'!AC115&amp;"-"&amp;'23'!AD115</f>
        <v>2319-2320</v>
      </c>
      <c r="E67" s="149">
        <f>HLOOKUP($D67,'23'!$C$116:$AF$124,E$68,FALSE)</f>
        <v>140.63676900000002</v>
      </c>
      <c r="F67" s="149">
        <f>HLOOKUP($D67,'23'!$C$116:$AF$124,F$68,FALSE)</f>
        <v>0.27</v>
      </c>
      <c r="G67" s="150" t="str">
        <f>HLOOKUP($D67,'23'!$C$116:$AF$124,G$68,FALSE)</f>
        <v>$\phi8@17$</v>
      </c>
    </row>
    <row r="68" spans="4:7" x14ac:dyDescent="0.25">
      <c r="D68" s="121"/>
      <c r="E68" s="121">
        <v>5</v>
      </c>
      <c r="F68" s="121">
        <v>8</v>
      </c>
      <c r="G68" s="121">
        <v>9</v>
      </c>
    </row>
  </sheetData>
  <mergeCells count="12">
    <mergeCell ref="D28:E28"/>
    <mergeCell ref="B2:G2"/>
    <mergeCell ref="H2:J2"/>
    <mergeCell ref="K2:M2"/>
    <mergeCell ref="B3:B4"/>
    <mergeCell ref="D3:D4"/>
    <mergeCell ref="E3:E4"/>
    <mergeCell ref="F3:G3"/>
    <mergeCell ref="H3:I3"/>
    <mergeCell ref="J3:K3"/>
    <mergeCell ref="L3:M3"/>
    <mergeCell ref="C3:C4"/>
  </mergeCells>
  <conditionalFormatting sqref="I30:I58">
    <cfRule type="containsText" dxfId="16" priority="5" operator="containsText" text="CAMBIO">
      <formula>NOT(ISERROR(SEARCH("CAMBIO",I30)))</formula>
    </cfRule>
  </conditionalFormatting>
  <conditionalFormatting sqref="P5:S24">
    <cfRule type="containsText" dxfId="15" priority="4" operator="containsText" text="CAMBIO">
      <formula>NOT(ISERROR(SEARCH("CAMBIO",P5)))</formula>
    </cfRule>
  </conditionalFormatting>
  <conditionalFormatting sqref="P25:S25">
    <cfRule type="containsText" dxfId="14" priority="3" operator="containsText" text="CAMBIO">
      <formula>NOT(ISERROR(SEARCH("CAMBIO",P25)))</formula>
    </cfRule>
  </conditionalFormatting>
  <conditionalFormatting sqref="P25:S25">
    <cfRule type="containsText" dxfId="13" priority="2" operator="containsText" text="CAMBIO">
      <formula>NOT(ISERROR(SEARCH("CAMBIO",P25)))</formula>
    </cfRule>
  </conditionalFormatting>
  <conditionalFormatting sqref="P26:S26">
    <cfRule type="containsText" dxfId="12" priority="1" operator="containsText" text="CAMBIO">
      <formula>NOT(ISERROR(SEARCH("CAMBIO",P26)))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EA37-D073-48E3-A36C-EE045226CB78}">
  <dimension ref="A2:AG102"/>
  <sheetViews>
    <sheetView showGridLines="0" topLeftCell="A59" zoomScale="70" zoomScaleNormal="70" workbookViewId="0">
      <selection activeCell="K84" sqref="K84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6" width="17.28515625" customWidth="1"/>
    <col min="7" max="7" width="4.28515625" customWidth="1"/>
    <col min="8" max="8" width="14.140625" bestFit="1" customWidth="1"/>
    <col min="9" max="9" width="17.5703125" bestFit="1" customWidth="1"/>
    <col min="10" max="10" width="4.28515625" customWidth="1"/>
    <col min="11" max="11" width="16.85546875" bestFit="1" customWidth="1"/>
    <col min="12" max="12" width="10.5703125" bestFit="1" customWidth="1"/>
    <col min="13" max="13" width="11.28515625" bestFit="1" customWidth="1"/>
    <col min="14" max="24" width="14.7109375" bestFit="1" customWidth="1"/>
  </cols>
  <sheetData>
    <row r="2" spans="2:21" ht="18.75" x14ac:dyDescent="0.3">
      <c r="B2" s="52" t="s">
        <v>233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1" t="s">
        <v>19</v>
      </c>
      <c r="C4" s="110">
        <v>16</v>
      </c>
      <c r="E4" s="297" t="s">
        <v>29</v>
      </c>
      <c r="F4" s="298"/>
      <c r="H4" s="297" t="s">
        <v>30</v>
      </c>
      <c r="I4" s="298"/>
      <c r="K4" s="297" t="s">
        <v>39</v>
      </c>
      <c r="L4" s="298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187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2.04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07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$\phi8@17$</v>
      </c>
      <c r="I13" s="39"/>
      <c r="J13" s="39"/>
      <c r="K13" s="39"/>
      <c r="L13" s="39"/>
      <c r="M13" s="39"/>
      <c r="N13" s="39"/>
      <c r="O13" s="39"/>
      <c r="P13" s="107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07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08"/>
      <c r="K15" s="108"/>
      <c r="L15" s="108"/>
      <c r="M15" s="108"/>
      <c r="N15" s="108"/>
      <c r="O15" s="108"/>
      <c r="P15" s="108"/>
      <c r="Q15" s="108"/>
      <c r="T15" s="40"/>
      <c r="U15" s="41"/>
    </row>
    <row r="16" spans="2:21" hidden="1" x14ac:dyDescent="0.25">
      <c r="B16" s="63" t="s">
        <v>234</v>
      </c>
      <c r="C16" s="6">
        <v>2.1</v>
      </c>
      <c r="D16" s="6">
        <v>4.04</v>
      </c>
      <c r="E16" s="6">
        <v>16</v>
      </c>
      <c r="F16" s="6" t="s">
        <v>9</v>
      </c>
      <c r="G16" s="6">
        <v>100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235</v>
      </c>
      <c r="C17" s="6">
        <v>2.3199999999999998</v>
      </c>
      <c r="D17" s="6">
        <v>4.3</v>
      </c>
      <c r="E17" s="6">
        <v>16</v>
      </c>
      <c r="F17" s="6">
        <v>6</v>
      </c>
      <c r="G17" s="6">
        <v>100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t="15.75" hidden="1" thickBot="1" x14ac:dyDescent="0.3">
      <c r="B18" s="66" t="s">
        <v>236</v>
      </c>
      <c r="C18" s="9">
        <v>2.9</v>
      </c>
      <c r="D18" s="9">
        <v>6.36</v>
      </c>
      <c r="E18" s="9">
        <v>16</v>
      </c>
      <c r="F18" s="9">
        <v>6</v>
      </c>
      <c r="G18" s="9">
        <v>100</v>
      </c>
      <c r="H18" s="9" t="s">
        <v>187</v>
      </c>
      <c r="I18" s="10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4"/>
      <c r="C19" s="6"/>
      <c r="D19" s="6"/>
      <c r="E19" s="6"/>
      <c r="F19" s="6"/>
      <c r="G19" s="6"/>
      <c r="H19" s="6"/>
      <c r="I19" s="6"/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4"/>
      <c r="C20" s="6"/>
      <c r="D20" s="6"/>
      <c r="E20" s="6"/>
      <c r="F20" s="6"/>
      <c r="G20" s="6"/>
      <c r="H20" s="6"/>
      <c r="I20" s="6"/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4"/>
      <c r="C21" s="6"/>
      <c r="D21" s="6"/>
      <c r="E21" s="6"/>
      <c r="F21" s="6"/>
      <c r="G21" s="6"/>
      <c r="H21" s="6"/>
      <c r="I21" s="6"/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4"/>
      <c r="C22" s="6"/>
      <c r="D22" s="6"/>
      <c r="E22" s="6"/>
      <c r="F22" s="6"/>
      <c r="G22" s="6"/>
      <c r="H22" s="6"/>
      <c r="I22" s="6"/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4"/>
      <c r="C23" s="6"/>
      <c r="D23" s="6"/>
      <c r="E23" s="6"/>
      <c r="F23" s="6"/>
      <c r="G23" s="6"/>
      <c r="H23" s="6"/>
      <c r="I23" s="6"/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4"/>
      <c r="C24" s="6"/>
      <c r="D24" s="6"/>
      <c r="E24" s="6"/>
      <c r="F24" s="6"/>
      <c r="G24" s="6"/>
      <c r="H24" s="6"/>
      <c r="I24" s="6"/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4"/>
      <c r="C25" s="6"/>
      <c r="D25" s="6"/>
      <c r="E25" s="6"/>
      <c r="F25" s="6"/>
      <c r="G25" s="6"/>
      <c r="H25" s="6"/>
      <c r="I25" s="6"/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4"/>
      <c r="C26" s="6"/>
      <c r="D26" s="6"/>
      <c r="E26" s="6"/>
      <c r="F26" s="6"/>
      <c r="G26" s="6"/>
      <c r="H26" s="6"/>
      <c r="I26" s="6"/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4"/>
      <c r="C27" s="6"/>
      <c r="D27" s="6"/>
      <c r="E27" s="6"/>
      <c r="F27" s="6"/>
      <c r="G27" s="6"/>
      <c r="H27" s="6"/>
      <c r="I27" s="6"/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4"/>
      <c r="C28" s="6"/>
      <c r="D28" s="6"/>
      <c r="E28" s="6"/>
      <c r="F28" s="6"/>
      <c r="G28" s="6"/>
      <c r="H28" s="6"/>
      <c r="I28" s="6"/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4"/>
      <c r="C29" s="6"/>
      <c r="D29" s="6"/>
      <c r="E29" s="6"/>
      <c r="F29" s="6"/>
      <c r="G29" s="6"/>
      <c r="H29" s="6"/>
      <c r="I29" s="6"/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4"/>
      <c r="C30" s="6"/>
      <c r="D30" s="6"/>
      <c r="E30" s="6"/>
      <c r="F30" s="6"/>
      <c r="G30" s="6"/>
      <c r="H30" s="6"/>
      <c r="I30" s="6"/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4"/>
      <c r="C31" s="6"/>
      <c r="D31" s="6"/>
      <c r="E31" s="6"/>
      <c r="F31" s="6"/>
      <c r="G31" s="6"/>
      <c r="H31" s="6"/>
      <c r="I31" s="6"/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4"/>
      <c r="C32" s="6"/>
      <c r="D32" s="6"/>
      <c r="E32" s="6"/>
      <c r="F32" s="6"/>
      <c r="G32" s="6"/>
      <c r="H32" s="6"/>
      <c r="I32" s="6"/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1:21" hidden="1" x14ac:dyDescent="0.25">
      <c r="B33" s="64"/>
      <c r="C33" s="6"/>
      <c r="D33" s="6"/>
      <c r="E33" s="6"/>
      <c r="F33" s="6"/>
      <c r="G33" s="6"/>
      <c r="H33" s="6"/>
      <c r="I33" s="6"/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1:21" hidden="1" x14ac:dyDescent="0.25">
      <c r="B34" s="64"/>
      <c r="C34" s="6"/>
      <c r="D34" s="6"/>
      <c r="E34" s="6"/>
      <c r="F34" s="6"/>
      <c r="G34" s="6"/>
      <c r="H34" s="6"/>
      <c r="I34" s="6"/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1:21" hidden="1" x14ac:dyDescent="0.25">
      <c r="B35" s="64"/>
      <c r="C35" s="6"/>
      <c r="D35" s="6"/>
      <c r="E35" s="6"/>
      <c r="F35" s="6"/>
      <c r="G35" s="6"/>
      <c r="H35" s="6"/>
      <c r="I35" s="6"/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1:21" hidden="1" x14ac:dyDescent="0.25">
      <c r="B36" s="64"/>
      <c r="C36" s="6"/>
      <c r="D36" s="6"/>
      <c r="E36" s="6"/>
      <c r="F36" s="6"/>
      <c r="G36" s="6"/>
      <c r="H36" s="6"/>
      <c r="I36" s="6"/>
      <c r="J36" s="64"/>
      <c r="K36" s="6"/>
      <c r="L36" s="6"/>
      <c r="M36" s="6"/>
      <c r="N36" s="6"/>
      <c r="O36" s="6"/>
      <c r="P36" s="6"/>
      <c r="Q36" s="6"/>
      <c r="T36" s="40"/>
      <c r="U36" s="41"/>
    </row>
    <row r="37" spans="1:21" hidden="1" x14ac:dyDescent="0.25">
      <c r="B37" s="64"/>
      <c r="C37" s="6"/>
      <c r="D37" s="6"/>
      <c r="E37" s="6"/>
      <c r="F37" s="6"/>
      <c r="G37" s="6"/>
      <c r="H37" s="6"/>
      <c r="I37" s="6"/>
      <c r="J37" s="64"/>
      <c r="K37" s="6"/>
      <c r="L37" s="6"/>
      <c r="M37" s="6"/>
      <c r="N37" s="6"/>
      <c r="O37" s="6"/>
      <c r="P37" s="6"/>
      <c r="Q37" s="6"/>
      <c r="T37" s="40"/>
      <c r="U37" s="41"/>
    </row>
    <row r="38" spans="1:21" hidden="1" x14ac:dyDescent="0.25">
      <c r="B38" s="64"/>
      <c r="C38" s="6"/>
      <c r="D38" s="6"/>
      <c r="E38" s="6"/>
      <c r="F38" s="6"/>
      <c r="G38" s="6"/>
      <c r="H38" s="6"/>
      <c r="I38" s="6"/>
      <c r="J38" s="64"/>
      <c r="K38" s="6"/>
      <c r="L38" s="6"/>
      <c r="M38" s="6"/>
      <c r="N38" s="6"/>
      <c r="O38" s="6"/>
      <c r="P38" s="6"/>
      <c r="Q38" s="6"/>
      <c r="T38" s="40"/>
      <c r="U38" s="41"/>
    </row>
    <row r="39" spans="1:21" hidden="1" x14ac:dyDescent="0.25">
      <c r="B39" s="64"/>
      <c r="C39" s="6"/>
      <c r="D39" s="6"/>
      <c r="E39" s="6"/>
      <c r="F39" s="6"/>
      <c r="G39" s="6"/>
      <c r="H39" s="6"/>
      <c r="I39" s="6"/>
      <c r="J39" s="64"/>
      <c r="K39" s="6"/>
      <c r="L39" s="6"/>
      <c r="M39" s="6"/>
      <c r="N39" s="6"/>
      <c r="O39" s="6"/>
      <c r="P39" s="6"/>
      <c r="Q39" s="6"/>
      <c r="T39" s="40"/>
      <c r="U39" s="41"/>
    </row>
    <row r="40" spans="1:21" hidden="1" x14ac:dyDescent="0.25">
      <c r="B40" s="64"/>
      <c r="C40" s="6"/>
      <c r="D40" s="6"/>
      <c r="E40" s="6"/>
      <c r="F40" s="6"/>
      <c r="G40" s="6"/>
      <c r="H40" s="6"/>
      <c r="I40" s="6"/>
      <c r="J40" s="64"/>
      <c r="K40" s="6"/>
      <c r="L40" s="6"/>
      <c r="M40" s="6"/>
      <c r="N40" s="6"/>
      <c r="O40" s="6"/>
      <c r="P40" s="6"/>
      <c r="Q40" s="6"/>
      <c r="T40" s="40"/>
      <c r="U40" s="41"/>
    </row>
    <row r="41" spans="1:21" hidden="1" x14ac:dyDescent="0.25">
      <c r="B41" s="64"/>
      <c r="C41" s="6"/>
      <c r="D41" s="6"/>
      <c r="E41" s="6"/>
      <c r="F41" s="6"/>
      <c r="G41" s="6"/>
      <c r="H41" s="6"/>
      <c r="I41" s="6"/>
      <c r="J41" s="64"/>
      <c r="K41" s="6"/>
      <c r="L41" s="6"/>
      <c r="M41" s="6"/>
      <c r="N41" s="6"/>
      <c r="O41" s="6"/>
      <c r="P41" s="6"/>
      <c r="Q41" s="6"/>
      <c r="T41" s="40"/>
      <c r="U41" s="41"/>
    </row>
    <row r="42" spans="1:21" hidden="1" x14ac:dyDescent="0.25">
      <c r="B42" s="64"/>
      <c r="C42" s="6"/>
      <c r="D42" s="6"/>
      <c r="E42" s="6"/>
      <c r="F42" s="6"/>
      <c r="G42" s="6"/>
      <c r="H42" s="6"/>
      <c r="I42" s="6"/>
      <c r="J42" s="64"/>
      <c r="K42" s="6"/>
      <c r="L42" s="6"/>
      <c r="M42" s="6"/>
      <c r="N42" s="6"/>
      <c r="O42" s="6"/>
      <c r="P42" s="6"/>
      <c r="Q42" s="6"/>
      <c r="T42" s="40"/>
      <c r="U42" s="41"/>
    </row>
    <row r="43" spans="1:21" hidden="1" x14ac:dyDescent="0.25">
      <c r="B43" s="64"/>
      <c r="C43" s="6"/>
      <c r="D43" s="6"/>
      <c r="E43" s="6"/>
      <c r="F43" s="6"/>
      <c r="G43" s="6"/>
      <c r="H43" s="6"/>
      <c r="I43" s="6"/>
      <c r="J43" s="64"/>
      <c r="K43" s="6"/>
      <c r="L43" s="6"/>
      <c r="M43" s="6"/>
      <c r="N43" s="6"/>
      <c r="O43" s="6"/>
      <c r="P43" s="6"/>
      <c r="Q43" s="6"/>
      <c r="T43" s="40"/>
      <c r="U43" s="41"/>
    </row>
    <row r="44" spans="1:21" hidden="1" x14ac:dyDescent="0.25">
      <c r="A44" s="39"/>
      <c r="B44" s="64"/>
      <c r="C44" s="6"/>
      <c r="D44" s="6"/>
      <c r="E44" s="6"/>
      <c r="F44" s="6"/>
      <c r="G44" s="6"/>
      <c r="H44" s="6"/>
      <c r="I44" s="6"/>
      <c r="J44" s="64"/>
      <c r="K44" s="6"/>
      <c r="L44" s="6"/>
      <c r="M44" s="6"/>
      <c r="N44" s="6"/>
      <c r="O44" s="6"/>
      <c r="P44" s="6"/>
      <c r="Q44" s="6"/>
      <c r="T44" s="40"/>
      <c r="U44" s="41"/>
    </row>
    <row r="45" spans="1:21" ht="15.75" thickBot="1" x14ac:dyDescent="0.3">
      <c r="A45" s="39"/>
      <c r="B45" s="64"/>
      <c r="C45" s="6"/>
      <c r="D45" s="6"/>
      <c r="E45" s="6"/>
      <c r="F45" s="109"/>
      <c r="G45" s="6"/>
      <c r="H45" s="6"/>
      <c r="I45" s="6"/>
      <c r="P45" s="40"/>
      <c r="T45" s="40"/>
      <c r="U45" s="41"/>
    </row>
    <row r="46" spans="1:21" ht="15.75" thickBot="1" x14ac:dyDescent="0.3">
      <c r="B46" s="73" t="s">
        <v>43</v>
      </c>
      <c r="C46" s="74" t="s">
        <v>234</v>
      </c>
      <c r="D46" s="74" t="s">
        <v>235</v>
      </c>
      <c r="E46" s="74" t="s">
        <v>236</v>
      </c>
      <c r="F46" s="39"/>
      <c r="G46" s="39"/>
      <c r="H46" s="39"/>
      <c r="I46" s="39"/>
    </row>
    <row r="47" spans="1:21" ht="15.75" thickBot="1" x14ac:dyDescent="0.3">
      <c r="B47" s="71" t="s">
        <v>95</v>
      </c>
      <c r="C47" s="112"/>
      <c r="D47" s="112"/>
      <c r="E47" s="72"/>
      <c r="F47" s="39"/>
      <c r="G47" s="39"/>
      <c r="H47" s="39"/>
      <c r="I47" s="39"/>
    </row>
    <row r="48" spans="1:21" x14ac:dyDescent="0.25">
      <c r="B48" s="94" t="s">
        <v>81</v>
      </c>
      <c r="C48" s="76">
        <f>VLOOKUP(C$46,$B$16:$H$18,2)</f>
        <v>2.1</v>
      </c>
      <c r="D48" s="76">
        <f>VLOOKUP(D$46,$B$16:$H$18,2)</f>
        <v>2.3199999999999998</v>
      </c>
      <c r="E48" s="76">
        <f>VLOOKUP(E$46,$B$16:$H$18,2)</f>
        <v>2.9</v>
      </c>
    </row>
    <row r="49" spans="2:33" x14ac:dyDescent="0.25">
      <c r="B49" s="94" t="s">
        <v>82</v>
      </c>
      <c r="C49" s="76">
        <f>VLOOKUP(C$46,$B$16:$H$18,3)</f>
        <v>4.04</v>
      </c>
      <c r="D49" s="76">
        <f>VLOOKUP(D$46,$B$16:$H$18,3)</f>
        <v>4.3</v>
      </c>
      <c r="E49" s="76">
        <f>VLOOKUP(E$46,$B$16:$H$18,3)</f>
        <v>6.36</v>
      </c>
    </row>
    <row r="50" spans="2:33" x14ac:dyDescent="0.25">
      <c r="B50" s="97" t="s">
        <v>86</v>
      </c>
      <c r="C50" s="76">
        <f>ROUNDUP((C54*C48*100)/C55+$C$5,0)</f>
        <v>6</v>
      </c>
      <c r="D50" s="76">
        <f>ROUNDUP((D54*D48*100)/D55+$C$5,0)</f>
        <v>5</v>
      </c>
      <c r="E50" s="76">
        <f>ROUNDUP((E54*E48*100)/E55+$C$5,0)</f>
        <v>7</v>
      </c>
    </row>
    <row r="51" spans="2:33" ht="15.75" thickBot="1" x14ac:dyDescent="0.3">
      <c r="B51" s="98" t="s">
        <v>0</v>
      </c>
      <c r="C51" s="113" t="str">
        <f>VLOOKUP(C$46,$B$16:$I$18,5)</f>
        <v>5a</v>
      </c>
      <c r="D51" s="113">
        <f>VLOOKUP(D$46,$B$16:$I$18,5)</f>
        <v>6</v>
      </c>
      <c r="E51" s="113">
        <f>VLOOKUP(E$46,$B$16:$I$18,5)</f>
        <v>6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</row>
    <row r="52" spans="2:33" ht="15.75" thickBot="1" x14ac:dyDescent="0.3">
      <c r="B52" s="71" t="s">
        <v>94</v>
      </c>
      <c r="C52" s="112"/>
      <c r="D52" s="112"/>
      <c r="E52" s="72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</row>
    <row r="53" spans="2:33" x14ac:dyDescent="0.25">
      <c r="B53" s="97" t="s">
        <v>84</v>
      </c>
      <c r="C53" s="80">
        <f>ROUNDUP(C49/C48,1)</f>
        <v>2</v>
      </c>
      <c r="D53" s="256">
        <f>ROUNDUP(D49/D48,1)</f>
        <v>1.9000000000000001</v>
      </c>
      <c r="E53" s="80">
        <f>ROUNDUP(E49/E48,1)</f>
        <v>2.2000000000000002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</row>
    <row r="54" spans="2:33" x14ac:dyDescent="0.25">
      <c r="B54" s="97" t="s">
        <v>337</v>
      </c>
      <c r="C54" s="76">
        <f>IF(C53&gt;1.5,VLOOKUP(C51&amp;1.5,tablas!$M$3:$P$56,4,FALSE),VLOOKUP(C51&amp;C53,tablas!$M$3:$P$56,4,FALSE))</f>
        <v>0.59</v>
      </c>
      <c r="D54" s="76">
        <f>IF(D53&gt;1.5,VLOOKUP(D51&amp;1.5,tablas!$M$3:$P$56,4,FALSE),VLOOKUP(D51&amp;D53,tablas!$M$3:$P$56,4,FALSE))</f>
        <v>0.57999999999999996</v>
      </c>
      <c r="E54" s="76">
        <f>IF(E53&gt;1.5,VLOOKUP(E51&amp;1.5,tablas!$M$3:$P$56,4,FALSE),VLOOKUP(E51&amp;E53,tablas!$M$3:$P$56,4,FALSE))</f>
        <v>0.57999999999999996</v>
      </c>
      <c r="F54" s="193"/>
      <c r="G54" s="193"/>
      <c r="H54" s="193"/>
      <c r="I54" s="193"/>
      <c r="J54" s="193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39"/>
      <c r="AG54" s="39"/>
    </row>
    <row r="55" spans="2:33" x14ac:dyDescent="0.25">
      <c r="B55" s="97" t="s">
        <v>85</v>
      </c>
      <c r="C55" s="76">
        <v>35</v>
      </c>
      <c r="D55" s="76">
        <v>53</v>
      </c>
      <c r="E55" s="76">
        <v>35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</row>
    <row r="56" spans="2:33" x14ac:dyDescent="0.25">
      <c r="B56" s="97" t="s">
        <v>11</v>
      </c>
      <c r="C56" s="76">
        <f>IF(C53&lt;=2,VLOOKUP(C51&amp;C53,tablas!$B$3:$K$92,4,FALSE),"Franja de losa")</f>
        <v>1</v>
      </c>
      <c r="D56" s="76">
        <f>IF(D53&lt;=2,VLOOKUP(D51&amp;D53-0.1,tablas!$B$3:$K$92,4,FALSE),"Franja de losa")</f>
        <v>1</v>
      </c>
      <c r="E56" s="76" t="str">
        <f>IF(E53&lt;=2,VLOOKUP(E51&amp;E53,tablas!$B$3:$K$92,4,FALSE),"Franja de losa")</f>
        <v>Franja de losa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</row>
    <row r="57" spans="2:33" x14ac:dyDescent="0.25">
      <c r="B57" s="94" t="s">
        <v>4</v>
      </c>
      <c r="C57" s="76">
        <f>IF(C53&lt;=2,VLOOKUP(C51&amp;C53,tablas!$B$3:$K$92,7,FALSE),"Franja de losa")</f>
        <v>49</v>
      </c>
      <c r="D57" s="76">
        <f>IF(D53&lt;=2,VLOOKUP(D51&amp;D53-0.1,tablas!$B$3:$K$92,7,FALSE),"Franja de losa")</f>
        <v>48.8</v>
      </c>
      <c r="E57" s="76" t="str">
        <f>IF(E53&lt;=2,VLOOKUP(E51&amp;E53,tablas!$B$3:$K$92,7,FALSE),"Franja de losa")</f>
        <v>Franja de losa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</row>
    <row r="58" spans="2:33" x14ac:dyDescent="0.25">
      <c r="B58" s="94" t="s">
        <v>5</v>
      </c>
      <c r="C58" s="76">
        <f>IF(C53&lt;=2,VLOOKUP(C51&amp;C53,tablas!$B$3:$K$92,8,FALSE),"Franja de losa")</f>
        <v>194</v>
      </c>
      <c r="D58" s="76">
        <f>IF(D53&lt;=2,VLOOKUP(D51&amp;D53-0.1,tablas!$B$3:$K$92,8,FALSE),"Franja de losa")</f>
        <v>190</v>
      </c>
      <c r="E58" s="76" t="str">
        <f>IF(E53&lt;=2,VLOOKUP(E51&amp;E53,tablas!$B$3:$K$92,8,FALSE),"Franja de losa")</f>
        <v>Franja de losa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</row>
    <row r="59" spans="2:33" x14ac:dyDescent="0.25">
      <c r="B59" s="94" t="s">
        <v>6</v>
      </c>
      <c r="C59" s="76">
        <f>IF(C53&lt;=2,VLOOKUP(C51&amp;C53,tablas!$B$3:$K$92,9,FALSE),"Franja de losa")</f>
        <v>23.6</v>
      </c>
      <c r="D59" s="76">
        <f>IF(D53&lt;=2,VLOOKUP(D51&amp;D53-0.1,tablas!$B$3:$K$92,9,FALSE),"Franja de losa")</f>
        <v>22</v>
      </c>
      <c r="E59" s="76" t="str">
        <f>IF(E53&lt;=2,VLOOKUP(E51&amp;E53,tablas!$B$3:$K$92,9,FALSE),"Franja de losa")</f>
        <v>Franja de losa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</row>
    <row r="60" spans="2:33" x14ac:dyDescent="0.25">
      <c r="B60" s="94" t="s">
        <v>7</v>
      </c>
      <c r="C60" s="76">
        <f>IF(C53&lt;=2,VLOOKUP(C51&amp;C53,tablas!$B$3:$K$92,10,FALSE),"Franja de losa")</f>
        <v>35.4</v>
      </c>
      <c r="D60" s="76">
        <f>IF(D53&lt;=2,VLOOKUP(D51&amp;D53-0.1,tablas!$B$3:$K$92,10,FALSE),"Franja de losa")</f>
        <v>31.4</v>
      </c>
      <c r="E60" s="76" t="str">
        <f>IF(E53&lt;=2,VLOOKUP(E51&amp;E53,tablas!$B$3:$K$92,10,FALSE),"Franja de losa")</f>
        <v>Franja de losa</v>
      </c>
    </row>
    <row r="61" spans="2:33" x14ac:dyDescent="0.25">
      <c r="B61" s="97" t="s">
        <v>2</v>
      </c>
      <c r="C61" s="76">
        <f>IF(C53&lt;=2,VLOOKUP(C51&amp;C53,tablas!$B$3:$K$92,5,FALSE),"Franja de losa")</f>
        <v>1.24</v>
      </c>
      <c r="D61" s="76">
        <f>IF(D53&lt;=2,VLOOKUP(D51&amp;D53-0.1,tablas!$B$3:$K$92,5,FALSE),"Franja de losa")</f>
        <v>1.39</v>
      </c>
      <c r="E61" s="76" t="str">
        <f>IF(E53&lt;=2,VLOOKUP(E51&amp;E53,tablas!$B$3:$K$92,5,FALSE),"Franja de losa")</f>
        <v>Franja de losa</v>
      </c>
    </row>
    <row r="62" spans="2:33" ht="15.75" thickBot="1" x14ac:dyDescent="0.3">
      <c r="B62" s="98" t="s">
        <v>3</v>
      </c>
      <c r="C62" s="82">
        <f>IF(C53&lt;=2,VLOOKUP(C51&amp;C53,tablas!$B$3:$K$92,6,FALSE),"Franja de losa")</f>
        <v>1.6</v>
      </c>
      <c r="D62" s="82">
        <f>IF(D53&lt;=2,VLOOKUP(D51&amp;D53-0.1,tablas!$B$3:$K$92,6,FALSE),"Franja de losa")</f>
        <v>1.39</v>
      </c>
      <c r="E62" s="82" t="str">
        <f>IF(E53&lt;=2,VLOOKUP(E51&amp;E53,tablas!$B$3:$K$92,6,FALSE),"Franja de losa")</f>
        <v>Franja de losa</v>
      </c>
    </row>
    <row r="63" spans="2:33" ht="15.75" thickBot="1" x14ac:dyDescent="0.3">
      <c r="B63" s="71" t="s">
        <v>87</v>
      </c>
      <c r="C63" s="112"/>
      <c r="D63" s="112"/>
      <c r="E63" s="72"/>
    </row>
    <row r="64" spans="2:33" x14ac:dyDescent="0.25">
      <c r="B64" s="94" t="s">
        <v>83</v>
      </c>
      <c r="C64" s="83">
        <f>VLOOKUP(C$46,$B$16:$H$18,6)</f>
        <v>100</v>
      </c>
      <c r="D64" s="83">
        <f>VLOOKUP(D$46,$B$16:$H$18,6)</f>
        <v>100</v>
      </c>
      <c r="E64" s="83">
        <f>VLOOKUP(E$46,$B$16:$H$18,6)</f>
        <v>100</v>
      </c>
    </row>
    <row r="65" spans="2:5" x14ac:dyDescent="0.25">
      <c r="B65" s="94" t="s">
        <v>89</v>
      </c>
      <c r="C65" s="76">
        <f>$L$7*($C$4/100)</f>
        <v>400</v>
      </c>
      <c r="D65" s="77">
        <f>$L$7*($C$4/100)</f>
        <v>400</v>
      </c>
      <c r="E65" s="77">
        <f>$L$7*($C$4/100)</f>
        <v>400</v>
      </c>
    </row>
    <row r="66" spans="2:5" x14ac:dyDescent="0.25">
      <c r="B66" s="94" t="s">
        <v>90</v>
      </c>
      <c r="C66" s="76">
        <f>C65+$I$8</f>
        <v>625</v>
      </c>
      <c r="D66" s="77">
        <f>D65+$I$8</f>
        <v>625</v>
      </c>
      <c r="E66" s="77">
        <f>E65+$I$8</f>
        <v>625</v>
      </c>
    </row>
    <row r="67" spans="2:5" x14ac:dyDescent="0.25">
      <c r="B67" s="94" t="s">
        <v>91</v>
      </c>
      <c r="C67" s="76">
        <f>1.2*C66+1.6*C64</f>
        <v>910</v>
      </c>
      <c r="D67" s="77">
        <f>1.2*D66+1.6*D64</f>
        <v>910</v>
      </c>
      <c r="E67" s="77">
        <f>1.2*E66+1.6*E64</f>
        <v>910</v>
      </c>
    </row>
    <row r="68" spans="2:5" x14ac:dyDescent="0.25">
      <c r="B68" s="95" t="s">
        <v>92</v>
      </c>
      <c r="C68" s="84">
        <f>C67*C48*C49</f>
        <v>7720.4400000000005</v>
      </c>
      <c r="D68" s="85">
        <f>D67*D48*D49</f>
        <v>9078.159999999998</v>
      </c>
      <c r="E68" s="85">
        <f>E67*E48*E49</f>
        <v>16784.04</v>
      </c>
    </row>
    <row r="69" spans="2:5" ht="15.75" thickBot="1" x14ac:dyDescent="0.3">
      <c r="B69" s="96" t="s">
        <v>93</v>
      </c>
      <c r="C69" s="86">
        <f>C64/(2*C67)</f>
        <v>5.4945054945054944E-2</v>
      </c>
      <c r="D69" s="87">
        <f>D64/(2*D67)</f>
        <v>5.4945054945054944E-2</v>
      </c>
      <c r="E69" s="87">
        <f>E64/(2*E67)</f>
        <v>5.4945054945054944E-2</v>
      </c>
    </row>
    <row r="70" spans="2:5" ht="15.75" thickBot="1" x14ac:dyDescent="0.3">
      <c r="B70" s="71" t="s">
        <v>96</v>
      </c>
      <c r="C70" s="112"/>
      <c r="D70" s="112"/>
      <c r="E70" s="72"/>
    </row>
    <row r="71" spans="2:5" x14ac:dyDescent="0.25">
      <c r="B71" s="93" t="s">
        <v>97</v>
      </c>
      <c r="C71" s="88">
        <f>IF(C53&lt;=2,C68/C57*(1+C69*C61)*C56,IF(OR(C51=6,C51="5a",C51="3a"),C67*C48^2/17,(IF(OR(C51="2a",C51=4,C51="5b"),C67*C48^2/12,IF(OR(C51=1,C51="2b",C51="3b"),C67*C48^2/8)))))</f>
        <v>168.29485714285715</v>
      </c>
      <c r="D71" s="88">
        <f>IF(D53&lt;=2,D68/D57*(1+D69*D61)*D56,IF(OR(D51=6,D51="5a",D51="3a"),D67*D48^2/17,(IF(OR(D51="2a",D51=4,D51="5b"),D67*D48^2/12,IF(OR(D51=1,D51="2b",D51="3b"),D67*D48^2/8)))))</f>
        <v>200.23549180327865</v>
      </c>
      <c r="E71" s="88">
        <f>IF(E53&lt;=2,E68/E57*(1+E69*E61)*E56,IF(OR(E51=6,E51="5a",E51="3a"),E67*E48^2/17,(IF(OR(E51="2a",E51=4,E51="5b"),E67*E48^2/12,IF(OR(E51=1,E51="2b",E51="3b"),E67*E48^2/8)))))</f>
        <v>450.18235294117648</v>
      </c>
    </row>
    <row r="72" spans="2:5" x14ac:dyDescent="0.25">
      <c r="B72" s="94" t="s">
        <v>15</v>
      </c>
      <c r="C72" s="89">
        <f>C71/(0.9*(0.9*($C$7/100))*($L$9*1000))</f>
        <v>0.34674804501239742</v>
      </c>
      <c r="D72" s="89">
        <f>D71/(0.9*(0.9*($C$7/100))*($L$9*1000))</f>
        <v>0.41255726112858004</v>
      </c>
      <c r="E72" s="89">
        <f>E71/(0.9*(0.9*($C$7/100))*($L$9*1000))</f>
        <v>0.92753785487888452</v>
      </c>
    </row>
    <row r="73" spans="2:5" x14ac:dyDescent="0.25">
      <c r="B73" s="94" t="s">
        <v>98</v>
      </c>
      <c r="C73" s="91">
        <f>(C72*($L$9))/(0.85*$L$6*100)</f>
        <v>8.558717604688933E-3</v>
      </c>
      <c r="D73" s="91">
        <f>(D72*($L$9))/(0.85*$L$6*100)</f>
        <v>1.0183074265457455E-2</v>
      </c>
      <c r="E73" s="91">
        <f>(E72*($L$9))/(0.85*$L$6*100)</f>
        <v>2.2894244630228523E-2</v>
      </c>
    </row>
    <row r="74" spans="2:5" ht="15.75" thickBot="1" x14ac:dyDescent="0.3">
      <c r="B74" s="94" t="s">
        <v>15</v>
      </c>
      <c r="C74" s="76">
        <f>ROUNDUP(C71/(0.9*(($C$7-C73/2)/100)*($L$9*1000)),2)</f>
        <v>0.32</v>
      </c>
      <c r="D74" s="76">
        <f>ROUNDUP(D71/(0.9*(($C$7-D73/2)/100)*($L$9*1000)),2)</f>
        <v>0.38</v>
      </c>
      <c r="E74" s="76">
        <f>ROUNDUP(E71/(0.9*(($C$7-E73/2)/100)*($L$9*1000)),2)</f>
        <v>0.84</v>
      </c>
    </row>
    <row r="75" spans="2:5" ht="16.5" thickBot="1" x14ac:dyDescent="0.3">
      <c r="B75" s="61" t="s">
        <v>100</v>
      </c>
      <c r="C75" s="192" t="str">
        <f>IF(C74&gt;$C$12,"$\phi"&amp;IF(VLOOKUP(VLOOKUP(C74,tablas!$S$3:$U$66,2,TRUE)&amp;VLOOKUP(C74,tablas!$S$3:$U$66,3,TRUE),tablas!$R$3:$S$66,2,FALSE)&lt;C74,VLOOKUP(C74+0.1,tablas!$S$3:$U$66,2,TRUE),VLOOKUP(C74,tablas!$S$3:$U$66,2,TRUE))&amp;"@"&amp;IF(VLOOKUP(VLOOKUP(C74,tablas!$S$3:$U$66,2,TRUE)&amp;VLOOKUP(C74,tablas!$S$3:$U$66,3,TRUE),tablas!$R$3:$S$66,2,FALSE)&lt;C74,VLOOKUP(C74+0.1,tablas!$S$3:$U$66,3,TRUE),VLOOKUP(C74,tablas!$S$3:$U$66,3,TRUE))&amp;"$",$C$13)</f>
        <v>$\phi8@17$</v>
      </c>
      <c r="D75" s="192" t="str">
        <f>IF(D74&gt;$C$12,"$\phi"&amp;IF(VLOOKUP(VLOOKUP(D74,tablas!$S$3:$U$66,2,TRUE)&amp;VLOOKUP(D74,tablas!$S$3:$U$66,3,TRUE),tablas!$R$3:$S$66,2,FALSE)&lt;D74,VLOOKUP(D74+0.1,tablas!$S$3:$U$66,2,TRUE),VLOOKUP(D74,tablas!$S$3:$U$66,2,TRUE))&amp;"@"&amp;IF(VLOOKUP(VLOOKUP(D74,tablas!$S$3:$U$66,2,TRUE)&amp;VLOOKUP(D74,tablas!$S$3:$U$66,3,TRUE),tablas!$R$3:$S$66,2,FALSE)&lt;D74,VLOOKUP(D74+0.1,tablas!$S$3:$U$66,3,TRUE),VLOOKUP(D74,tablas!$S$3:$U$66,3,TRUE))&amp;"$",$C$13)</f>
        <v>$\phi8@17$</v>
      </c>
      <c r="E75" s="192" t="str">
        <f>IF(E74&gt;$C$12,"$\phi"&amp;IF(VLOOKUP(VLOOKUP(E74,tablas!$S$3:$U$66,2,TRUE)&amp;VLOOKUP(E74,tablas!$S$3:$U$66,3,TRUE),tablas!$R$3:$S$66,2,FALSE)&lt;E74,VLOOKUP(E74+0.1,tablas!$S$3:$U$66,2,TRUE),VLOOKUP(E74,tablas!$S$3:$U$66,2,TRUE))&amp;"@"&amp;IF(VLOOKUP(VLOOKUP(E74,tablas!$S$3:$U$66,2,TRUE)&amp;VLOOKUP(E74,tablas!$S$3:$U$66,3,TRUE),tablas!$R$3:$S$66,2,FALSE)&lt;E74,VLOOKUP(E74+0.1,tablas!$S$3:$U$66,3,TRUE),VLOOKUP(E74,tablas!$S$3:$U$66,3,TRUE))&amp;"$",$C$13)</f>
        <v>$\phi8@17$</v>
      </c>
    </row>
    <row r="76" spans="2:5" x14ac:dyDescent="0.25">
      <c r="B76" s="93" t="s">
        <v>102</v>
      </c>
      <c r="C76" s="88">
        <f>IF(C53&lt;=2,C68/C58*(1+C69*C62)*C56,"0")</f>
        <v>43.294639175257728</v>
      </c>
      <c r="D76" s="88">
        <f>IF(D53&lt;=2,D68/D58*(1+D69*D62)*D56,"0")</f>
        <v>51.42890526315788</v>
      </c>
      <c r="E76" s="88" t="str">
        <f>IF(E53&lt;=2,E68/E58*(1+E69*E62)*E56,"0")</f>
        <v>0</v>
      </c>
    </row>
    <row r="77" spans="2:5" x14ac:dyDescent="0.25">
      <c r="B77" s="94" t="s">
        <v>15</v>
      </c>
      <c r="C77" s="84">
        <f t="shared" ref="C77:E77" si="0">C76/(0.9*(0.9*($C$7/100))*($L$9*1000))</f>
        <v>8.9202556444101841E-2</v>
      </c>
      <c r="D77" s="84">
        <f t="shared" si="0"/>
        <v>0.10596207548986687</v>
      </c>
      <c r="E77" s="84">
        <f t="shared" si="0"/>
        <v>0</v>
      </c>
    </row>
    <row r="78" spans="2:5" x14ac:dyDescent="0.25">
      <c r="B78" s="94" t="s">
        <v>98</v>
      </c>
      <c r="C78" s="84">
        <f t="shared" ref="C78:E78" si="1">(C77*($L$9))/(0.85*$L$6*100)</f>
        <v>2.2017701359905184E-3</v>
      </c>
      <c r="D78" s="84">
        <f t="shared" si="1"/>
        <v>2.6154422323911779E-3</v>
      </c>
      <c r="E78" s="84">
        <f t="shared" si="1"/>
        <v>0</v>
      </c>
    </row>
    <row r="79" spans="2:5" ht="15.75" thickBot="1" x14ac:dyDescent="0.3">
      <c r="B79" s="94" t="s">
        <v>15</v>
      </c>
      <c r="C79" s="76">
        <f t="shared" ref="C79:E79" si="2">ROUNDUP(C76/(0.9*(($C$7-C78/2)/100)*($L$9*1000)),2)</f>
        <v>0.09</v>
      </c>
      <c r="D79" s="76">
        <f t="shared" si="2"/>
        <v>9.9999999999999992E-2</v>
      </c>
      <c r="E79" s="76">
        <f t="shared" si="2"/>
        <v>0</v>
      </c>
    </row>
    <row r="80" spans="2:5" ht="16.5" thickBot="1" x14ac:dyDescent="0.3">
      <c r="B80" s="61" t="s">
        <v>101</v>
      </c>
      <c r="C80" s="192" t="str">
        <f>IF(C79&gt;$C$12,"$\phi"&amp;IF(VLOOKUP(VLOOKUP(C79,tablas!$S$3:$U$66,2,TRUE)&amp;VLOOKUP(C79,tablas!$S$3:$U$66,3,TRUE),tablas!$R$3:$S$66,2,FALSE)&lt;C79,VLOOKUP(C79+0.1,tablas!$S$3:$U$66,2,TRUE),VLOOKUP(C79,tablas!$S$3:$U$66,2,TRUE))&amp;"@"&amp;IF(VLOOKUP(VLOOKUP(C79,tablas!$S$3:$U$66,2,TRUE)&amp;VLOOKUP(C79,tablas!$S$3:$U$66,3,TRUE),tablas!$R$3:$S$66,2,FALSE)&lt;C79,VLOOKUP(C79+0.1,tablas!$S$3:$U$66,3,TRUE),VLOOKUP(C79,tablas!$S$3:$U$66,3,TRUE))&amp;"$",$C$13)</f>
        <v>$\phi8@17$</v>
      </c>
      <c r="D80" s="192" t="str">
        <f>IF(D79&gt;$C$12,"$\phi"&amp;IF(VLOOKUP(VLOOKUP(D79,tablas!$S$3:$U$66,2,TRUE)&amp;VLOOKUP(D79,tablas!$S$3:$U$66,3,TRUE),tablas!$R$3:$S$66,2,FALSE)&lt;D79,VLOOKUP(D79+0.1,tablas!$S$3:$U$66,2,TRUE),VLOOKUP(D79,tablas!$S$3:$U$66,2,TRUE))&amp;"@"&amp;IF(VLOOKUP(VLOOKUP(D79,tablas!$S$3:$U$66,2,TRUE)&amp;VLOOKUP(D79,tablas!$S$3:$U$66,3,TRUE),tablas!$R$3:$S$66,2,FALSE)&lt;D79,VLOOKUP(D79+0.1,tablas!$S$3:$U$66,3,TRUE),VLOOKUP(D79,tablas!$S$3:$U$66,3,TRUE))&amp;"$",$C$13)</f>
        <v>$\phi8@17$</v>
      </c>
      <c r="E80" s="192" t="str">
        <f>IF(E79&gt;$C$12,"$\phi"&amp;IF(VLOOKUP(VLOOKUP(E79,tablas!$S$3:$U$66,2,TRUE)&amp;VLOOKUP(E79,tablas!$S$3:$U$66,3,TRUE),tablas!$R$3:$S$66,2,FALSE)&lt;E79,VLOOKUP(E79+0.1,tablas!$S$3:$U$66,2,TRUE),VLOOKUP(E79,tablas!$S$3:$U$66,2,TRUE))&amp;"@"&amp;IF(VLOOKUP(VLOOKUP(E79,tablas!$S$3:$U$66,2,TRUE)&amp;VLOOKUP(E79,tablas!$S$3:$U$66,3,TRUE),tablas!$R$3:$S$66,2,FALSE)&lt;E79,VLOOKUP(E79+0.1,tablas!$S$3:$U$66,3,TRUE),VLOOKUP(E79,tablas!$S$3:$U$66,3,TRUE))&amp;"$",$C$13)</f>
        <v>$\phi8@17$</v>
      </c>
    </row>
    <row r="81" spans="2:21" x14ac:dyDescent="0.25">
      <c r="B81" s="93" t="s">
        <v>103</v>
      </c>
      <c r="C81" s="88">
        <f>IF(C53&lt;=2,C68/C59,IF(OR(C51=6,C51="5a",C51="3a"),C67*C48^2/12,(IF(OR(C51="2a",C51=4,C51="5b"),C67*C48^2/8,"-"))))</f>
        <v>327.13728813559322</v>
      </c>
      <c r="D81" s="88">
        <f>IF(D53&lt;=2,D68/D59,IF(OR(D51=6,D51="5a",D51="3a"),D67*D48^2/12,(IF(OR(D51="2a",D51=4,D51="5b"),D67*D48^2/8,"-"))))</f>
        <v>412.64363636363629</v>
      </c>
      <c r="E81" s="88">
        <f>IF(E53&lt;=2,E68/E59,IF(OR(E51=6,E51="5a",E51="3a"),E67*E48^2/12,(IF(OR(E51="2a",E51=4,E51="5b"),E67*E48^2/8,"-"))))</f>
        <v>637.75833333333333</v>
      </c>
    </row>
    <row r="82" spans="2:21" x14ac:dyDescent="0.25">
      <c r="B82" s="94" t="s">
        <v>15</v>
      </c>
      <c r="C82" s="89">
        <f>C81/(0.9*(0.9*($C$7/100))*($L$9*1000))</f>
        <v>0.67402068629694145</v>
      </c>
      <c r="D82" s="89">
        <f>D81/(0.9*(0.9*($C$7/100))*($L$9*1000))</f>
        <v>0.85019457293600553</v>
      </c>
      <c r="E82" s="89">
        <f>E81/(0.9*(0.9*($C$7/100))*($L$9*1000))</f>
        <v>1.3140119610784196</v>
      </c>
    </row>
    <row r="83" spans="2:21" x14ac:dyDescent="0.25">
      <c r="B83" s="94" t="s">
        <v>98</v>
      </c>
      <c r="C83" s="91">
        <f>(C82*($L$9))/(0.85*$L$6*100)</f>
        <v>1.6636727435703054E-2</v>
      </c>
      <c r="D83" s="91">
        <f>(D82*($L$9))/(0.85*$L$6*100)</f>
        <v>2.0985194764510402E-2</v>
      </c>
      <c r="E83" s="91">
        <f>(E82*($L$9))/(0.85*$L$6*100)</f>
        <v>3.2433513226157069E-2</v>
      </c>
    </row>
    <row r="84" spans="2:21" ht="15.75" thickBot="1" x14ac:dyDescent="0.3">
      <c r="B84" s="94" t="s">
        <v>15</v>
      </c>
      <c r="C84" s="76">
        <f>ROUNDUP(C81/(0.9*(($C$7-C83/2)/100)*($L$9*1000)),2)</f>
        <v>0.61</v>
      </c>
      <c r="D84" s="76">
        <f>ROUNDUP(D81/(0.9*(($C$7-D83/2)/100)*($L$9*1000)),2)</f>
        <v>0.77</v>
      </c>
      <c r="E84" s="76">
        <f>ROUNDUP(E81/(0.9*(($C$7-E83/2)/100)*($L$9*1000)),2)</f>
        <v>1.19</v>
      </c>
    </row>
    <row r="85" spans="2:21" ht="16.5" thickBot="1" x14ac:dyDescent="0.3">
      <c r="B85" s="61" t="s">
        <v>105</v>
      </c>
      <c r="C85" s="192" t="str">
        <f>IF(C84&gt;$C$12,"$\phi"&amp;IF(VLOOKUP(VLOOKUP(C84,tablas!$S$3:$U$66,2,TRUE)&amp;VLOOKUP(C84,tablas!$S$3:$U$66,3,TRUE),tablas!$R$3:$S$66,2,FALSE)&lt;C84,VLOOKUP(C84+0.1,tablas!$S$3:$U$66,2,TRUE),VLOOKUP(C84,tablas!$S$3:$U$66,2,TRUE))&amp;"@"&amp;IF(VLOOKUP(VLOOKUP(C84,tablas!$S$3:$U$66,2,TRUE)&amp;VLOOKUP(C84,tablas!$S$3:$U$66,3,TRUE),tablas!$R$3:$S$66,2,FALSE)&lt;C84,VLOOKUP(C84+0.1,tablas!$S$3:$U$66,3,TRUE),VLOOKUP(C84,tablas!$S$3:$U$66,3,TRUE))&amp;"$",$C$13)</f>
        <v>$\phi8@17$</v>
      </c>
      <c r="D85" s="192" t="str">
        <f>IF(D84&gt;$C$12,"$\phi"&amp;IF(VLOOKUP(VLOOKUP(D84,tablas!$S$3:$U$66,2,TRUE)&amp;VLOOKUP(D84,tablas!$S$3:$U$66,3,TRUE),tablas!$R$3:$S$66,2,FALSE)&lt;D84,VLOOKUP(D84+0.1,tablas!$S$3:$U$66,2,TRUE),VLOOKUP(D84,tablas!$S$3:$U$66,2,TRUE))&amp;"@"&amp;IF(VLOOKUP(VLOOKUP(D84,tablas!$S$3:$U$66,2,TRUE)&amp;VLOOKUP(D84,tablas!$S$3:$U$66,3,TRUE),tablas!$R$3:$S$66,2,FALSE)&lt;D84,VLOOKUP(D84+0.1,tablas!$S$3:$U$66,3,TRUE),VLOOKUP(D84,tablas!$S$3:$U$66,3,TRUE))&amp;"$",$C$13)</f>
        <v>$\phi8@17$</v>
      </c>
      <c r="E85" s="192" t="str">
        <f>IF(E84&gt;$C$12,"$\phi"&amp;IF(VLOOKUP(VLOOKUP(E84,tablas!$S$3:$U$66,2,TRUE)&amp;VLOOKUP(E84,tablas!$S$3:$U$66,3,TRUE),tablas!$R$3:$S$66,2,FALSE)&lt;E84,VLOOKUP(E84+0.1,tablas!$S$3:$U$66,2,TRUE),VLOOKUP(E84,tablas!$S$3:$U$66,2,TRUE))&amp;"@"&amp;IF(VLOOKUP(VLOOKUP(E84,tablas!$S$3:$U$66,2,TRUE)&amp;VLOOKUP(E84,tablas!$S$3:$U$66,3,TRUE),tablas!$R$3:$S$66,2,FALSE)&lt;E84,VLOOKUP(E84+0.1,tablas!$S$3:$U$66,3,TRUE),VLOOKUP(E84,tablas!$S$3:$U$66,3,TRUE))&amp;"$",$C$13)</f>
        <v>$\phi8@17$</v>
      </c>
    </row>
    <row r="86" spans="2:21" x14ac:dyDescent="0.25">
      <c r="B86" s="93" t="s">
        <v>104</v>
      </c>
      <c r="C86" s="88">
        <f>IF(C53&lt;=2,C68/C60,IF(OR(C51=6,C51="5a",C51="3a"),C67*C48^2/17.5,(IF(OR(C51="2a",C51=4,C51="5b"),C67*C48^2/11.25,IF(OR(C51=1,C51="2b",C51="3b"),C67*C48^2/8)))))</f>
        <v>218.09152542372883</v>
      </c>
      <c r="D86" s="88">
        <f>IF(D53&lt;=2,D68/D60,IF(OR(D51=6,D51="5a",D51="3a"),D67*D48^2/17.5,(IF(OR(D51="2a",D51=4,D51="5b"),D67*D48^2/11.25,IF(OR(D51=1,D51="2b",D51="3b"),D67*D48^2/8)))))</f>
        <v>289.11337579617827</v>
      </c>
      <c r="E86" s="88">
        <f>IF(E53&lt;=2,E68/E60,IF(OR(E51=6,E51="5a",E51="3a"),E67*E48^2/17.5,(IF(OR(E51="2a",E51=4,E51="5b"),E67*E48^2/11.25,IF(OR(E51=1,E51="2b",E51="3b"),E67*E48^2/8)))))</f>
        <v>437.32</v>
      </c>
    </row>
    <row r="87" spans="2:21" x14ac:dyDescent="0.25">
      <c r="B87" s="94" t="s">
        <v>15</v>
      </c>
      <c r="C87" s="89">
        <f>C86/(0.9*(0.9*($C$7/100))*($L$9*1000))</f>
        <v>0.44934712419796097</v>
      </c>
      <c r="D87" s="89">
        <f>D86/(0.9*(0.9*($C$7/100))*($L$9*1000))</f>
        <v>0.59567772626089555</v>
      </c>
      <c r="E87" s="89">
        <f>E86/(0.9*(0.9*($C$7/100))*($L$9*1000))</f>
        <v>0.90103677331091636</v>
      </c>
    </row>
    <row r="88" spans="2:21" x14ac:dyDescent="0.25">
      <c r="B88" s="94" t="s">
        <v>98</v>
      </c>
      <c r="C88" s="91">
        <f>(C87*($L$9))/(0.85*$L$6*100)</f>
        <v>1.1091151623802037E-2</v>
      </c>
      <c r="D88" s="91">
        <f>(D87*($L$9))/(0.85*$L$6*100)</f>
        <v>1.4703002701249326E-2</v>
      </c>
      <c r="E88" s="91">
        <f>(E87*($L$9))/(0.85*$L$6*100)</f>
        <v>2.2240123355079133E-2</v>
      </c>
    </row>
    <row r="89" spans="2:21" ht="15.75" thickBot="1" x14ac:dyDescent="0.3">
      <c r="B89" s="94" t="s">
        <v>15</v>
      </c>
      <c r="C89" s="76">
        <f>ROUNDUP(C86/(0.9*(($C$7-C88/2)/100)*($L$9*1000)),2)</f>
        <v>0.41000000000000003</v>
      </c>
      <c r="D89" s="76">
        <f>ROUNDUP(D86/(0.9*(($C$7-D88/2)/100)*($L$9*1000)),2)</f>
        <v>0.54</v>
      </c>
      <c r="E89" s="76">
        <f>ROUNDUP(E86/(0.9*(($C$7-E88/2)/100)*($L$9*1000)),2)</f>
        <v>0.82000000000000006</v>
      </c>
    </row>
    <row r="90" spans="2:21" ht="16.5" thickBot="1" x14ac:dyDescent="0.3">
      <c r="B90" s="61" t="s">
        <v>106</v>
      </c>
      <c r="C90" s="192" t="str">
        <f>IF(C89&gt;$C$12,"$\phi"&amp;IF(VLOOKUP(VLOOKUP(C89,tablas!$S$3:$U$66,2,TRUE)&amp;VLOOKUP(C89,tablas!$S$3:$U$66,3,TRUE),tablas!$R$3:$S$66,2,FALSE)&lt;C89,VLOOKUP(C89+0.1,tablas!$S$3:$U$66,2,TRUE),VLOOKUP(C89,tablas!$S$3:$U$66,2,TRUE))&amp;"@"&amp;IF(VLOOKUP(VLOOKUP(C89,tablas!$S$3:$U$66,2,TRUE)&amp;VLOOKUP(C89,tablas!$S$3:$U$66,3,TRUE),tablas!$R$3:$S$66,2,FALSE)&lt;C89,VLOOKUP(C89+0.1,tablas!$S$3:$U$66,3,TRUE),VLOOKUP(C89,tablas!$S$3:$U$66,3,TRUE))&amp;"$",$C$13)</f>
        <v>$\phi8@17$</v>
      </c>
      <c r="D90" s="192" t="str">
        <f>IF(D89&gt;$C$12,"$\phi"&amp;IF(VLOOKUP(VLOOKUP(D89,tablas!$S$3:$U$66,2,TRUE)&amp;VLOOKUP(D89,tablas!$S$3:$U$66,3,TRUE),tablas!$R$3:$S$66,2,FALSE)&lt;D89,VLOOKUP(D89+0.1,tablas!$S$3:$U$66,2,TRUE),VLOOKUP(D89,tablas!$S$3:$U$66,2,TRUE))&amp;"@"&amp;IF(VLOOKUP(VLOOKUP(D89,tablas!$S$3:$U$66,2,TRUE)&amp;VLOOKUP(D89,tablas!$S$3:$U$66,3,TRUE),tablas!$R$3:$S$66,2,FALSE)&lt;D89,VLOOKUP(D89+0.1,tablas!$S$3:$U$66,3,TRUE),VLOOKUP(D89,tablas!$S$3:$U$66,3,TRUE))&amp;"$",$C$13)</f>
        <v>$\phi8@17$</v>
      </c>
      <c r="E90" s="192" t="str">
        <f>IF(E89&gt;$C$12,"$\phi"&amp;IF(VLOOKUP(VLOOKUP(E89,tablas!$S$3:$U$66,2,TRUE)&amp;VLOOKUP(E89,tablas!$S$3:$U$66,3,TRUE),tablas!$R$3:$S$66,2,FALSE)&lt;E89,VLOOKUP(E89+0.1,tablas!$S$3:$U$66,2,TRUE),VLOOKUP(E89,tablas!$S$3:$U$66,2,TRUE))&amp;"@"&amp;IF(VLOOKUP(VLOOKUP(E89,tablas!$S$3:$U$66,2,TRUE)&amp;VLOOKUP(E89,tablas!$S$3:$U$66,3,TRUE),tablas!$R$3:$S$66,2,FALSE)&lt;E89,VLOOKUP(E89+0.1,tablas!$S$3:$U$66,3,TRUE),VLOOKUP(E89,tablas!$S$3:$U$66,3,TRUE))&amp;"$",$C$13)</f>
        <v>$\phi8@17$</v>
      </c>
    </row>
    <row r="91" spans="2:21" x14ac:dyDescent="0.25">
      <c r="P91" s="40"/>
      <c r="T91" s="40"/>
      <c r="U91" s="41"/>
    </row>
    <row r="92" spans="2:21" ht="15.75" thickBot="1" x14ac:dyDescent="0.3">
      <c r="B92" s="299" t="s">
        <v>107</v>
      </c>
      <c r="C92" s="299"/>
    </row>
    <row r="93" spans="2:21" ht="15.75" thickBot="1" x14ac:dyDescent="0.3">
      <c r="B93" s="73" t="s">
        <v>43</v>
      </c>
      <c r="C93" s="74" t="s">
        <v>234</v>
      </c>
      <c r="D93" s="75" t="s">
        <v>235</v>
      </c>
      <c r="E93" s="74" t="s">
        <v>235</v>
      </c>
      <c r="F93" s="75" t="s">
        <v>236</v>
      </c>
    </row>
    <row r="94" spans="2:21" ht="15.75" thickBot="1" x14ac:dyDescent="0.3">
      <c r="B94" s="141"/>
      <c r="C94" s="143" t="str">
        <f>C93&amp;"-"&amp;D93</f>
        <v>2401-2402</v>
      </c>
      <c r="D94" s="143"/>
      <c r="E94" s="143" t="str">
        <f>E93&amp;"-"&amp;F93</f>
        <v>2402-2403</v>
      </c>
      <c r="F94" s="142"/>
    </row>
    <row r="95" spans="2:21" x14ac:dyDescent="0.25">
      <c r="B95" s="102" t="s">
        <v>114</v>
      </c>
      <c r="C95" s="99" t="s">
        <v>109</v>
      </c>
      <c r="D95" s="100" t="s">
        <v>108</v>
      </c>
      <c r="E95" s="99" t="s">
        <v>109</v>
      </c>
      <c r="F95" s="100" t="s">
        <v>108</v>
      </c>
    </row>
    <row r="96" spans="2:21" x14ac:dyDescent="0.25">
      <c r="B96" s="103" t="s">
        <v>110</v>
      </c>
      <c r="C96" s="101">
        <f>HLOOKUP(C93,$B$46:$E$90,IF(C95="x",36,41),FALSE)</f>
        <v>218.09152542372883</v>
      </c>
      <c r="D96" s="85">
        <f>HLOOKUP(D93,$B$46:$E$90,IF(D95="x",36,41),FALSE)</f>
        <v>412.64363636363629</v>
      </c>
      <c r="E96" s="101">
        <f>HLOOKUP(E93,$B$46:$E$90,IF(E95="x",36,41),FALSE)</f>
        <v>289.11337579617827</v>
      </c>
      <c r="F96" s="85">
        <f>HLOOKUP(F93,$B$46:$E$90,IF(F95="x",36,41),FALSE)</f>
        <v>637.75833333333333</v>
      </c>
    </row>
    <row r="97" spans="2:6" x14ac:dyDescent="0.25">
      <c r="B97" s="103" t="s">
        <v>111</v>
      </c>
      <c r="C97" s="283">
        <f>(MAX(C96:D96)-MIN(C96:D96))/(MAX(C96:D96))</f>
        <v>0.47147730825166828</v>
      </c>
      <c r="D97" s="284"/>
      <c r="E97" s="283">
        <f>(MAX(E96:F96)-MIN(E96:F96))/(MAX(E96:F96))</f>
        <v>0.5466725236108062</v>
      </c>
      <c r="F97" s="284"/>
    </row>
    <row r="98" spans="2:6" x14ac:dyDescent="0.25">
      <c r="B98" s="103" t="s">
        <v>112</v>
      </c>
      <c r="C98" s="285">
        <f>IF(C97&lt;25%,(C96*0.5+D96*0.5)*0.9,IF(C97&lt;50%,(MAX(C96:D96)*0.6+MIN(C96:D96)*0.4)*0.9,IF(C97&lt;70%,(MAX(C96:D96)*0.65+MIN(C96:D96)*0.35)*0.9,IF(C97&lt;100%,(MAX(C96:D96)*0.7+MIN(C96:D96)*0.3)*0.9,0.7*MAX(C96:D96)))))</f>
        <v>301.34051278890598</v>
      </c>
      <c r="D98" s="286"/>
      <c r="E98" s="285">
        <f>IF(E97&lt;25%,(E96*0.5+F96*0.5)*0.9,IF(E97&lt;50%,(MAX(E96:F96)*0.6+MIN(E96:F96)*0.4)*0.9,IF(E97&lt;70%,(MAX(E96:F96)*0.65+MIN(E96:F96)*0.35)*0.9,IF(E97&lt;100%,(MAX(E96:F96)*0.7+MIN(E96:F96)*0.3)*0.9,0.7*MAX(E96:F96)))))</f>
        <v>464.15933837579615</v>
      </c>
      <c r="F98" s="286"/>
    </row>
    <row r="99" spans="2:6" x14ac:dyDescent="0.25">
      <c r="B99" s="104" t="s">
        <v>15</v>
      </c>
      <c r="C99" s="287">
        <f>C98/(0.9*(0.9*($C$7/100))*($L$9*1000))</f>
        <v>0.62087003409670893</v>
      </c>
      <c r="D99" s="288"/>
      <c r="E99" s="287">
        <f>E98/(0.9*(0.9*($C$7/100))*($L$9*1000))</f>
        <v>0.95633548100305765</v>
      </c>
      <c r="F99" s="288"/>
    </row>
    <row r="100" spans="2:6" x14ac:dyDescent="0.25">
      <c r="B100" s="104" t="s">
        <v>98</v>
      </c>
      <c r="C100" s="281">
        <f>(C99*($L$9))/(0.85*$L$6*100)</f>
        <v>1.5324819757404351E-2</v>
      </c>
      <c r="D100" s="282"/>
      <c r="E100" s="281">
        <f>(E99*($L$9))/(0.85*$L$6*100)</f>
        <v>2.3605051088195429E-2</v>
      </c>
      <c r="F100" s="282"/>
    </row>
    <row r="101" spans="2:6" ht="15.75" thickBot="1" x14ac:dyDescent="0.3">
      <c r="B101" s="105" t="s">
        <v>15</v>
      </c>
      <c r="C101" s="289">
        <f>ROUNDUP(C98/(0.9*(($C$7-C100/2)/100)*($L$9*1000)),2)</f>
        <v>0.56000000000000005</v>
      </c>
      <c r="D101" s="290"/>
      <c r="E101" s="289">
        <f>ROUNDUP(E98/(0.9*(($C$7-E100/2)/100)*($L$9*1000)),2)</f>
        <v>0.87</v>
      </c>
      <c r="F101" s="290"/>
    </row>
    <row r="102" spans="2:6" ht="16.5" thickBot="1" x14ac:dyDescent="0.3">
      <c r="B102" s="61" t="s">
        <v>113</v>
      </c>
      <c r="C102" s="279" t="str">
        <f>IF(C101&gt;$C$12,"$\phi"&amp;IF(VLOOKUP(VLOOKUP(C101,tablas!$S$3:$U$66,2,TRUE)&amp;VLOOKUP(C101,tablas!$S$3:$U$66,3,TRUE),tablas!$R$3:$S$66,2,FALSE)&lt;C101,VLOOKUP(C101+0.1,tablas!$S$3:$U$66,2,TRUE),VLOOKUP(C101,tablas!$S$3:$U$66,2,TRUE))&amp;"@"&amp;IF(VLOOKUP(VLOOKUP(C101,tablas!$S$3:$U$66,2,TRUE)&amp;VLOOKUP(C101,tablas!$S$3:$U$66,3,TRUE),tablas!$R$3:$S$66,2,FALSE)&lt;C101,VLOOKUP(C101+0.1,tablas!$S$3:$U$66,3,TRUE)&amp;"$",VLOOKUP(C101,tablas!$S$3:$U$66,3,TRUE)&amp;"$"),$C$13)</f>
        <v>$\phi8@17$</v>
      </c>
      <c r="D102" s="280"/>
      <c r="E102" s="279" t="str">
        <f>IF(E101&gt;$C$12,"$\phi"&amp;IF(VLOOKUP(VLOOKUP(E101,tablas!$S$3:$U$66,2,TRUE)&amp;VLOOKUP(E101,tablas!$S$3:$U$66,3,TRUE),tablas!$R$3:$S$66,2,FALSE)&lt;E101,VLOOKUP(E101+0.1,tablas!$S$3:$U$66,2,TRUE),VLOOKUP(E101,tablas!$S$3:$U$66,2,TRUE))&amp;"@"&amp;IF(VLOOKUP(VLOOKUP(E101,tablas!$S$3:$U$66,2,TRUE)&amp;VLOOKUP(E101,tablas!$S$3:$U$66,3,TRUE),tablas!$R$3:$S$66,2,FALSE)&lt;E101,VLOOKUP(E101+0.1,tablas!$S$3:$U$66,3,TRUE)&amp;"$",VLOOKUP(E101,tablas!$S$3:$U$66,3,TRUE)&amp;"$"),$C$13)</f>
        <v>$\phi8@17$</v>
      </c>
      <c r="F102" s="280"/>
    </row>
  </sheetData>
  <mergeCells count="16">
    <mergeCell ref="H4:I4"/>
    <mergeCell ref="K4:L4"/>
    <mergeCell ref="B92:C92"/>
    <mergeCell ref="C97:D97"/>
    <mergeCell ref="C99:D99"/>
    <mergeCell ref="E98:F98"/>
    <mergeCell ref="C98:D98"/>
    <mergeCell ref="E97:F97"/>
    <mergeCell ref="E4:F4"/>
    <mergeCell ref="E99:F99"/>
    <mergeCell ref="E100:F100"/>
    <mergeCell ref="E101:F101"/>
    <mergeCell ref="E102:F102"/>
    <mergeCell ref="C102:D102"/>
    <mergeCell ref="C101:D101"/>
    <mergeCell ref="C100:D100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39D2E-6E2A-46B8-B23E-646EC0A82765}">
  <dimension ref="B1:S26"/>
  <sheetViews>
    <sheetView showGridLines="0" zoomScale="85" zoomScaleNormal="85" workbookViewId="0">
      <selection activeCell="D13" sqref="D13"/>
    </sheetView>
  </sheetViews>
  <sheetFormatPr defaultColWidth="11.42578125" defaultRowHeight="15" x14ac:dyDescent="0.25"/>
  <cols>
    <col min="1" max="1" width="2.85546875" customWidth="1"/>
    <col min="5" max="6" width="12" customWidth="1"/>
    <col min="15" max="15" width="9.7109375" bestFit="1" customWidth="1"/>
    <col min="16" max="16" width="20.7109375" bestFit="1" customWidth="1"/>
    <col min="17" max="17" width="14.28515625" bestFit="1" customWidth="1"/>
    <col min="18" max="18" width="8.28515625" bestFit="1" customWidth="1"/>
  </cols>
  <sheetData>
    <row r="1" spans="2:19" ht="15.75" thickBot="1" x14ac:dyDescent="0.3"/>
    <row r="2" spans="2:19" ht="15.75" thickBot="1" x14ac:dyDescent="0.3">
      <c r="B2" s="305" t="s">
        <v>274</v>
      </c>
      <c r="C2" s="306"/>
      <c r="D2" s="306"/>
      <c r="E2" s="306"/>
      <c r="F2" s="306"/>
      <c r="G2" s="307"/>
      <c r="H2" s="308"/>
      <c r="I2" s="308"/>
      <c r="J2" s="308"/>
      <c r="K2" s="308"/>
      <c r="L2" s="308"/>
      <c r="M2" s="308"/>
    </row>
    <row r="3" spans="2:19" ht="15.75" thickBot="1" x14ac:dyDescent="0.3">
      <c r="B3" s="318" t="s">
        <v>43</v>
      </c>
      <c r="C3" s="313" t="s">
        <v>19</v>
      </c>
      <c r="D3" s="311" t="s">
        <v>246</v>
      </c>
      <c r="E3" s="311" t="s">
        <v>244</v>
      </c>
      <c r="F3" s="320" t="s">
        <v>240</v>
      </c>
      <c r="G3" s="321"/>
      <c r="H3" s="320" t="s">
        <v>241</v>
      </c>
      <c r="I3" s="321"/>
      <c r="J3" s="320" t="s">
        <v>247</v>
      </c>
      <c r="K3" s="321"/>
      <c r="L3" s="320" t="s">
        <v>248</v>
      </c>
      <c r="M3" s="307"/>
    </row>
    <row r="4" spans="2:19" ht="45.75" thickBot="1" x14ac:dyDescent="0.3">
      <c r="B4" s="319"/>
      <c r="C4" s="314"/>
      <c r="D4" s="312"/>
      <c r="E4" s="312"/>
      <c r="F4" s="138" t="s">
        <v>245</v>
      </c>
      <c r="G4" s="139" t="s">
        <v>242</v>
      </c>
      <c r="H4" s="138" t="s">
        <v>245</v>
      </c>
      <c r="I4" s="139" t="s">
        <v>242</v>
      </c>
      <c r="J4" s="138" t="s">
        <v>245</v>
      </c>
      <c r="K4" s="139" t="s">
        <v>242</v>
      </c>
      <c r="L4" s="138" t="s">
        <v>245</v>
      </c>
      <c r="M4" s="135" t="s">
        <v>242</v>
      </c>
      <c r="O4" s="272" t="str">
        <f>B3</f>
        <v>N° Losa</v>
      </c>
      <c r="P4" s="274" t="s">
        <v>240</v>
      </c>
      <c r="Q4" s="210" t="s">
        <v>241</v>
      </c>
      <c r="R4" s="210" t="s">
        <v>247</v>
      </c>
      <c r="S4" s="211" t="s">
        <v>248</v>
      </c>
    </row>
    <row r="5" spans="2:19" ht="15" customHeight="1" x14ac:dyDescent="0.25">
      <c r="B5" s="221" t="str">
        <f>'24'!C46</f>
        <v>2401</v>
      </c>
      <c r="C5" s="241">
        <f>'24'!$C$4</f>
        <v>16</v>
      </c>
      <c r="D5" s="226">
        <f>'24'!$C$12</f>
        <v>2.88</v>
      </c>
      <c r="E5" s="226">
        <f>HLOOKUP($B5,'24'!$C$46:$AE$89,22)</f>
        <v>910</v>
      </c>
      <c r="F5" s="226">
        <f>HLOOKUP($B5,'24'!$C$46:$AE$89,29)</f>
        <v>0.32</v>
      </c>
      <c r="G5" s="226" t="str">
        <f>HLOOKUP($B5,'24'!$C$46:$AE$89,30)</f>
        <v>$\phi8@17$</v>
      </c>
      <c r="H5" s="226">
        <f>HLOOKUP($B5,'24'!$C$46:$AE$89,34)</f>
        <v>0.09</v>
      </c>
      <c r="I5" s="226" t="str">
        <f>HLOOKUP($B5,'24'!$C$46:$AE$89,35)</f>
        <v>$\phi8@17$</v>
      </c>
      <c r="J5" s="226">
        <f>HLOOKUP($B5,'24'!$C$46:$AE$89,39)</f>
        <v>0.61</v>
      </c>
      <c r="K5" s="226" t="str">
        <f>HLOOKUP($B5,'24'!$C$46:$AE$89,40)</f>
        <v>$\phi8@17$</v>
      </c>
      <c r="L5" s="226">
        <f>HLOOKUP($B5,'24'!$C$46:$AE$89,44)</f>
        <v>0.41000000000000003</v>
      </c>
      <c r="M5" s="227" t="str">
        <f>HLOOKUP($B5,'24'!$C$46:$E$90,45)</f>
        <v>$\phi8@17$</v>
      </c>
      <c r="O5" s="275" t="str">
        <f>B5</f>
        <v>2401</v>
      </c>
      <c r="P5" s="266" t="str">
        <f>IF(G5='[1]Tabla 24'!G5,"IGUAL","CAMBIO")</f>
        <v>IGUAL</v>
      </c>
      <c r="Q5" s="123" t="str">
        <f>IF(I5='[1]Tabla 24'!I5,"IGUAL","CAMBIO")</f>
        <v>IGUAL</v>
      </c>
      <c r="R5" s="123" t="str">
        <f>IF(K5='[1]Tabla 24'!K5,"IGUAL","CAMBIO")</f>
        <v>IGUAL</v>
      </c>
      <c r="S5" s="217" t="str">
        <f>IF(M5='[1]Tabla 24'!M5,"IGUAL","CAMBIO")</f>
        <v>IGUAL</v>
      </c>
    </row>
    <row r="6" spans="2:19" ht="15" customHeight="1" x14ac:dyDescent="0.25">
      <c r="B6" s="218" t="str">
        <f>'24'!D46</f>
        <v>2402</v>
      </c>
      <c r="C6" s="244">
        <f>'24'!$C$4</f>
        <v>16</v>
      </c>
      <c r="D6" s="203">
        <f>'24'!$C$12</f>
        <v>2.88</v>
      </c>
      <c r="E6" s="203">
        <f>HLOOKUP($B6,'24'!$C$46:$AE$89,22)</f>
        <v>910</v>
      </c>
      <c r="F6" s="203">
        <f>HLOOKUP($B6,'24'!$C$46:$AE$89,29)</f>
        <v>0.38</v>
      </c>
      <c r="G6" s="203" t="str">
        <f>HLOOKUP($B6,'24'!$C$46:$AE$89,30)</f>
        <v>$\phi8@17$</v>
      </c>
      <c r="H6" s="203">
        <f>HLOOKUP($B6,'24'!$C$46:$AE$89,34)</f>
        <v>9.9999999999999992E-2</v>
      </c>
      <c r="I6" s="203" t="str">
        <f>HLOOKUP($B6,'24'!$C$46:$AE$89,35)</f>
        <v>$\phi8@17$</v>
      </c>
      <c r="J6" s="203">
        <f>HLOOKUP($B6,'24'!$C$46:$AE$89,39)</f>
        <v>0.77</v>
      </c>
      <c r="K6" s="203" t="str">
        <f>HLOOKUP($B6,'24'!$C$46:$AE$89,40)</f>
        <v>$\phi8@17$</v>
      </c>
      <c r="L6" s="203">
        <f>HLOOKUP($B6,'24'!$C$46:$AE$89,44)</f>
        <v>0.54</v>
      </c>
      <c r="M6" s="228" t="str">
        <f>HLOOKUP($B6,'24'!$C$46:$E$90,45)</f>
        <v>$\phi8@17$</v>
      </c>
      <c r="O6" s="270" t="str">
        <f t="shared" ref="O6:O7" si="0">B6</f>
        <v>2402</v>
      </c>
      <c r="P6" s="266" t="str">
        <f>IF(G6='[1]Tabla 24'!G6,"IGUAL","CAMBIO")</f>
        <v>IGUAL</v>
      </c>
      <c r="Q6" s="123" t="str">
        <f>IF(I6='[1]Tabla 24'!I6,"IGUAL","CAMBIO")</f>
        <v>IGUAL</v>
      </c>
      <c r="R6" s="123" t="str">
        <f>IF(K6='[1]Tabla 24'!K6,"IGUAL","CAMBIO")</f>
        <v>IGUAL</v>
      </c>
      <c r="S6" s="217" t="str">
        <f>IF(M6='[1]Tabla 24'!M6,"IGUAL","CAMBIO")</f>
        <v>IGUAL</v>
      </c>
    </row>
    <row r="7" spans="2:19" ht="15" customHeight="1" thickBot="1" x14ac:dyDescent="0.3">
      <c r="B7" s="219" t="str">
        <f>'24'!E46</f>
        <v>2403</v>
      </c>
      <c r="C7" s="245">
        <f>'24'!$C$4</f>
        <v>16</v>
      </c>
      <c r="D7" s="204">
        <f>'24'!$C$12</f>
        <v>2.88</v>
      </c>
      <c r="E7" s="204">
        <f>HLOOKUP($B7,'24'!$C$46:$AE$89,22)</f>
        <v>910</v>
      </c>
      <c r="F7" s="204">
        <f>HLOOKUP($B7,'24'!$C$46:$AE$89,29)</f>
        <v>0.84</v>
      </c>
      <c r="G7" s="204" t="str">
        <f>HLOOKUP($B7,'24'!$C$46:$AE$89,30)</f>
        <v>$\phi8@17$</v>
      </c>
      <c r="H7" s="204">
        <f>HLOOKUP($B7,'24'!$C$46:$AE$89,34)</f>
        <v>0</v>
      </c>
      <c r="I7" s="204" t="str">
        <f>HLOOKUP($B7,'24'!$C$46:$AE$89,35)</f>
        <v>$\phi8@17$</v>
      </c>
      <c r="J7" s="204">
        <f>HLOOKUP($B7,'24'!$C$46:$AE$89,39)</f>
        <v>1.19</v>
      </c>
      <c r="K7" s="204" t="str">
        <f>HLOOKUP($B7,'24'!$C$46:$AE$89,40)</f>
        <v>$\phi8@17$</v>
      </c>
      <c r="L7" s="204">
        <f>HLOOKUP($B7,'24'!$C$46:$AE$89,44)</f>
        <v>0.82000000000000006</v>
      </c>
      <c r="M7" s="229" t="str">
        <f>HLOOKUP($B7,'24'!$C$46:$E$90,45)</f>
        <v>$\phi8@17$</v>
      </c>
      <c r="O7" s="271" t="str">
        <f t="shared" si="0"/>
        <v>2403</v>
      </c>
      <c r="P7" s="258" t="str">
        <f>IF(G7='[1]Tabla 24'!G7,"IGUAL","CAMBIO")</f>
        <v>IGUAL</v>
      </c>
      <c r="Q7" s="125" t="str">
        <f>IF(I7='[1]Tabla 24'!I7,"IGUAL","CAMBIO")</f>
        <v>IGUAL</v>
      </c>
      <c r="R7" s="125" t="str">
        <f>IF(K7='[1]Tabla 24'!K7,"IGUAL","CAMBIO")</f>
        <v>IGUAL</v>
      </c>
      <c r="S7" s="220" t="str">
        <f>IF(M7='[1]Tabla 24'!M7,"IGUAL","CAMBIO")</f>
        <v>IGUAL</v>
      </c>
    </row>
    <row r="8" spans="2:19" ht="15.75" thickBot="1" x14ac:dyDescent="0.3">
      <c r="O8" s="262"/>
      <c r="P8" s="202"/>
      <c r="Q8" s="202"/>
      <c r="R8" s="202"/>
      <c r="S8" s="202"/>
    </row>
    <row r="9" spans="2:19" ht="15.75" thickBot="1" x14ac:dyDescent="0.3">
      <c r="D9" s="301" t="s">
        <v>107</v>
      </c>
      <c r="E9" s="302"/>
      <c r="F9" s="121"/>
      <c r="G9" s="121"/>
      <c r="O9" s="262"/>
      <c r="P9" s="202"/>
      <c r="Q9" s="202"/>
      <c r="R9" s="202"/>
      <c r="S9" s="202"/>
    </row>
    <row r="10" spans="2:19" s="235" customFormat="1" ht="30" customHeight="1" thickBot="1" x14ac:dyDescent="0.3">
      <c r="D10" s="133" t="s">
        <v>278</v>
      </c>
      <c r="E10" s="134" t="str">
        <f>'-1'!B98</f>
        <v>Mu $[kgf \cdot m/m]$</v>
      </c>
      <c r="F10" s="134" t="str">
        <f>'-1'!B101</f>
        <v>As $[cm^2/m]$</v>
      </c>
      <c r="G10" s="135" t="str">
        <f>'-1'!B102</f>
        <v>F'</v>
      </c>
      <c r="I10" s="269" t="s">
        <v>338</v>
      </c>
      <c r="O10" s="262"/>
      <c r="P10" s="202"/>
      <c r="Q10" s="202"/>
      <c r="R10" s="202"/>
      <c r="S10" s="202"/>
    </row>
    <row r="11" spans="2:19" ht="15" customHeight="1" x14ac:dyDescent="0.25">
      <c r="D11" s="2" t="str">
        <f>'24'!C93&amp;"-"&amp;'24'!D93</f>
        <v>2401-2402</v>
      </c>
      <c r="E11" s="152">
        <f>HLOOKUP($D11,'24'!$C$94:$F$102,E$13,FALSE)</f>
        <v>301.34051278890598</v>
      </c>
      <c r="F11" s="152">
        <f>HLOOKUP($D11,'24'!$C$94:$F$102,F$13,FALSE)</f>
        <v>0.56000000000000005</v>
      </c>
      <c r="G11" s="153" t="str">
        <f>HLOOKUP($D11,'24'!$C$94:$F$102,G$13,FALSE)</f>
        <v>$\phi8@17$</v>
      </c>
      <c r="I11" s="267" t="str">
        <f>IF(G11='[1]Tabla 24'!G11,"IGUAL","CAMBIO")</f>
        <v>IGUAL</v>
      </c>
      <c r="O11" s="262"/>
      <c r="P11" s="202"/>
      <c r="Q11" s="202"/>
      <c r="R11" s="202"/>
      <c r="S11" s="202"/>
    </row>
    <row r="12" spans="2:19" ht="15" customHeight="1" thickBot="1" x14ac:dyDescent="0.3">
      <c r="D12" s="148" t="str">
        <f>'24'!E93&amp;"-"&amp;'24'!F93</f>
        <v>2402-2403</v>
      </c>
      <c r="E12" s="149">
        <f>HLOOKUP($D12,'24'!$C$94:$F$102,E$13,FALSE)</f>
        <v>464.15933837579615</v>
      </c>
      <c r="F12" s="149">
        <f>HLOOKUP($D12,'24'!$C$94:$F$102,F$13,FALSE)</f>
        <v>0.87</v>
      </c>
      <c r="G12" s="150" t="str">
        <f>HLOOKUP($D12,'24'!$C$94:$F$102,G$13,FALSE)</f>
        <v>$\phi8@17$</v>
      </c>
      <c r="I12" s="268" t="str">
        <f>IF(G12='[1]Tabla 24'!G12,"IGUAL","CAMBIO")</f>
        <v>IGUAL</v>
      </c>
      <c r="O12" s="262"/>
      <c r="P12" s="202"/>
      <c r="Q12" s="202"/>
      <c r="R12" s="202"/>
      <c r="S12" s="202"/>
    </row>
    <row r="13" spans="2:19" x14ac:dyDescent="0.25">
      <c r="D13" s="121"/>
      <c r="E13" s="121">
        <v>5</v>
      </c>
      <c r="F13" s="121">
        <v>8</v>
      </c>
      <c r="G13" s="121">
        <v>9</v>
      </c>
      <c r="O13" s="262"/>
      <c r="P13" s="202"/>
      <c r="Q13" s="202"/>
      <c r="R13" s="202"/>
      <c r="S13" s="202"/>
    </row>
    <row r="14" spans="2:19" x14ac:dyDescent="0.25">
      <c r="O14" s="262"/>
      <c r="P14" s="202"/>
      <c r="Q14" s="202"/>
      <c r="R14" s="202"/>
      <c r="S14" s="202"/>
    </row>
    <row r="15" spans="2:19" x14ac:dyDescent="0.25">
      <c r="O15" s="262"/>
      <c r="P15" s="202"/>
      <c r="Q15" s="202"/>
      <c r="R15" s="202"/>
      <c r="S15" s="202"/>
    </row>
    <row r="16" spans="2:19" x14ac:dyDescent="0.25">
      <c r="O16" s="262"/>
      <c r="P16" s="202"/>
      <c r="Q16" s="202"/>
      <c r="R16" s="202"/>
      <c r="S16" s="202"/>
    </row>
    <row r="17" spans="15:19" x14ac:dyDescent="0.25">
      <c r="O17" s="262"/>
      <c r="P17" s="202"/>
      <c r="Q17" s="202"/>
      <c r="R17" s="202"/>
      <c r="S17" s="202"/>
    </row>
    <row r="18" spans="15:19" x14ac:dyDescent="0.25">
      <c r="O18" s="262"/>
      <c r="P18" s="202"/>
      <c r="Q18" s="202"/>
      <c r="R18" s="202"/>
      <c r="S18" s="202"/>
    </row>
    <row r="19" spans="15:19" x14ac:dyDescent="0.25">
      <c r="O19" s="262"/>
      <c r="P19" s="202"/>
      <c r="Q19" s="202"/>
      <c r="R19" s="202"/>
      <c r="S19" s="202"/>
    </row>
    <row r="20" spans="15:19" x14ac:dyDescent="0.25">
      <c r="O20" s="262"/>
      <c r="P20" s="202"/>
      <c r="Q20" s="202"/>
      <c r="R20" s="202"/>
      <c r="S20" s="202"/>
    </row>
    <row r="21" spans="15:19" x14ac:dyDescent="0.25">
      <c r="O21" s="262"/>
      <c r="P21" s="202"/>
      <c r="Q21" s="202"/>
      <c r="R21" s="202"/>
      <c r="S21" s="202"/>
    </row>
    <row r="22" spans="15:19" x14ac:dyDescent="0.25">
      <c r="O22" s="262"/>
      <c r="P22" s="202"/>
      <c r="Q22" s="202"/>
      <c r="R22" s="202"/>
      <c r="S22" s="202"/>
    </row>
    <row r="23" spans="15:19" x14ac:dyDescent="0.25">
      <c r="O23" s="262"/>
      <c r="P23" s="202"/>
      <c r="Q23" s="202"/>
      <c r="R23" s="202"/>
      <c r="S23" s="202"/>
    </row>
    <row r="24" spans="15:19" x14ac:dyDescent="0.25">
      <c r="O24" s="262"/>
      <c r="P24" s="202"/>
      <c r="Q24" s="202"/>
      <c r="R24" s="202"/>
      <c r="S24" s="202"/>
    </row>
    <row r="25" spans="15:19" x14ac:dyDescent="0.25">
      <c r="O25" s="262"/>
      <c r="P25" s="202"/>
      <c r="Q25" s="202"/>
      <c r="R25" s="202"/>
      <c r="S25" s="202"/>
    </row>
    <row r="26" spans="15:19" x14ac:dyDescent="0.25">
      <c r="O26" s="262"/>
      <c r="P26" s="202"/>
      <c r="Q26" s="202"/>
      <c r="R26" s="202"/>
      <c r="S26" s="202"/>
    </row>
  </sheetData>
  <mergeCells count="12">
    <mergeCell ref="D9:E9"/>
    <mergeCell ref="B2:G2"/>
    <mergeCell ref="H2:J2"/>
    <mergeCell ref="K2:M2"/>
    <mergeCell ref="B3:B4"/>
    <mergeCell ref="D3:D4"/>
    <mergeCell ref="E3:E4"/>
    <mergeCell ref="F3:G3"/>
    <mergeCell ref="H3:I3"/>
    <mergeCell ref="J3:K3"/>
    <mergeCell ref="L3:M3"/>
    <mergeCell ref="C3:C4"/>
  </mergeCells>
  <conditionalFormatting sqref="P5:S6 P8:S24">
    <cfRule type="containsText" dxfId="11" priority="6" operator="containsText" text="CAMBIO">
      <formula>NOT(ISERROR(SEARCH("CAMBIO",P5)))</formula>
    </cfRule>
  </conditionalFormatting>
  <conditionalFormatting sqref="P25:S25">
    <cfRule type="containsText" dxfId="10" priority="5" operator="containsText" text="CAMBIO">
      <formula>NOT(ISERROR(SEARCH("CAMBIO",P25)))</formula>
    </cfRule>
  </conditionalFormatting>
  <conditionalFormatting sqref="P25:S25">
    <cfRule type="containsText" dxfId="9" priority="4" operator="containsText" text="CAMBIO">
      <formula>NOT(ISERROR(SEARCH("CAMBIO",P25)))</formula>
    </cfRule>
  </conditionalFormatting>
  <conditionalFormatting sqref="P26:S26">
    <cfRule type="containsText" dxfId="8" priority="3" operator="containsText" text="CAMBIO">
      <formula>NOT(ISERROR(SEARCH("CAMBIO",P26)))</formula>
    </cfRule>
  </conditionalFormatting>
  <conditionalFormatting sqref="P7:S7">
    <cfRule type="containsText" dxfId="7" priority="2" operator="containsText" text="CAMBIO">
      <formula>NOT(ISERROR(SEARCH("CAMBIO",P7)))</formula>
    </cfRule>
  </conditionalFormatting>
  <conditionalFormatting sqref="I11:I12">
    <cfRule type="containsText" dxfId="6" priority="1" operator="containsText" text="CAMBIO">
      <formula>NOT(ISERROR(SEARCH("CAMBIO",I11)))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383B-C220-4E10-A929-5AC4BA731A59}">
  <dimension ref="B2:U62"/>
  <sheetViews>
    <sheetView showGridLines="0" zoomScale="80" zoomScaleNormal="80" workbookViewId="0">
      <selection activeCell="H19" sqref="H19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3" width="13.7109375" bestFit="1" customWidth="1"/>
    <col min="4" max="4" width="4.28515625" customWidth="1"/>
    <col min="5" max="5" width="18.28515625" bestFit="1" customWidth="1"/>
    <col min="6" max="6" width="11.85546875" bestFit="1" customWidth="1"/>
    <col min="7" max="7" width="4.28515625" customWidth="1"/>
    <col min="8" max="8" width="14.140625" bestFit="1" customWidth="1"/>
    <col min="9" max="9" width="17.5703125" bestFit="1" customWidth="1"/>
    <col min="10" max="10" width="4.28515625" customWidth="1"/>
    <col min="11" max="11" width="13.5703125" bestFit="1" customWidth="1"/>
    <col min="12" max="12" width="10.5703125" bestFit="1" customWidth="1"/>
    <col min="13" max="13" width="11.28515625" bestFit="1" customWidth="1"/>
    <col min="14" max="24" width="14.7109375" bestFit="1" customWidth="1"/>
  </cols>
  <sheetData>
    <row r="2" spans="2:21" ht="18.75" x14ac:dyDescent="0.3">
      <c r="B2" s="52" t="s">
        <v>237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1" t="s">
        <v>19</v>
      </c>
      <c r="C4" s="110">
        <v>16</v>
      </c>
      <c r="E4" s="297" t="s">
        <v>29</v>
      </c>
      <c r="F4" s="298"/>
      <c r="H4" s="297" t="s">
        <v>30</v>
      </c>
      <c r="I4" s="298"/>
      <c r="K4" s="297" t="s">
        <v>39</v>
      </c>
      <c r="L4" s="298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187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2.04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07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$\phi8@17$</v>
      </c>
      <c r="I13" s="39"/>
      <c r="J13" s="39"/>
      <c r="K13" s="39"/>
      <c r="L13" s="39"/>
      <c r="M13" s="39"/>
      <c r="N13" s="39"/>
      <c r="O13" s="39"/>
      <c r="P13" s="107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07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08"/>
      <c r="K15" s="108"/>
      <c r="L15" s="108"/>
      <c r="M15" s="108"/>
      <c r="N15" s="108"/>
      <c r="O15" s="108"/>
      <c r="P15" s="108"/>
      <c r="Q15" s="108"/>
      <c r="T15" s="40"/>
      <c r="U15" s="41"/>
    </row>
    <row r="16" spans="2:21" ht="15.75" hidden="1" thickBot="1" x14ac:dyDescent="0.3">
      <c r="B16" s="119" t="s">
        <v>238</v>
      </c>
      <c r="C16" s="118">
        <v>2.2000000000000002</v>
      </c>
      <c r="D16" s="118">
        <v>4.04</v>
      </c>
      <c r="E16" s="118">
        <v>16</v>
      </c>
      <c r="F16" s="118">
        <v>6</v>
      </c>
      <c r="G16" s="118">
        <v>100</v>
      </c>
      <c r="H16" s="118" t="s">
        <v>187</v>
      </c>
      <c r="I16" s="120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t="15.75" thickBot="1" x14ac:dyDescent="0.3">
      <c r="B17" s="67"/>
      <c r="C17" s="9"/>
      <c r="D17" s="6"/>
      <c r="E17" s="6"/>
      <c r="F17" s="109"/>
      <c r="G17" s="6"/>
      <c r="H17" s="6"/>
      <c r="I17" s="6"/>
      <c r="P17" s="40"/>
      <c r="T17" s="40"/>
      <c r="U17" s="41"/>
    </row>
    <row r="18" spans="2:21" ht="15.75" thickBot="1" x14ac:dyDescent="0.3">
      <c r="B18" s="73" t="s">
        <v>43</v>
      </c>
      <c r="C18" s="74" t="s">
        <v>334</v>
      </c>
      <c r="D18" s="39"/>
      <c r="E18" s="39"/>
      <c r="F18" s="39"/>
      <c r="G18" s="39"/>
    </row>
    <row r="19" spans="2:21" ht="15.75" thickBot="1" x14ac:dyDescent="0.3">
      <c r="B19" s="71" t="s">
        <v>95</v>
      </c>
      <c r="C19" s="72"/>
      <c r="D19" s="39"/>
      <c r="E19" s="39"/>
      <c r="F19" s="39"/>
      <c r="G19" s="39"/>
    </row>
    <row r="20" spans="2:21" x14ac:dyDescent="0.25">
      <c r="B20" s="94" t="s">
        <v>81</v>
      </c>
      <c r="C20" s="76">
        <f>VLOOKUP(C$18,$B$16:$H$16,2)</f>
        <v>2.2000000000000002</v>
      </c>
    </row>
    <row r="21" spans="2:21" x14ac:dyDescent="0.25">
      <c r="B21" s="94" t="s">
        <v>82</v>
      </c>
      <c r="C21" s="76">
        <f>VLOOKUP(C$18,$B$16:$H$16,3)</f>
        <v>4.04</v>
      </c>
    </row>
    <row r="22" spans="2:21" x14ac:dyDescent="0.25">
      <c r="B22" s="97" t="s">
        <v>86</v>
      </c>
      <c r="C22" s="76">
        <f>ROUNDUP((C26*C20*100)/C27+$C$5,0)</f>
        <v>5</v>
      </c>
    </row>
    <row r="23" spans="2:21" ht="15.75" thickBot="1" x14ac:dyDescent="0.3">
      <c r="B23" s="98" t="s">
        <v>0</v>
      </c>
      <c r="C23" s="113">
        <f>VLOOKUP(C$18,$B$16:$I$16,5)</f>
        <v>6</v>
      </c>
    </row>
    <row r="24" spans="2:21" ht="15.75" thickBot="1" x14ac:dyDescent="0.3">
      <c r="B24" s="71" t="s">
        <v>94</v>
      </c>
      <c r="C24" s="72"/>
    </row>
    <row r="25" spans="2:21" x14ac:dyDescent="0.25">
      <c r="B25" s="97" t="s">
        <v>84</v>
      </c>
      <c r="C25" s="256">
        <f>ROUNDUP(C21/C20,1)</f>
        <v>1.9000000000000001</v>
      </c>
    </row>
    <row r="26" spans="2:21" x14ac:dyDescent="0.25">
      <c r="B26" s="97" t="s">
        <v>337</v>
      </c>
      <c r="C26" s="76">
        <f>IF(C25&gt;1.5,VLOOKUP(C23&amp;1.5,tablas!$M$3:$P$56,4,FALSE),VLOOKUP(C23&amp;C25,tablas!$M$3:$P$56,4,FALSE))</f>
        <v>0.57999999999999996</v>
      </c>
    </row>
    <row r="27" spans="2:21" x14ac:dyDescent="0.25">
      <c r="B27" s="97" t="s">
        <v>85</v>
      </c>
      <c r="C27" s="76">
        <v>53</v>
      </c>
    </row>
    <row r="28" spans="2:21" x14ac:dyDescent="0.25">
      <c r="B28" s="97" t="s">
        <v>11</v>
      </c>
      <c r="C28" s="76">
        <f>IF(C25&lt;=2,VLOOKUP(C23&amp;C25-0.1,tablas!$B$3:$K$92,4,FALSE),"Franja de losa")</f>
        <v>1</v>
      </c>
    </row>
    <row r="29" spans="2:21" x14ac:dyDescent="0.25">
      <c r="B29" s="94" t="s">
        <v>4</v>
      </c>
      <c r="C29" s="76">
        <f>IF(C25&lt;=2,VLOOKUP(C23&amp;C25-0.1,tablas!$B$3:$K$92,7,FALSE),"Franja de losa")</f>
        <v>48.8</v>
      </c>
    </row>
    <row r="30" spans="2:21" x14ac:dyDescent="0.25">
      <c r="B30" s="94" t="s">
        <v>5</v>
      </c>
      <c r="C30" s="76">
        <f>IF(C25&lt;=2,VLOOKUP(C23&amp;C25-0.1,tablas!$B$3:$K$92,8,FALSE),"Franja de losa")</f>
        <v>190</v>
      </c>
    </row>
    <row r="31" spans="2:21" x14ac:dyDescent="0.25">
      <c r="B31" s="94" t="s">
        <v>6</v>
      </c>
      <c r="C31" s="76">
        <f>IF(C25&lt;=2,VLOOKUP(C23&amp;C25-0.1,tablas!$B$3:$K$92,9,FALSE),"Franja de losa")</f>
        <v>22</v>
      </c>
    </row>
    <row r="32" spans="2:21" x14ac:dyDescent="0.25">
      <c r="B32" s="94" t="s">
        <v>7</v>
      </c>
      <c r="C32" s="76">
        <f>IF(C25&lt;=2,VLOOKUP(C23&amp;C25-0.1,tablas!$B$3:$K$92,10,FALSE),"Franja de losa")</f>
        <v>31.4</v>
      </c>
    </row>
    <row r="33" spans="2:3" x14ac:dyDescent="0.25">
      <c r="B33" s="97" t="s">
        <v>2</v>
      </c>
      <c r="C33" s="76">
        <f>IF(C25&lt;=2,VLOOKUP(C23&amp;C25-0.1,tablas!$B$3:$K$92,5,FALSE),"Franja de losa")</f>
        <v>1.39</v>
      </c>
    </row>
    <row r="34" spans="2:3" ht="15.75" thickBot="1" x14ac:dyDescent="0.3">
      <c r="B34" s="98" t="s">
        <v>3</v>
      </c>
      <c r="C34" s="82">
        <f>IF(C25&lt;=2,VLOOKUP(C23&amp;C25-0.1,tablas!$B$3:$K$92,6,FALSE),"Franja de losa")</f>
        <v>1.39</v>
      </c>
    </row>
    <row r="35" spans="2:3" ht="15.75" thickBot="1" x14ac:dyDescent="0.3">
      <c r="B35" s="71" t="s">
        <v>87</v>
      </c>
      <c r="C35" s="72"/>
    </row>
    <row r="36" spans="2:3" x14ac:dyDescent="0.25">
      <c r="B36" s="94" t="s">
        <v>83</v>
      </c>
      <c r="C36" s="83">
        <f>VLOOKUP($C$18,$B$16:$H$16,6)</f>
        <v>100</v>
      </c>
    </row>
    <row r="37" spans="2:3" x14ac:dyDescent="0.25">
      <c r="B37" s="94" t="s">
        <v>89</v>
      </c>
      <c r="C37" s="76">
        <f>$L$7*($C$4/100)</f>
        <v>400</v>
      </c>
    </row>
    <row r="38" spans="2:3" x14ac:dyDescent="0.25">
      <c r="B38" s="94" t="s">
        <v>90</v>
      </c>
      <c r="C38" s="76">
        <f>C37+$I$8</f>
        <v>625</v>
      </c>
    </row>
    <row r="39" spans="2:3" x14ac:dyDescent="0.25">
      <c r="B39" s="94" t="s">
        <v>91</v>
      </c>
      <c r="C39" s="76">
        <f>1.2*C38+1.6*C36</f>
        <v>910</v>
      </c>
    </row>
    <row r="40" spans="2:3" x14ac:dyDescent="0.25">
      <c r="B40" s="95" t="s">
        <v>92</v>
      </c>
      <c r="C40" s="84">
        <f>C39*C20*C21</f>
        <v>8088.0800000000008</v>
      </c>
    </row>
    <row r="41" spans="2:3" ht="15.75" thickBot="1" x14ac:dyDescent="0.3">
      <c r="B41" s="96" t="s">
        <v>93</v>
      </c>
      <c r="C41" s="86">
        <f>C36/(2*C39)</f>
        <v>5.4945054945054944E-2</v>
      </c>
    </row>
    <row r="42" spans="2:3" ht="15.75" thickBot="1" x14ac:dyDescent="0.3">
      <c r="B42" s="71" t="s">
        <v>96</v>
      </c>
      <c r="C42" s="72"/>
    </row>
    <row r="43" spans="2:3" x14ac:dyDescent="0.25">
      <c r="B43" s="93" t="s">
        <v>97</v>
      </c>
      <c r="C43" s="88">
        <f>IF(C25&lt;=2,C40/C29*(1+C41*C33)*C28,IF(OR(C23=6,C23="5a",C23="3a"),C39*C20^2/17,(IF(OR(C23="2a",C23=4,C23="5b"),C39*C20^2/12,IF(OR(C23=1,C23="2b",C23="3b"),C39*C20^2/8)))))</f>
        <v>178.39745901639347</v>
      </c>
    </row>
    <row r="44" spans="2:3" x14ac:dyDescent="0.25">
      <c r="B44" s="94" t="s">
        <v>15</v>
      </c>
      <c r="C44" s="89">
        <f>C43/(0.9*(0.9*($C$7/100))*($L$9*1000))</f>
        <v>0.36756304499907988</v>
      </c>
    </row>
    <row r="45" spans="2:3" x14ac:dyDescent="0.25">
      <c r="B45" s="94" t="s">
        <v>98</v>
      </c>
      <c r="C45" s="91">
        <f>(C44*($L$9))/(0.85*$L$6*100)</f>
        <v>9.0724903840603329E-3</v>
      </c>
    </row>
    <row r="46" spans="2:3" ht="15.75" thickBot="1" x14ac:dyDescent="0.3">
      <c r="B46" s="94" t="s">
        <v>15</v>
      </c>
      <c r="C46" s="76">
        <f>ROUNDUP(C43/(0.9*(($C$7-C45/2)/100)*($L$9*1000)),2)</f>
        <v>0.34</v>
      </c>
    </row>
    <row r="47" spans="2:3" ht="16.5" thickBot="1" x14ac:dyDescent="0.3">
      <c r="B47" s="61" t="s">
        <v>100</v>
      </c>
      <c r="C47" s="192" t="str">
        <f>IF(C46&gt;$C$12,"$\phi"&amp;IF(VLOOKUP(VLOOKUP(C46,tablas!$S$3:$U$66,2,TRUE)&amp;VLOOKUP(C46,tablas!$S$3:$U$66,3,TRUE),tablas!$R$3:$S$66,2,FALSE)&lt;C46,VLOOKUP(C46+0.1,tablas!$S$3:$U$66,2,TRUE),VLOOKUP(C46,tablas!$S$3:$U$66,2,TRUE))&amp;"@"&amp;IF(VLOOKUP(VLOOKUP(C46,tablas!$S$3:$U$66,2,TRUE)&amp;VLOOKUP(C46,tablas!$S$3:$U$66,3,TRUE),tablas!$R$3:$S$66,2,FALSE)&lt;C46,VLOOKUP(C46+0.1,tablas!$S$3:$U$66,3,TRUE),VLOOKUP(C46,tablas!$S$3:$U$66,3,TRUE))&amp;"$",$C$13)</f>
        <v>$\phi8@17$</v>
      </c>
    </row>
    <row r="48" spans="2:3" x14ac:dyDescent="0.25">
      <c r="B48" s="93" t="s">
        <v>102</v>
      </c>
      <c r="C48" s="88">
        <f>IF(C25&lt;=2,C40/C30*(1+C41*C34)*C28,"0")</f>
        <v>45.819978947368426</v>
      </c>
    </row>
    <row r="49" spans="2:3" x14ac:dyDescent="0.25">
      <c r="B49" s="94" t="s">
        <v>15</v>
      </c>
      <c r="C49" s="84">
        <f t="shared" ref="C49" si="0">C48/(0.9*(0.9*($C$7/100))*($L$9*1000))</f>
        <v>9.4405666294500507E-2</v>
      </c>
    </row>
    <row r="50" spans="2:3" x14ac:dyDescent="0.25">
      <c r="B50" s="94" t="s">
        <v>98</v>
      </c>
      <c r="C50" s="84">
        <f t="shared" ref="C50" si="1">(C49*($L$9))/(0.85*$L$6*100)</f>
        <v>2.3301975302218118E-3</v>
      </c>
    </row>
    <row r="51" spans="2:3" ht="15.75" thickBot="1" x14ac:dyDescent="0.3">
      <c r="B51" s="94" t="s">
        <v>15</v>
      </c>
      <c r="C51" s="76">
        <f t="shared" ref="C51" si="2">ROUNDUP(C48/(0.9*(($C$7-C50/2)/100)*($L$9*1000)),2)</f>
        <v>0.09</v>
      </c>
    </row>
    <row r="52" spans="2:3" ht="16.5" thickBot="1" x14ac:dyDescent="0.3">
      <c r="B52" s="61" t="s">
        <v>101</v>
      </c>
      <c r="C52" s="192" t="str">
        <f>IF(C51&gt;$C$12,"$\phi"&amp;IF(VLOOKUP(VLOOKUP(C51,tablas!$S$3:$U$66,2,TRUE)&amp;VLOOKUP(C51,tablas!$S$3:$U$66,3,TRUE),tablas!$R$3:$S$66,2,FALSE)&lt;C51,VLOOKUP(C51+0.1,tablas!$S$3:$U$66,2,TRUE),VLOOKUP(C51,tablas!$S$3:$U$66,2,TRUE))&amp;"@"&amp;IF(VLOOKUP(VLOOKUP(C51,tablas!$S$3:$U$66,2,TRUE)&amp;VLOOKUP(C51,tablas!$S$3:$U$66,3,TRUE),tablas!$R$3:$S$66,2,FALSE)&lt;C51,VLOOKUP(C51+0.1,tablas!$S$3:$U$66,3,TRUE),VLOOKUP(C51,tablas!$S$3:$U$66,3,TRUE))&amp;"$",$C$13)</f>
        <v>$\phi8@17$</v>
      </c>
    </row>
    <row r="53" spans="2:3" x14ac:dyDescent="0.25">
      <c r="B53" s="93" t="s">
        <v>103</v>
      </c>
      <c r="C53" s="88">
        <f>IF(C25&lt;=2,C40/C31,IF(OR(C23=6,C23="5a",C23="3a"),C39*C20^2/12,(IF(OR(C23="2a",C23=4,C23="5b"),C39*C20^2/8,"-"))))</f>
        <v>367.64000000000004</v>
      </c>
    </row>
    <row r="54" spans="2:3" x14ac:dyDescent="0.25">
      <c r="B54" s="94" t="s">
        <v>15</v>
      </c>
      <c r="C54" s="89">
        <f>C53/(0.9*(0.9*($C$7/100))*($L$9*1000))</f>
        <v>0.75747086650513429</v>
      </c>
    </row>
    <row r="55" spans="2:3" x14ac:dyDescent="0.25">
      <c r="B55" s="94" t="s">
        <v>98</v>
      </c>
      <c r="C55" s="91">
        <f>(C54*($L$9))/(0.85*$L$6*100)</f>
        <v>1.8696512737266292E-2</v>
      </c>
    </row>
    <row r="56" spans="2:3" ht="15.75" thickBot="1" x14ac:dyDescent="0.3">
      <c r="B56" s="94" t="s">
        <v>15</v>
      </c>
      <c r="C56" s="76">
        <f>ROUNDUP(C53/(0.9*(($C$7-C55/2)/100)*($L$9*1000)),2)</f>
        <v>0.69000000000000006</v>
      </c>
    </row>
    <row r="57" spans="2:3" ht="16.5" thickBot="1" x14ac:dyDescent="0.3">
      <c r="B57" s="61" t="s">
        <v>105</v>
      </c>
      <c r="C57" s="192" t="str">
        <f>IF(C56&gt;$C$12,"$\phi"&amp;IF(VLOOKUP(VLOOKUP(C56,tablas!$S$3:$U$66,2,TRUE)&amp;VLOOKUP(C56,tablas!$S$3:$U$66,3,TRUE),tablas!$R$3:$S$66,2,FALSE)&lt;C56,VLOOKUP(C56+0.1,tablas!$S$3:$U$66,2,TRUE),VLOOKUP(C56,tablas!$S$3:$U$66,2,TRUE))&amp;"@"&amp;IF(VLOOKUP(VLOOKUP(C56,tablas!$S$3:$U$66,2,TRUE)&amp;VLOOKUP(C56,tablas!$S$3:$U$66,3,TRUE),tablas!$R$3:$S$66,2,FALSE)&lt;C56,VLOOKUP(C56+0.1,tablas!$S$3:$U$66,3,TRUE),VLOOKUP(C56,tablas!$S$3:$U$66,3,TRUE))&amp;"$",$C$13)</f>
        <v>$\phi8@17$</v>
      </c>
    </row>
    <row r="58" spans="2:3" x14ac:dyDescent="0.25">
      <c r="B58" s="93" t="s">
        <v>104</v>
      </c>
      <c r="C58" s="88">
        <f>IF(C25&lt;=2,C40/C32,IF(OR(C23=6,C23="5a",C23="3a"),C39*C20^2/17.5,(IF(OR(C23="2a",C23=4,C23="5b"),C39*C20^2/11.25,IF(OR(C23=1,C23="2b",C23="3b"),C39*C20^2/8)))))</f>
        <v>257.58216560509555</v>
      </c>
    </row>
    <row r="59" spans="2:3" x14ac:dyDescent="0.25">
      <c r="B59" s="94" t="s">
        <v>15</v>
      </c>
      <c r="C59" s="89">
        <f>C58/(0.9*(0.9*($C$7/100))*($L$9*1000))</f>
        <v>0.53071207207366089</v>
      </c>
    </row>
    <row r="60" spans="2:3" x14ac:dyDescent="0.25">
      <c r="B60" s="94" t="s">
        <v>98</v>
      </c>
      <c r="C60" s="91">
        <f>(C59*($L$9))/(0.85*$L$6*100)</f>
        <v>1.3099467522925425E-2</v>
      </c>
    </row>
    <row r="61" spans="2:3" ht="15.75" thickBot="1" x14ac:dyDescent="0.3">
      <c r="B61" s="94" t="s">
        <v>15</v>
      </c>
      <c r="C61" s="76">
        <f>ROUNDUP(C58/(0.9*(($C$7-C60/2)/100)*($L$9*1000)),2)</f>
        <v>0.48</v>
      </c>
    </row>
    <row r="62" spans="2:3" ht="16.5" thickBot="1" x14ac:dyDescent="0.3">
      <c r="B62" s="61" t="s">
        <v>106</v>
      </c>
      <c r="C62" s="192" t="str">
        <f>IF(C61&gt;$C$12,"$\phi"&amp;IF(VLOOKUP(VLOOKUP(C61,tablas!$S$3:$U$66,2,TRUE)&amp;VLOOKUP(C61,tablas!$S$3:$U$66,3,TRUE),tablas!$R$3:$S$66,2,FALSE)&lt;C61,VLOOKUP(C61+0.1,tablas!$S$3:$U$66,2,TRUE),VLOOKUP(C61,tablas!$S$3:$U$66,2,TRUE))&amp;"@"&amp;IF(VLOOKUP(VLOOKUP(C61,tablas!$S$3:$U$66,2,TRUE)&amp;VLOOKUP(C61,tablas!$S$3:$U$66,3,TRUE),tablas!$R$3:$S$66,2,FALSE)&lt;C61,VLOOKUP(C61+0.1,tablas!$S$3:$U$66,3,TRUE),VLOOKUP(C61,tablas!$S$3:$U$66,3,TRUE))&amp;"$",$C$13)</f>
        <v>$\phi8@17$</v>
      </c>
    </row>
  </sheetData>
  <mergeCells count="3">
    <mergeCell ref="E4:F4"/>
    <mergeCell ref="H4:I4"/>
    <mergeCell ref="K4:L4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8AF6-BB47-4CDD-B52E-30A0E77B3801}">
  <dimension ref="B3:M7"/>
  <sheetViews>
    <sheetView workbookViewId="0">
      <selection activeCell="J12" sqref="J12"/>
    </sheetView>
  </sheetViews>
  <sheetFormatPr defaultColWidth="11.42578125" defaultRowHeight="15" x14ac:dyDescent="0.25"/>
  <cols>
    <col min="1" max="1" width="2.85546875" customWidth="1"/>
    <col min="4" max="4" width="12" customWidth="1"/>
    <col min="6" max="6" width="12.85546875" style="201" customWidth="1"/>
    <col min="7" max="7" width="12.140625" customWidth="1"/>
    <col min="8" max="8" width="12.85546875" style="201" customWidth="1"/>
    <col min="9" max="9" width="12.140625" customWidth="1"/>
    <col min="10" max="10" width="12.85546875" style="201" customWidth="1"/>
    <col min="11" max="11" width="12.140625" customWidth="1"/>
    <col min="12" max="12" width="12.85546875" style="201" customWidth="1"/>
    <col min="13" max="13" width="12.140625" customWidth="1"/>
  </cols>
  <sheetData>
    <row r="3" spans="2:13" ht="15.75" thickBot="1" x14ac:dyDescent="0.3"/>
    <row r="4" spans="2:13" ht="15.75" thickBot="1" x14ac:dyDescent="0.3">
      <c r="B4" s="305" t="s">
        <v>275</v>
      </c>
      <c r="C4" s="306"/>
      <c r="D4" s="306"/>
      <c r="E4" s="306"/>
      <c r="F4" s="306"/>
      <c r="G4" s="307"/>
      <c r="H4" s="308"/>
      <c r="I4" s="308"/>
      <c r="J4" s="308"/>
      <c r="K4" s="308"/>
      <c r="L4" s="308"/>
      <c r="M4" s="308"/>
    </row>
    <row r="5" spans="2:13" ht="15.75" thickBot="1" x14ac:dyDescent="0.3">
      <c r="B5" s="318" t="s">
        <v>43</v>
      </c>
      <c r="C5" s="313" t="s">
        <v>19</v>
      </c>
      <c r="D5" s="311" t="s">
        <v>246</v>
      </c>
      <c r="E5" s="311" t="s">
        <v>244</v>
      </c>
      <c r="F5" s="320" t="s">
        <v>240</v>
      </c>
      <c r="G5" s="321"/>
      <c r="H5" s="320" t="s">
        <v>241</v>
      </c>
      <c r="I5" s="321"/>
      <c r="J5" s="320" t="s">
        <v>247</v>
      </c>
      <c r="K5" s="321"/>
      <c r="L5" s="320" t="s">
        <v>248</v>
      </c>
      <c r="M5" s="307"/>
    </row>
    <row r="6" spans="2:13" ht="30" customHeight="1" thickBot="1" x14ac:dyDescent="0.3">
      <c r="B6" s="319"/>
      <c r="C6" s="314"/>
      <c r="D6" s="312"/>
      <c r="E6" s="312"/>
      <c r="F6" s="259" t="s">
        <v>245</v>
      </c>
      <c r="G6" s="139" t="s">
        <v>242</v>
      </c>
      <c r="H6" s="259" t="s">
        <v>245</v>
      </c>
      <c r="I6" s="139" t="s">
        <v>242</v>
      </c>
      <c r="J6" s="259" t="s">
        <v>245</v>
      </c>
      <c r="K6" s="139" t="s">
        <v>242</v>
      </c>
      <c r="L6" s="259" t="s">
        <v>245</v>
      </c>
      <c r="M6" s="135" t="s">
        <v>242</v>
      </c>
    </row>
    <row r="7" spans="2:13" ht="15.75" thickBot="1" x14ac:dyDescent="0.3">
      <c r="B7" s="238" t="str">
        <f>Cubierta!C18</f>
        <v>CU01</v>
      </c>
      <c r="C7" s="224">
        <f>Cubierta!C4</f>
        <v>16</v>
      </c>
      <c r="D7" s="239">
        <f>Cubierta!$C$12</f>
        <v>2.88</v>
      </c>
      <c r="E7" s="239">
        <f>HLOOKUP($B7,Cubierta!$C$18:$AE$62,22)</f>
        <v>910</v>
      </c>
      <c r="F7" s="260">
        <f>HLOOKUP($B7,Cubierta!$C$18:$AE$62,29)</f>
        <v>0.34</v>
      </c>
      <c r="G7" s="239" t="str">
        <f>HLOOKUP($B7,Cubierta!$C$18:$AE$62,30)</f>
        <v>$\phi8@17$</v>
      </c>
      <c r="H7" s="260">
        <f>HLOOKUP($B7,Cubierta!$C$18:$AE$62,34)</f>
        <v>0.09</v>
      </c>
      <c r="I7" s="239" t="str">
        <f>HLOOKUP($B7,Cubierta!$C$18:$AE$62,35)</f>
        <v>$\phi8@17$</v>
      </c>
      <c r="J7" s="260">
        <f>HLOOKUP($B7,Cubierta!$C$18:$AE$62,39)</f>
        <v>0.69000000000000006</v>
      </c>
      <c r="K7" s="239" t="str">
        <f>HLOOKUP($B7,Cubierta!$C$18:$AE$62,40)</f>
        <v>$\phi8@17$</v>
      </c>
      <c r="L7" s="260">
        <f>HLOOKUP($B7,Cubierta!$C$18:$AE$62,44)</f>
        <v>0.48</v>
      </c>
      <c r="M7" s="240" t="str">
        <f>HLOOKUP($B7,Cubierta!$C$18:$AE$62,45)</f>
        <v>$\phi8@17$</v>
      </c>
    </row>
  </sheetData>
  <mergeCells count="11">
    <mergeCell ref="B4:G4"/>
    <mergeCell ref="H4:J4"/>
    <mergeCell ref="K4:M4"/>
    <mergeCell ref="B5:B6"/>
    <mergeCell ref="D5:D6"/>
    <mergeCell ref="E5:E6"/>
    <mergeCell ref="F5:G5"/>
    <mergeCell ref="H5:I5"/>
    <mergeCell ref="J5:K5"/>
    <mergeCell ref="L5:M5"/>
    <mergeCell ref="C5:C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53B9-FB73-4E93-9F0A-F7D72E013962}">
  <dimension ref="B1:I28"/>
  <sheetViews>
    <sheetView tabSelected="1" zoomScale="80" zoomScaleNormal="80" workbookViewId="0">
      <selection activeCell="G20" sqref="G20"/>
    </sheetView>
  </sheetViews>
  <sheetFormatPr defaultRowHeight="15" x14ac:dyDescent="0.25"/>
  <cols>
    <col min="1" max="1" width="2.85546875" customWidth="1"/>
    <col min="4" max="6" width="11.42578125" customWidth="1"/>
    <col min="7" max="7" width="11.42578125" style="324" customWidth="1"/>
    <col min="8" max="8" width="11.42578125" style="201" customWidth="1"/>
  </cols>
  <sheetData>
    <row r="1" spans="2:9" ht="15.75" thickBot="1" x14ac:dyDescent="0.3">
      <c r="H1"/>
    </row>
    <row r="2" spans="2:9" ht="30" customHeight="1" thickBot="1" x14ac:dyDescent="0.3">
      <c r="B2" s="69" t="s">
        <v>285</v>
      </c>
      <c r="C2" s="69" t="s">
        <v>43</v>
      </c>
      <c r="D2" s="197" t="s">
        <v>308</v>
      </c>
      <c r="E2" s="197" t="s">
        <v>309</v>
      </c>
      <c r="F2" s="197" t="s">
        <v>310</v>
      </c>
      <c r="G2" s="197" t="s">
        <v>311</v>
      </c>
      <c r="H2" s="197" t="s">
        <v>335</v>
      </c>
      <c r="I2" s="197" t="s">
        <v>336</v>
      </c>
    </row>
    <row r="3" spans="2:9" x14ac:dyDescent="0.25">
      <c r="B3" s="6">
        <v>-1</v>
      </c>
      <c r="C3" s="64" t="s">
        <v>72</v>
      </c>
      <c r="D3" s="198">
        <v>-0.66239999999999999</v>
      </c>
      <c r="E3" s="198">
        <v>-1.6000000000000001E-3</v>
      </c>
      <c r="F3" s="15">
        <f>-(D3-E3)</f>
        <v>0.66079999999999994</v>
      </c>
      <c r="G3" s="58">
        <f>3*F3</f>
        <v>1.9823999999999997</v>
      </c>
      <c r="H3" s="15">
        <f>(HLOOKUP(Deformaciones!C3,'-1'!$C$46:$AE$51,3)*1000/180)/10</f>
        <v>4.5777777777777775</v>
      </c>
      <c r="I3" s="15" t="str">
        <f>IF(G3&lt;H3,"OK","MAL")</f>
        <v>OK</v>
      </c>
    </row>
    <row r="4" spans="2:9" x14ac:dyDescent="0.25">
      <c r="B4" s="6">
        <v>1</v>
      </c>
      <c r="C4" s="64" t="s">
        <v>124</v>
      </c>
      <c r="D4" s="198">
        <v>-0.53100000000000003</v>
      </c>
      <c r="E4" s="198">
        <v>-8.9099999999999999E-2</v>
      </c>
      <c r="F4" s="15">
        <f t="shared" ref="F4:F28" si="0">-(D4-E4)</f>
        <v>0.44190000000000002</v>
      </c>
      <c r="G4" s="58">
        <f t="shared" ref="G4:G28" si="1">3*F4</f>
        <v>1.3257000000000001</v>
      </c>
      <c r="H4" s="15">
        <f>(HLOOKUP(Deformaciones!C4,'1'!$C$46:$AE$51,3)*1000/180)/10</f>
        <v>3.0777777777777779</v>
      </c>
      <c r="I4" s="15" t="str">
        <f t="shared" ref="I4:I28" si="2">IF(G4&lt;H4,"OK","MAL")</f>
        <v>OK</v>
      </c>
    </row>
    <row r="5" spans="2:9" x14ac:dyDescent="0.25">
      <c r="B5" s="6">
        <v>2</v>
      </c>
      <c r="C5" s="64" t="s">
        <v>312</v>
      </c>
      <c r="D5" s="198">
        <v>-0.32450000000000001</v>
      </c>
      <c r="E5" s="198">
        <v>-8.6800000000000002E-2</v>
      </c>
      <c r="F5" s="15">
        <f t="shared" si="0"/>
        <v>0.23770000000000002</v>
      </c>
      <c r="G5" s="58">
        <f t="shared" si="1"/>
        <v>0.71310000000000007</v>
      </c>
      <c r="H5" s="15">
        <f>(HLOOKUP(Deformaciones!C5,'2 a 7'!$C$46:$AE$51,3)*1000/480)/10</f>
        <v>1.2604166666666665</v>
      </c>
      <c r="I5" s="15" t="str">
        <f t="shared" si="2"/>
        <v>OK</v>
      </c>
    </row>
    <row r="6" spans="2:9" x14ac:dyDescent="0.25">
      <c r="B6" s="6">
        <v>3</v>
      </c>
      <c r="C6" s="64" t="s">
        <v>313</v>
      </c>
      <c r="D6" s="198">
        <v>-0.34200000000000003</v>
      </c>
      <c r="E6" s="198">
        <v>-0.1172</v>
      </c>
      <c r="F6" s="15">
        <f t="shared" si="0"/>
        <v>0.22480000000000003</v>
      </c>
      <c r="G6" s="58">
        <f t="shared" si="1"/>
        <v>0.67440000000000011</v>
      </c>
      <c r="H6" s="15">
        <f>(HLOOKUP(Deformaciones!C5,'2 a 7'!$C$46:$AE$51,3)*1000/480)/10</f>
        <v>1.2604166666666665</v>
      </c>
      <c r="I6" s="15" t="str">
        <f t="shared" si="2"/>
        <v>OK</v>
      </c>
    </row>
    <row r="7" spans="2:9" x14ac:dyDescent="0.25">
      <c r="B7" s="6">
        <v>4</v>
      </c>
      <c r="C7" s="64" t="s">
        <v>314</v>
      </c>
      <c r="D7" s="198">
        <v>-0.37769999999999998</v>
      </c>
      <c r="E7" s="198">
        <v>-0.14530000000000001</v>
      </c>
      <c r="F7" s="15">
        <f t="shared" si="0"/>
        <v>0.23239999999999997</v>
      </c>
      <c r="G7" s="58">
        <f t="shared" si="1"/>
        <v>0.69719999999999993</v>
      </c>
      <c r="H7" s="15">
        <f>(HLOOKUP(Deformaciones!C5,'2 a 7'!$C$46:$AE$51,3)*1000/480)/10</f>
        <v>1.2604166666666665</v>
      </c>
      <c r="I7" s="15" t="str">
        <f t="shared" si="2"/>
        <v>OK</v>
      </c>
    </row>
    <row r="8" spans="2:9" x14ac:dyDescent="0.25">
      <c r="B8" s="6">
        <v>5</v>
      </c>
      <c r="C8" s="64" t="s">
        <v>315</v>
      </c>
      <c r="D8" s="198">
        <v>-0.40949999999999998</v>
      </c>
      <c r="E8" s="198">
        <v>-0.17299999999999999</v>
      </c>
      <c r="F8" s="15">
        <f t="shared" si="0"/>
        <v>0.23649999999999999</v>
      </c>
      <c r="G8" s="58">
        <f t="shared" si="1"/>
        <v>0.70950000000000002</v>
      </c>
      <c r="H8" s="15">
        <f>(HLOOKUP(Deformaciones!C5,'2 a 7'!$C$46:$AE$51,3)*1000/480)/10</f>
        <v>1.2604166666666665</v>
      </c>
      <c r="I8" s="15" t="str">
        <f t="shared" si="2"/>
        <v>OK</v>
      </c>
    </row>
    <row r="9" spans="2:9" x14ac:dyDescent="0.25">
      <c r="B9" s="6">
        <v>6</v>
      </c>
      <c r="C9" s="64" t="s">
        <v>316</v>
      </c>
      <c r="D9" s="198">
        <v>-0.44019999999999998</v>
      </c>
      <c r="E9" s="198">
        <v>-0.19889999999999999</v>
      </c>
      <c r="F9" s="15">
        <f t="shared" si="0"/>
        <v>0.24129999999999999</v>
      </c>
      <c r="G9" s="58">
        <f t="shared" si="1"/>
        <v>0.72389999999999999</v>
      </c>
      <c r="H9" s="15">
        <f>(HLOOKUP(Deformaciones!C5,'2 a 7'!$C$46:$AE$51,3)*1000/480)/10</f>
        <v>1.2604166666666665</v>
      </c>
      <c r="I9" s="15" t="str">
        <f t="shared" si="2"/>
        <v>OK</v>
      </c>
    </row>
    <row r="10" spans="2:9" x14ac:dyDescent="0.25">
      <c r="B10" s="6">
        <v>7</v>
      </c>
      <c r="C10" s="64" t="s">
        <v>317</v>
      </c>
      <c r="D10" s="198">
        <v>-0.46889999999999998</v>
      </c>
      <c r="E10" s="198">
        <v>-0.22370000000000001</v>
      </c>
      <c r="F10" s="15">
        <f t="shared" si="0"/>
        <v>0.24519999999999997</v>
      </c>
      <c r="G10" s="58">
        <f t="shared" si="1"/>
        <v>0.73559999999999992</v>
      </c>
      <c r="H10" s="15">
        <f>(HLOOKUP(Deformaciones!C5,'2 a 7'!$C$46:$AE$51,3)*1000/480)/10</f>
        <v>1.2604166666666665</v>
      </c>
      <c r="I10" s="15" t="str">
        <f t="shared" si="2"/>
        <v>OK</v>
      </c>
    </row>
    <row r="11" spans="2:9" x14ac:dyDescent="0.25">
      <c r="B11" s="6">
        <v>8</v>
      </c>
      <c r="C11" s="64" t="s">
        <v>318</v>
      </c>
      <c r="D11" s="198">
        <v>-0.50639999999999996</v>
      </c>
      <c r="E11" s="198">
        <v>-0.24859999999999999</v>
      </c>
      <c r="F11" s="15">
        <f t="shared" si="0"/>
        <v>0.25779999999999997</v>
      </c>
      <c r="G11" s="58">
        <f t="shared" si="1"/>
        <v>0.77339999999999987</v>
      </c>
      <c r="H11" s="15">
        <f>(HLOOKUP(Deformaciones!C11,'8 a 13'!$C$46:$AE$51,3)*1000/480)/10</f>
        <v>1.2604166666666665</v>
      </c>
      <c r="I11" s="15" t="str">
        <f t="shared" si="2"/>
        <v>OK</v>
      </c>
    </row>
    <row r="12" spans="2:9" x14ac:dyDescent="0.25">
      <c r="B12" s="6">
        <v>9</v>
      </c>
      <c r="C12" s="64" t="s">
        <v>319</v>
      </c>
      <c r="D12" s="198">
        <v>-0.53320000000000001</v>
      </c>
      <c r="E12" s="198">
        <v>-0.27200000000000002</v>
      </c>
      <c r="F12" s="15">
        <f t="shared" si="0"/>
        <v>0.26119999999999999</v>
      </c>
      <c r="G12" s="58">
        <f t="shared" si="1"/>
        <v>0.78359999999999996</v>
      </c>
      <c r="H12" s="15">
        <f>(HLOOKUP(Deformaciones!C11,'8 a 13'!$C$46:$AE$51,3)*1000/480)/10</f>
        <v>1.2604166666666665</v>
      </c>
      <c r="I12" s="15" t="str">
        <f t="shared" si="2"/>
        <v>OK</v>
      </c>
    </row>
    <row r="13" spans="2:9" x14ac:dyDescent="0.25">
      <c r="B13" s="6">
        <v>10</v>
      </c>
      <c r="C13" s="64" t="s">
        <v>320</v>
      </c>
      <c r="D13" s="198">
        <v>-0.55810000000000004</v>
      </c>
      <c r="E13" s="198">
        <v>-0.29370000000000002</v>
      </c>
      <c r="F13" s="15">
        <f t="shared" si="0"/>
        <v>0.26440000000000002</v>
      </c>
      <c r="G13" s="58">
        <f t="shared" si="1"/>
        <v>0.79320000000000013</v>
      </c>
      <c r="H13" s="15">
        <f>(HLOOKUP(Deformaciones!C11,'8 a 13'!$C$46:$AE$51,3)*1000/480)/10</f>
        <v>1.2604166666666665</v>
      </c>
      <c r="I13" s="15" t="str">
        <f t="shared" si="2"/>
        <v>OK</v>
      </c>
    </row>
    <row r="14" spans="2:9" x14ac:dyDescent="0.25">
      <c r="B14" s="6">
        <v>11</v>
      </c>
      <c r="C14" s="64" t="s">
        <v>321</v>
      </c>
      <c r="D14" s="198">
        <v>-0.58099999999999996</v>
      </c>
      <c r="E14" s="198">
        <v>-0.31369999999999998</v>
      </c>
      <c r="F14" s="15">
        <f t="shared" si="0"/>
        <v>0.26729999999999998</v>
      </c>
      <c r="G14" s="58">
        <f t="shared" si="1"/>
        <v>0.80189999999999995</v>
      </c>
      <c r="H14" s="15">
        <f>(HLOOKUP(Deformaciones!C11,'8 a 13'!$C$46:$AE$51,3)*1000/480)/10</f>
        <v>1.2604166666666665</v>
      </c>
      <c r="I14" s="15" t="str">
        <f t="shared" si="2"/>
        <v>OK</v>
      </c>
    </row>
    <row r="15" spans="2:9" x14ac:dyDescent="0.25">
      <c r="B15" s="6">
        <v>12</v>
      </c>
      <c r="C15" s="64" t="s">
        <v>322</v>
      </c>
      <c r="D15" s="198">
        <v>-0.60189999999999999</v>
      </c>
      <c r="E15" s="198">
        <v>-0.33200000000000002</v>
      </c>
      <c r="F15" s="15">
        <f t="shared" si="0"/>
        <v>0.26989999999999997</v>
      </c>
      <c r="G15" s="58">
        <f t="shared" si="1"/>
        <v>0.80969999999999986</v>
      </c>
      <c r="H15" s="15">
        <f>(HLOOKUP(Deformaciones!C11,'8 a 13'!$C$46:$AE$51,3)*1000/480)/10</f>
        <v>1.2604166666666665</v>
      </c>
      <c r="I15" s="15" t="str">
        <f t="shared" si="2"/>
        <v>OK</v>
      </c>
    </row>
    <row r="16" spans="2:9" x14ac:dyDescent="0.25">
      <c r="B16" s="6">
        <v>13</v>
      </c>
      <c r="C16" s="64" t="s">
        <v>323</v>
      </c>
      <c r="D16" s="198">
        <v>-0.62160000000000004</v>
      </c>
      <c r="E16" s="198">
        <v>-0.34870000000000001</v>
      </c>
      <c r="F16" s="15">
        <f t="shared" si="0"/>
        <v>0.27290000000000003</v>
      </c>
      <c r="G16" s="58">
        <f t="shared" si="1"/>
        <v>0.81870000000000009</v>
      </c>
      <c r="H16" s="15">
        <f>(HLOOKUP(Deformaciones!C11,'8 a 13'!$C$46:$AE$51,3)*1000/480)/10</f>
        <v>1.2604166666666665</v>
      </c>
      <c r="I16" s="15" t="str">
        <f t="shared" si="2"/>
        <v>OK</v>
      </c>
    </row>
    <row r="17" spans="2:9" x14ac:dyDescent="0.25">
      <c r="B17" s="6">
        <v>14</v>
      </c>
      <c r="C17" s="64" t="s">
        <v>324</v>
      </c>
      <c r="D17" s="198">
        <v>-0.65490000000000004</v>
      </c>
      <c r="E17" s="198">
        <v>-0.37180000000000002</v>
      </c>
      <c r="F17" s="15">
        <f t="shared" si="0"/>
        <v>0.28310000000000002</v>
      </c>
      <c r="G17" s="58">
        <f t="shared" si="1"/>
        <v>0.84930000000000005</v>
      </c>
      <c r="H17" s="15">
        <f>(HLOOKUP(Deformaciones!C17,'14 a 22'!$C$46:$AE$51,3)*1000/480)/10</f>
        <v>1.2604166666666665</v>
      </c>
      <c r="I17" s="15" t="str">
        <f t="shared" si="2"/>
        <v>OK</v>
      </c>
    </row>
    <row r="18" spans="2:9" x14ac:dyDescent="0.25">
      <c r="B18" s="6">
        <v>15</v>
      </c>
      <c r="C18" s="64" t="s">
        <v>325</v>
      </c>
      <c r="D18" s="198">
        <v>-0.6784</v>
      </c>
      <c r="E18" s="198">
        <v>-0.39219999999999999</v>
      </c>
      <c r="F18" s="15">
        <f t="shared" si="0"/>
        <v>0.28620000000000001</v>
      </c>
      <c r="G18" s="58">
        <f t="shared" si="1"/>
        <v>0.85860000000000003</v>
      </c>
      <c r="H18" s="15">
        <f>(HLOOKUP(Deformaciones!C17,'14 a 22'!$C$46:$AE$51,3)*1000/480)/10</f>
        <v>1.2604166666666665</v>
      </c>
      <c r="I18" s="15" t="str">
        <f t="shared" si="2"/>
        <v>OK</v>
      </c>
    </row>
    <row r="19" spans="2:9" x14ac:dyDescent="0.25">
      <c r="B19" s="6">
        <v>16</v>
      </c>
      <c r="C19" s="64" t="s">
        <v>326</v>
      </c>
      <c r="D19" s="198">
        <v>-0.69899999999999995</v>
      </c>
      <c r="E19" s="198">
        <v>-0.4103</v>
      </c>
      <c r="F19" s="15">
        <f t="shared" si="0"/>
        <v>0.28869999999999996</v>
      </c>
      <c r="G19" s="58">
        <f t="shared" si="1"/>
        <v>0.86609999999999987</v>
      </c>
      <c r="H19" s="15">
        <f>(HLOOKUP(Deformaciones!C17,'14 a 22'!$C$46:$AE$51,3)*1000/480)/10</f>
        <v>1.2604166666666665</v>
      </c>
      <c r="I19" s="15" t="str">
        <f t="shared" si="2"/>
        <v>OK</v>
      </c>
    </row>
    <row r="20" spans="2:9" x14ac:dyDescent="0.25">
      <c r="B20" s="6">
        <v>17</v>
      </c>
      <c r="C20" s="64" t="s">
        <v>327</v>
      </c>
      <c r="D20" s="198">
        <v>-0.71689999999999998</v>
      </c>
      <c r="E20" s="198">
        <v>-0.42599999999999999</v>
      </c>
      <c r="F20" s="15">
        <f t="shared" si="0"/>
        <v>0.29089999999999999</v>
      </c>
      <c r="G20" s="58">
        <f t="shared" si="1"/>
        <v>0.87270000000000003</v>
      </c>
      <c r="H20" s="15">
        <f>(HLOOKUP(Deformaciones!C17,'14 a 22'!$C$46:$AE$51,3)*1000/480)/10</f>
        <v>1.2604166666666665</v>
      </c>
      <c r="I20" s="15" t="str">
        <f t="shared" si="2"/>
        <v>OK</v>
      </c>
    </row>
    <row r="21" spans="2:9" x14ac:dyDescent="0.25">
      <c r="B21" s="6">
        <v>18</v>
      </c>
      <c r="C21" s="64" t="s">
        <v>328</v>
      </c>
      <c r="D21" s="198">
        <v>-0.73199999999999998</v>
      </c>
      <c r="E21" s="198">
        <v>-0.43919999999999998</v>
      </c>
      <c r="F21" s="15">
        <f t="shared" si="0"/>
        <v>0.2928</v>
      </c>
      <c r="G21" s="58">
        <f t="shared" si="1"/>
        <v>0.87840000000000007</v>
      </c>
      <c r="H21" s="15">
        <f>(HLOOKUP(Deformaciones!C17,'14 a 22'!$C$46:$AE$51,3)*1000/480)/10</f>
        <v>1.2604166666666665</v>
      </c>
      <c r="I21" s="15" t="str">
        <f t="shared" si="2"/>
        <v>OK</v>
      </c>
    </row>
    <row r="22" spans="2:9" x14ac:dyDescent="0.25">
      <c r="B22" s="6">
        <v>19</v>
      </c>
      <c r="C22" s="64" t="s">
        <v>329</v>
      </c>
      <c r="D22" s="198">
        <v>-0.74419999999999997</v>
      </c>
      <c r="E22" s="198">
        <v>-0.4501</v>
      </c>
      <c r="F22" s="15">
        <f t="shared" si="0"/>
        <v>0.29409999999999997</v>
      </c>
      <c r="G22" s="58">
        <f t="shared" si="1"/>
        <v>0.88229999999999986</v>
      </c>
      <c r="H22" s="15">
        <f>(HLOOKUP(Deformaciones!C17,'14 a 22'!$C$46:$AE$51,3)*1000/480)/10</f>
        <v>1.2604166666666665</v>
      </c>
      <c r="I22" s="15" t="str">
        <f t="shared" si="2"/>
        <v>OK</v>
      </c>
    </row>
    <row r="23" spans="2:9" x14ac:dyDescent="0.25">
      <c r="B23" s="6">
        <v>20</v>
      </c>
      <c r="C23" s="64" t="s">
        <v>330</v>
      </c>
      <c r="D23" s="198">
        <v>-0.75370000000000004</v>
      </c>
      <c r="E23" s="198">
        <v>-0.45850000000000002</v>
      </c>
      <c r="F23" s="15">
        <f t="shared" si="0"/>
        <v>0.29520000000000002</v>
      </c>
      <c r="G23" s="58">
        <f t="shared" si="1"/>
        <v>0.88560000000000005</v>
      </c>
      <c r="H23" s="15">
        <f>(HLOOKUP(Deformaciones!C17,'14 a 22'!$C$46:$AE$51,3)*1000/480)/10</f>
        <v>1.2604166666666665</v>
      </c>
      <c r="I23" s="15" t="str">
        <f t="shared" si="2"/>
        <v>OK</v>
      </c>
    </row>
    <row r="24" spans="2:9" x14ac:dyDescent="0.25">
      <c r="B24" s="6">
        <v>21</v>
      </c>
      <c r="C24" s="64" t="s">
        <v>331</v>
      </c>
      <c r="D24" s="198">
        <v>-0.76049999999999995</v>
      </c>
      <c r="E24" s="198">
        <v>-0.4647</v>
      </c>
      <c r="F24" s="15">
        <f t="shared" si="0"/>
        <v>0.29579999999999995</v>
      </c>
      <c r="G24" s="58">
        <f t="shared" si="1"/>
        <v>0.88739999999999986</v>
      </c>
      <c r="H24" s="15">
        <f>(HLOOKUP(Deformaciones!C17,'14 a 22'!$C$46:$AE$51,3)*1000/480)/10</f>
        <v>1.2604166666666665</v>
      </c>
      <c r="I24" s="15" t="str">
        <f t="shared" si="2"/>
        <v>OK</v>
      </c>
    </row>
    <row r="25" spans="2:9" x14ac:dyDescent="0.25">
      <c r="B25" s="6">
        <v>22</v>
      </c>
      <c r="C25" s="64" t="s">
        <v>332</v>
      </c>
      <c r="D25" s="198">
        <v>-0.76429999999999998</v>
      </c>
      <c r="E25" s="198">
        <v>-0.46800000000000003</v>
      </c>
      <c r="F25" s="15">
        <f t="shared" si="0"/>
        <v>0.29629999999999995</v>
      </c>
      <c r="G25" s="58">
        <f t="shared" si="1"/>
        <v>0.8888999999999998</v>
      </c>
      <c r="H25" s="15">
        <f>(HLOOKUP(Deformaciones!C17,'14 a 22'!$C$46:$AE$51,3)*1000/480)/10</f>
        <v>1.2604166666666665</v>
      </c>
      <c r="I25" s="15" t="str">
        <f t="shared" si="2"/>
        <v>OK</v>
      </c>
    </row>
    <row r="26" spans="2:9" x14ac:dyDescent="0.25">
      <c r="B26" s="6">
        <v>23</v>
      </c>
      <c r="C26" s="64" t="s">
        <v>225</v>
      </c>
      <c r="D26" s="198">
        <v>-0.76980000000000004</v>
      </c>
      <c r="E26" s="198">
        <v>-0.63690000000000002</v>
      </c>
      <c r="F26" s="15">
        <f t="shared" si="0"/>
        <v>0.13290000000000002</v>
      </c>
      <c r="G26" s="58">
        <f t="shared" si="1"/>
        <v>0.39870000000000005</v>
      </c>
      <c r="H26" s="15">
        <f>(HLOOKUP(Deformaciones!C26,'23'!$C$46:$AE$51,3)*1000/180)/10</f>
        <v>0.83888888888888891</v>
      </c>
      <c r="I26" s="15" t="str">
        <f t="shared" si="2"/>
        <v>OK</v>
      </c>
    </row>
    <row r="27" spans="2:9" x14ac:dyDescent="0.25">
      <c r="B27" s="6">
        <v>24</v>
      </c>
      <c r="C27" s="64" t="s">
        <v>333</v>
      </c>
      <c r="D27" s="198">
        <v>-0.50749999999999995</v>
      </c>
      <c r="E27" s="198">
        <v>-0.45369999999999999</v>
      </c>
      <c r="F27" s="15">
        <f t="shared" si="0"/>
        <v>5.3799999999999959E-2</v>
      </c>
      <c r="G27" s="58">
        <f t="shared" si="1"/>
        <v>0.16139999999999988</v>
      </c>
      <c r="H27" s="15">
        <f>(HLOOKUP(Deformaciones!C27,'24'!$C$46:$AE$51,3)*1000/180)/10</f>
        <v>1.6111111111111112</v>
      </c>
      <c r="I27" s="15" t="str">
        <f t="shared" si="2"/>
        <v>OK</v>
      </c>
    </row>
    <row r="28" spans="2:9" ht="15.75" thickBot="1" x14ac:dyDescent="0.3">
      <c r="B28" s="9" t="s">
        <v>238</v>
      </c>
      <c r="C28" s="67" t="s">
        <v>334</v>
      </c>
      <c r="D28" s="199">
        <v>-0.4778</v>
      </c>
      <c r="E28" s="199">
        <v>-0.436</v>
      </c>
      <c r="F28" s="16">
        <f t="shared" si="0"/>
        <v>4.1800000000000004E-2</v>
      </c>
      <c r="G28" s="325">
        <f t="shared" si="1"/>
        <v>0.12540000000000001</v>
      </c>
      <c r="H28" s="16">
        <f>(HLOOKUP(Deformaciones!C28,Cubierta!C18:C23,3)*1000/180)/10</f>
        <v>1.2222222222222221</v>
      </c>
      <c r="I28" s="16" t="str">
        <f t="shared" si="2"/>
        <v>OK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07B1-B062-4618-98DA-7E7D42BE2ED5}">
  <dimension ref="B2:AM135"/>
  <sheetViews>
    <sheetView showGridLines="0" zoomScale="70" zoomScaleNormal="70" workbookViewId="0">
      <selection activeCell="H13" sqref="H13"/>
    </sheetView>
  </sheetViews>
  <sheetFormatPr defaultColWidth="11.42578125" defaultRowHeight="15" x14ac:dyDescent="0.25"/>
  <cols>
    <col min="1" max="1" width="2.85546875" customWidth="1"/>
    <col min="2" max="2" width="18.140625" customWidth="1"/>
    <col min="3" max="15" width="17.140625" customWidth="1"/>
    <col min="16" max="16" width="17.140625" style="40" customWidth="1"/>
    <col min="17" max="19" width="17.140625" customWidth="1"/>
    <col min="20" max="20" width="17.140625" style="40" customWidth="1"/>
    <col min="21" max="21" width="17.140625" style="41" customWidth="1"/>
    <col min="22" max="31" width="17.140625" customWidth="1"/>
    <col min="35" max="35" width="20" bestFit="1" customWidth="1"/>
    <col min="36" max="36" width="7.7109375" bestFit="1" customWidth="1"/>
    <col min="37" max="37" width="4.85546875" customWidth="1"/>
    <col min="38" max="38" width="21.85546875" bestFit="1" customWidth="1"/>
    <col min="39" max="39" width="15.28515625" bestFit="1" customWidth="1"/>
  </cols>
  <sheetData>
    <row r="2" spans="2:14" ht="18.75" x14ac:dyDescent="0.3">
      <c r="B2" s="52" t="s">
        <v>18</v>
      </c>
    </row>
    <row r="3" spans="2:14" ht="15.75" thickBot="1" x14ac:dyDescent="0.3"/>
    <row r="4" spans="2:14" ht="15.75" thickBot="1" x14ac:dyDescent="0.3">
      <c r="B4" s="111" t="s">
        <v>19</v>
      </c>
      <c r="C4" s="110">
        <v>17</v>
      </c>
      <c r="E4" s="297" t="s">
        <v>29</v>
      </c>
      <c r="F4" s="298"/>
      <c r="H4" s="297" t="s">
        <v>30</v>
      </c>
      <c r="I4" s="298"/>
      <c r="K4" s="297" t="s">
        <v>39</v>
      </c>
      <c r="L4" s="298"/>
    </row>
    <row r="5" spans="2:14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41</v>
      </c>
    </row>
    <row r="6" spans="2:14" x14ac:dyDescent="0.25">
      <c r="B6" s="46" t="s">
        <v>21</v>
      </c>
      <c r="C6" s="36">
        <f>1.6*$C$4</f>
        <v>27.200000000000003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3.57</v>
      </c>
    </row>
    <row r="7" spans="2:14" ht="15.75" thickBot="1" x14ac:dyDescent="0.3">
      <c r="B7" s="46" t="s">
        <v>22</v>
      </c>
      <c r="C7" s="36">
        <f>$C$4-$C$5</f>
        <v>15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</row>
    <row r="8" spans="2:14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I5+I6+I7</f>
        <v>225</v>
      </c>
      <c r="K8" s="44" t="s">
        <v>239</v>
      </c>
      <c r="L8" s="38" t="s">
        <v>42</v>
      </c>
    </row>
    <row r="9" spans="2:14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</row>
    <row r="10" spans="2:14" x14ac:dyDescent="0.25">
      <c r="B10" s="46" t="s">
        <v>33</v>
      </c>
      <c r="C10" s="36">
        <v>5</v>
      </c>
    </row>
    <row r="11" spans="2:14" ht="15.75" thickBot="1" x14ac:dyDescent="0.3">
      <c r="B11" s="48" t="s">
        <v>35</v>
      </c>
      <c r="C11" s="37">
        <v>20</v>
      </c>
    </row>
    <row r="12" spans="2:14" ht="15.75" thickBot="1" x14ac:dyDescent="0.3">
      <c r="B12" s="49" t="s">
        <v>288</v>
      </c>
      <c r="C12" s="43">
        <f>C4*0.18</f>
        <v>3.06</v>
      </c>
    </row>
    <row r="13" spans="2:14" ht="15.75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$\phi8@16$</v>
      </c>
    </row>
    <row r="14" spans="2:14" ht="15.75" hidden="1" thickBot="1" x14ac:dyDescent="0.3">
      <c r="B14" s="51"/>
      <c r="C14" s="62"/>
    </row>
    <row r="15" spans="2:14" ht="15.75" hidden="1" thickBot="1" x14ac:dyDescent="0.3">
      <c r="B15" s="68" t="s">
        <v>43</v>
      </c>
      <c r="C15" s="34" t="s">
        <v>44</v>
      </c>
      <c r="D15" s="34" t="s">
        <v>45</v>
      </c>
      <c r="E15" s="34" t="s">
        <v>46</v>
      </c>
      <c r="F15" s="69" t="s">
        <v>0</v>
      </c>
      <c r="G15" s="70" t="s">
        <v>47</v>
      </c>
      <c r="H15" s="55" t="s">
        <v>48</v>
      </c>
      <c r="J15" s="277" t="s">
        <v>43</v>
      </c>
      <c r="K15" s="277"/>
      <c r="L15" s="177"/>
      <c r="M15" s="278" t="s">
        <v>49</v>
      </c>
      <c r="N15" s="278"/>
    </row>
    <row r="16" spans="2:14" ht="15.75" hidden="1" thickBot="1" x14ac:dyDescent="0.3">
      <c r="B16" s="63" t="s">
        <v>49</v>
      </c>
      <c r="C16" s="6">
        <v>5</v>
      </c>
      <c r="D16" s="6">
        <v>5.33</v>
      </c>
      <c r="E16" s="6">
        <v>17</v>
      </c>
      <c r="F16" s="64">
        <v>6</v>
      </c>
      <c r="G16" s="17">
        <v>500</v>
      </c>
      <c r="H16" s="7" t="s">
        <v>41</v>
      </c>
      <c r="J16" s="300" t="s">
        <v>95</v>
      </c>
      <c r="K16" s="300"/>
      <c r="L16" s="180"/>
      <c r="M16" s="300" t="s">
        <v>96</v>
      </c>
      <c r="N16" s="300"/>
    </row>
    <row r="17" spans="2:39" hidden="1" x14ac:dyDescent="0.25">
      <c r="B17" s="63" t="s">
        <v>50</v>
      </c>
      <c r="C17" s="6">
        <v>5</v>
      </c>
      <c r="D17" s="6">
        <v>7.2</v>
      </c>
      <c r="E17" s="6">
        <v>17</v>
      </c>
      <c r="F17" s="64">
        <v>6</v>
      </c>
      <c r="G17" s="17">
        <v>500</v>
      </c>
      <c r="H17" s="7" t="s">
        <v>41</v>
      </c>
      <c r="J17" s="181" t="s">
        <v>291</v>
      </c>
      <c r="K17" s="167">
        <f>C48</f>
        <v>5</v>
      </c>
      <c r="L17" s="180"/>
      <c r="M17" s="181" t="s">
        <v>293</v>
      </c>
      <c r="N17" s="173">
        <f>C71</f>
        <v>968.49358974358961</v>
      </c>
    </row>
    <row r="18" spans="2:39" hidden="1" x14ac:dyDescent="0.25">
      <c r="B18" s="63" t="s">
        <v>51</v>
      </c>
      <c r="C18" s="6">
        <v>5</v>
      </c>
      <c r="D18" s="6">
        <v>7.2</v>
      </c>
      <c r="E18" s="6">
        <v>17</v>
      </c>
      <c r="F18" s="64">
        <v>6</v>
      </c>
      <c r="G18" s="17">
        <v>500</v>
      </c>
      <c r="H18" s="7" t="s">
        <v>41</v>
      </c>
      <c r="J18" s="130" t="s">
        <v>290</v>
      </c>
      <c r="K18" s="168">
        <f t="shared" ref="K18:K20" si="0">C49</f>
        <v>5.33</v>
      </c>
      <c r="L18" s="180"/>
      <c r="M18" s="130" t="s">
        <v>280</v>
      </c>
      <c r="N18" s="174">
        <f t="shared" ref="N18:N21" si="1">C72</f>
        <v>1.8624160411976258</v>
      </c>
    </row>
    <row r="19" spans="2:39" hidden="1" x14ac:dyDescent="0.25">
      <c r="B19" s="63" t="s">
        <v>52</v>
      </c>
      <c r="C19" s="6">
        <v>5</v>
      </c>
      <c r="D19" s="6">
        <v>7.89</v>
      </c>
      <c r="E19" s="6">
        <v>17</v>
      </c>
      <c r="F19" s="64">
        <v>6</v>
      </c>
      <c r="G19" s="17">
        <v>500</v>
      </c>
      <c r="H19" s="7" t="s">
        <v>41</v>
      </c>
      <c r="J19" s="182" t="s">
        <v>289</v>
      </c>
      <c r="K19" s="168">
        <f t="shared" si="0"/>
        <v>10</v>
      </c>
      <c r="L19" s="180"/>
      <c r="M19" s="130" t="s">
        <v>98</v>
      </c>
      <c r="N19" s="175">
        <f t="shared" si="1"/>
        <v>2.626838245617347E-2</v>
      </c>
    </row>
    <row r="20" spans="2:39" ht="15.75" hidden="1" thickBot="1" x14ac:dyDescent="0.3">
      <c r="B20" s="63" t="s">
        <v>53</v>
      </c>
      <c r="C20" s="6">
        <v>4.45</v>
      </c>
      <c r="D20" s="6">
        <v>5</v>
      </c>
      <c r="E20" s="6">
        <v>17</v>
      </c>
      <c r="F20" s="64">
        <v>6</v>
      </c>
      <c r="G20" s="17">
        <v>500</v>
      </c>
      <c r="H20" s="7" t="s">
        <v>41</v>
      </c>
      <c r="J20" s="130" t="s">
        <v>299</v>
      </c>
      <c r="K20" s="188">
        <f t="shared" si="0"/>
        <v>6</v>
      </c>
      <c r="L20" s="180"/>
      <c r="M20" s="183" t="s">
        <v>280</v>
      </c>
      <c r="N20" s="169">
        <f t="shared" si="1"/>
        <v>1.68</v>
      </c>
    </row>
    <row r="21" spans="2:39" ht="16.5" hidden="1" thickBot="1" x14ac:dyDescent="0.3">
      <c r="B21" s="63" t="s">
        <v>54</v>
      </c>
      <c r="C21" s="6">
        <v>3.6</v>
      </c>
      <c r="D21" s="6">
        <v>5</v>
      </c>
      <c r="E21" s="6">
        <v>17</v>
      </c>
      <c r="F21" s="64">
        <v>6</v>
      </c>
      <c r="G21" s="17">
        <v>500</v>
      </c>
      <c r="H21" s="7" t="s">
        <v>41</v>
      </c>
      <c r="J21" s="130"/>
      <c r="K21" s="188"/>
      <c r="L21" s="168"/>
      <c r="M21" s="184" t="s">
        <v>100</v>
      </c>
      <c r="N21" s="176" t="str">
        <f t="shared" si="1"/>
        <v>$\phi8@16$</v>
      </c>
    </row>
    <row r="22" spans="2:39" ht="16.5" hidden="1" thickBot="1" x14ac:dyDescent="0.3">
      <c r="B22" s="63" t="s">
        <v>55</v>
      </c>
      <c r="C22" s="6">
        <v>5.33</v>
      </c>
      <c r="D22" s="6">
        <v>5.54</v>
      </c>
      <c r="E22" s="6">
        <v>17</v>
      </c>
      <c r="F22" s="64">
        <v>6</v>
      </c>
      <c r="G22" s="17">
        <v>500</v>
      </c>
      <c r="H22" s="7" t="s">
        <v>41</v>
      </c>
      <c r="J22" s="277" t="s">
        <v>94</v>
      </c>
      <c r="K22" s="277"/>
      <c r="L22" s="180"/>
      <c r="M22" s="189"/>
      <c r="N22" s="190"/>
    </row>
    <row r="23" spans="2:39" hidden="1" x14ac:dyDescent="0.25">
      <c r="B23" s="63" t="s">
        <v>56</v>
      </c>
      <c r="C23" s="6">
        <v>5.54</v>
      </c>
      <c r="D23" s="6">
        <v>7.2</v>
      </c>
      <c r="E23" s="6">
        <v>17</v>
      </c>
      <c r="F23" s="64">
        <v>6</v>
      </c>
      <c r="G23" s="17">
        <v>500</v>
      </c>
      <c r="H23" s="7" t="s">
        <v>41</v>
      </c>
      <c r="J23" s="185" t="s">
        <v>306</v>
      </c>
      <c r="K23" s="167">
        <f>C53</f>
        <v>1.1000000000000001</v>
      </c>
      <c r="L23" s="180"/>
      <c r="M23" s="130" t="s">
        <v>294</v>
      </c>
      <c r="N23" s="171">
        <f>C76</f>
        <v>740.61274509803923</v>
      </c>
    </row>
    <row r="24" spans="2:39" hidden="1" x14ac:dyDescent="0.25">
      <c r="B24" s="63" t="s">
        <v>57</v>
      </c>
      <c r="C24" s="6">
        <v>5.54</v>
      </c>
      <c r="D24" s="6">
        <v>7.2</v>
      </c>
      <c r="E24" s="6">
        <v>17</v>
      </c>
      <c r="F24" s="64">
        <v>6</v>
      </c>
      <c r="G24" s="17">
        <v>500</v>
      </c>
      <c r="H24" s="7" t="s">
        <v>41</v>
      </c>
      <c r="J24" s="182" t="s">
        <v>11</v>
      </c>
      <c r="K24" s="168">
        <f t="shared" ref="K24:K31" si="2">C54</f>
        <v>0.55000000000000004</v>
      </c>
      <c r="L24" s="180"/>
      <c r="M24" s="130" t="s">
        <v>280</v>
      </c>
      <c r="N24" s="174">
        <f t="shared" ref="N24:N27" si="3">C77</f>
        <v>1.4242005020923023</v>
      </c>
    </row>
    <row r="25" spans="2:39" hidden="1" x14ac:dyDescent="0.25">
      <c r="B25" s="63" t="s">
        <v>58</v>
      </c>
      <c r="C25" s="6">
        <v>5.54</v>
      </c>
      <c r="D25" s="6">
        <v>12.34</v>
      </c>
      <c r="E25" s="6">
        <v>17</v>
      </c>
      <c r="F25" s="64">
        <v>6</v>
      </c>
      <c r="G25" s="17">
        <v>500</v>
      </c>
      <c r="H25" s="7" t="s">
        <v>41</v>
      </c>
      <c r="J25" s="182" t="s">
        <v>307</v>
      </c>
      <c r="K25" s="168">
        <f t="shared" si="2"/>
        <v>35</v>
      </c>
      <c r="L25" s="180"/>
      <c r="M25" s="130" t="s">
        <v>98</v>
      </c>
      <c r="N25" s="175">
        <f t="shared" si="3"/>
        <v>2.0087586584132656E-2</v>
      </c>
    </row>
    <row r="26" spans="2:39" ht="15.75" hidden="1" thickBot="1" x14ac:dyDescent="0.3">
      <c r="B26" s="63" t="s">
        <v>59</v>
      </c>
      <c r="C26" s="6">
        <v>3.6</v>
      </c>
      <c r="D26" s="6">
        <v>5.54</v>
      </c>
      <c r="E26" s="6">
        <v>17</v>
      </c>
      <c r="F26" s="64">
        <v>6</v>
      </c>
      <c r="G26" s="17">
        <v>500</v>
      </c>
      <c r="H26" s="7" t="s">
        <v>41</v>
      </c>
      <c r="J26" s="130" t="s">
        <v>4</v>
      </c>
      <c r="K26" s="168">
        <f t="shared" si="2"/>
        <v>1</v>
      </c>
      <c r="L26" s="180"/>
      <c r="M26" s="183" t="s">
        <v>280</v>
      </c>
      <c r="N26" s="169">
        <f t="shared" si="3"/>
        <v>1.29</v>
      </c>
    </row>
    <row r="27" spans="2:39" ht="16.5" hidden="1" thickBot="1" x14ac:dyDescent="0.3">
      <c r="B27" s="63" t="s">
        <v>60</v>
      </c>
      <c r="C27" s="6">
        <v>6.05</v>
      </c>
      <c r="D27" s="6">
        <v>9.34</v>
      </c>
      <c r="E27" s="6">
        <v>17</v>
      </c>
      <c r="F27" s="64">
        <v>6</v>
      </c>
      <c r="G27" s="17">
        <v>400</v>
      </c>
      <c r="H27" s="7" t="s">
        <v>41</v>
      </c>
      <c r="J27" s="130" t="s">
        <v>5</v>
      </c>
      <c r="K27" s="168">
        <f t="shared" si="2"/>
        <v>50.7</v>
      </c>
      <c r="L27" s="180"/>
      <c r="M27" s="184" t="s">
        <v>101</v>
      </c>
      <c r="N27" s="176" t="str">
        <f t="shared" si="3"/>
        <v>$\phi8@16$</v>
      </c>
    </row>
    <row r="28" spans="2:39" ht="15.75" hidden="1" x14ac:dyDescent="0.25">
      <c r="B28" s="63" t="s">
        <v>61</v>
      </c>
      <c r="C28" s="6">
        <v>4.6500000000000004</v>
      </c>
      <c r="D28" s="6">
        <v>5.6</v>
      </c>
      <c r="E28" s="6">
        <v>17</v>
      </c>
      <c r="F28" s="64">
        <v>6</v>
      </c>
      <c r="G28" s="17">
        <v>400</v>
      </c>
      <c r="H28" s="7" t="s">
        <v>41</v>
      </c>
      <c r="J28" s="130" t="s">
        <v>6</v>
      </c>
      <c r="K28" s="168">
        <f t="shared" si="2"/>
        <v>66.3</v>
      </c>
      <c r="L28" s="180"/>
      <c r="M28" s="189"/>
      <c r="N28" s="190"/>
    </row>
    <row r="29" spans="2:39" hidden="1" x14ac:dyDescent="0.25">
      <c r="B29" s="63" t="s">
        <v>62</v>
      </c>
      <c r="C29" s="6">
        <v>4.6500000000000004</v>
      </c>
      <c r="D29" s="6">
        <v>5.6</v>
      </c>
      <c r="E29" s="6">
        <v>17</v>
      </c>
      <c r="F29" s="64">
        <v>6</v>
      </c>
      <c r="G29" s="17">
        <v>500</v>
      </c>
      <c r="H29" s="7" t="s">
        <v>41</v>
      </c>
      <c r="J29" s="130" t="s">
        <v>7</v>
      </c>
      <c r="K29" s="168">
        <f t="shared" si="2"/>
        <v>18.8</v>
      </c>
      <c r="L29" s="180"/>
      <c r="M29" s="130" t="s">
        <v>295</v>
      </c>
      <c r="N29" s="171">
        <f>C81</f>
        <v>2239.7340425531916</v>
      </c>
      <c r="AL29" s="180"/>
      <c r="AM29" s="180"/>
    </row>
    <row r="30" spans="2:39" hidden="1" x14ac:dyDescent="0.25">
      <c r="B30" s="63" t="s">
        <v>63</v>
      </c>
      <c r="C30" s="6">
        <v>6.05</v>
      </c>
      <c r="D30" s="6">
        <v>9.49</v>
      </c>
      <c r="E30" s="6">
        <v>17</v>
      </c>
      <c r="F30" s="64">
        <v>6</v>
      </c>
      <c r="G30" s="17">
        <v>500</v>
      </c>
      <c r="H30" s="7" t="s">
        <v>41</v>
      </c>
      <c r="J30" s="182" t="s">
        <v>304</v>
      </c>
      <c r="K30" s="168">
        <f t="shared" si="2"/>
        <v>20.3</v>
      </c>
      <c r="L30" s="180"/>
      <c r="M30" s="130" t="s">
        <v>280</v>
      </c>
      <c r="N30" s="174">
        <f t="shared" ref="N30:N33" si="4">C82</f>
        <v>4.3070151966331895</v>
      </c>
    </row>
    <row r="31" spans="2:39" hidden="1" x14ac:dyDescent="0.25">
      <c r="B31" s="63" t="s">
        <v>64</v>
      </c>
      <c r="C31" s="6">
        <v>4.45</v>
      </c>
      <c r="D31" s="6">
        <v>10.5</v>
      </c>
      <c r="E31" s="6">
        <v>17</v>
      </c>
      <c r="F31" s="64">
        <v>6</v>
      </c>
      <c r="G31" s="17">
        <v>500</v>
      </c>
      <c r="H31" s="7" t="s">
        <v>41</v>
      </c>
      <c r="J31" s="130" t="s">
        <v>305</v>
      </c>
      <c r="K31" s="168">
        <f t="shared" si="2"/>
        <v>1.05</v>
      </c>
      <c r="L31" s="180"/>
      <c r="M31" s="130" t="s">
        <v>98</v>
      </c>
      <c r="N31" s="175">
        <f t="shared" si="4"/>
        <v>6.0748146454407813E-2</v>
      </c>
    </row>
    <row r="32" spans="2:39" ht="15.75" hidden="1" thickBot="1" x14ac:dyDescent="0.3">
      <c r="B32" s="63" t="s">
        <v>65</v>
      </c>
      <c r="C32" s="6">
        <v>3.6</v>
      </c>
      <c r="D32" s="6">
        <v>10.5</v>
      </c>
      <c r="E32" s="6">
        <v>17</v>
      </c>
      <c r="F32" s="64">
        <v>6</v>
      </c>
      <c r="G32" s="17">
        <v>500</v>
      </c>
      <c r="H32" s="7" t="s">
        <v>41</v>
      </c>
      <c r="J32" s="130"/>
      <c r="K32" s="168"/>
      <c r="L32" s="180"/>
      <c r="M32" s="183" t="s">
        <v>280</v>
      </c>
      <c r="N32" s="169">
        <f t="shared" si="4"/>
        <v>3.8899999999999997</v>
      </c>
    </row>
    <row r="33" spans="2:31" ht="16.5" hidden="1" thickBot="1" x14ac:dyDescent="0.3">
      <c r="B33" s="63" t="s">
        <v>66</v>
      </c>
      <c r="C33" s="6">
        <v>7.16</v>
      </c>
      <c r="D33" s="6">
        <v>11.34</v>
      </c>
      <c r="E33" s="6">
        <v>17</v>
      </c>
      <c r="F33" s="64">
        <v>6</v>
      </c>
      <c r="G33" s="17">
        <v>400</v>
      </c>
      <c r="H33" s="7" t="s">
        <v>41</v>
      </c>
      <c r="J33" s="277" t="s">
        <v>87</v>
      </c>
      <c r="K33" s="277"/>
      <c r="L33" s="180"/>
      <c r="M33" s="184" t="s">
        <v>105</v>
      </c>
      <c r="N33" s="176" t="str">
        <f t="shared" si="4"/>
        <v>$\phi10@20$</v>
      </c>
    </row>
    <row r="34" spans="2:31" ht="15.75" hidden="1" x14ac:dyDescent="0.25">
      <c r="B34" s="63" t="s">
        <v>67</v>
      </c>
      <c r="C34" s="6">
        <v>1.4</v>
      </c>
      <c r="D34" s="6">
        <v>11.2</v>
      </c>
      <c r="E34" s="6">
        <v>17</v>
      </c>
      <c r="F34" s="64">
        <v>6</v>
      </c>
      <c r="G34" s="17">
        <v>400</v>
      </c>
      <c r="H34" s="7" t="s">
        <v>41</v>
      </c>
      <c r="J34" s="181" t="s">
        <v>298</v>
      </c>
      <c r="K34" s="170">
        <f>C64</f>
        <v>500</v>
      </c>
      <c r="L34" s="180"/>
      <c r="M34" s="189"/>
      <c r="N34" s="190"/>
    </row>
    <row r="35" spans="2:31" hidden="1" x14ac:dyDescent="0.25">
      <c r="B35" s="63" t="s">
        <v>68</v>
      </c>
      <c r="C35" s="6">
        <v>2.1</v>
      </c>
      <c r="D35" s="6">
        <v>4.04</v>
      </c>
      <c r="E35" s="6">
        <v>17</v>
      </c>
      <c r="F35" s="65" t="s">
        <v>10</v>
      </c>
      <c r="G35" s="17">
        <v>400</v>
      </c>
      <c r="H35" s="7" t="s">
        <v>41</v>
      </c>
      <c r="J35" s="130" t="s">
        <v>300</v>
      </c>
      <c r="K35" s="168">
        <f t="shared" ref="K35:K39" si="5">C65</f>
        <v>425.00000000000006</v>
      </c>
      <c r="L35" s="180"/>
      <c r="M35" s="130" t="s">
        <v>296</v>
      </c>
      <c r="N35" s="171">
        <f>C86</f>
        <v>2074.2364532019706</v>
      </c>
    </row>
    <row r="36" spans="2:31" hidden="1" x14ac:dyDescent="0.25">
      <c r="B36" s="63" t="s">
        <v>69</v>
      </c>
      <c r="C36" s="6">
        <v>2.9</v>
      </c>
      <c r="D36" s="6">
        <v>6.36</v>
      </c>
      <c r="E36" s="6">
        <v>17</v>
      </c>
      <c r="F36" s="64">
        <v>6</v>
      </c>
      <c r="G36" s="17">
        <v>400</v>
      </c>
      <c r="H36" s="7" t="s">
        <v>41</v>
      </c>
      <c r="J36" s="130" t="s">
        <v>301</v>
      </c>
      <c r="K36" s="168">
        <f t="shared" si="5"/>
        <v>650</v>
      </c>
      <c r="L36" s="180"/>
      <c r="M36" s="130" t="s">
        <v>280</v>
      </c>
      <c r="N36" s="174">
        <f t="shared" ref="N36:N39" si="6">C87</f>
        <v>3.9887628422021657</v>
      </c>
    </row>
    <row r="37" spans="2:31" hidden="1" x14ac:dyDescent="0.25">
      <c r="B37" s="63" t="s">
        <v>70</v>
      </c>
      <c r="C37" s="6">
        <v>4.25</v>
      </c>
      <c r="D37" s="6">
        <v>6.36</v>
      </c>
      <c r="E37" s="6">
        <v>17</v>
      </c>
      <c r="F37" s="64">
        <v>6</v>
      </c>
      <c r="G37" s="17">
        <v>500</v>
      </c>
      <c r="H37" s="7" t="s">
        <v>41</v>
      </c>
      <c r="J37" s="130" t="s">
        <v>302</v>
      </c>
      <c r="K37" s="168">
        <f t="shared" si="5"/>
        <v>1580</v>
      </c>
      <c r="L37" s="180"/>
      <c r="M37" s="130" t="s">
        <v>98</v>
      </c>
      <c r="N37" s="175">
        <f t="shared" si="6"/>
        <v>5.6259367159747137E-2</v>
      </c>
    </row>
    <row r="38" spans="2:31" ht="15.75" hidden="1" thickBot="1" x14ac:dyDescent="0.3">
      <c r="B38" s="63" t="s">
        <v>71</v>
      </c>
      <c r="C38" s="6">
        <v>6.49</v>
      </c>
      <c r="D38" s="6">
        <v>7.16</v>
      </c>
      <c r="E38" s="6">
        <v>17</v>
      </c>
      <c r="F38" s="64">
        <v>6</v>
      </c>
      <c r="G38" s="17">
        <v>500</v>
      </c>
      <c r="H38" s="7" t="s">
        <v>41</v>
      </c>
      <c r="J38" s="186" t="s">
        <v>297</v>
      </c>
      <c r="K38" s="171">
        <f t="shared" si="5"/>
        <v>42107</v>
      </c>
      <c r="L38" s="178"/>
      <c r="M38" s="183" t="s">
        <v>280</v>
      </c>
      <c r="N38" s="168">
        <f t="shared" si="6"/>
        <v>3.5999999999999996</v>
      </c>
    </row>
    <row r="39" spans="2:31" ht="16.5" hidden="1" thickBot="1" x14ac:dyDescent="0.3">
      <c r="B39" s="63" t="s">
        <v>72</v>
      </c>
      <c r="C39" s="6">
        <v>8.24</v>
      </c>
      <c r="D39" s="6">
        <v>18.54</v>
      </c>
      <c r="E39" s="6">
        <v>17</v>
      </c>
      <c r="F39" s="64">
        <v>6</v>
      </c>
      <c r="G39" s="17">
        <v>500</v>
      </c>
      <c r="H39" s="7" t="s">
        <v>41</v>
      </c>
      <c r="J39" s="187" t="s">
        <v>303</v>
      </c>
      <c r="K39" s="172">
        <f t="shared" si="5"/>
        <v>0.15822784810126583</v>
      </c>
      <c r="L39" s="156"/>
      <c r="M39" s="184" t="s">
        <v>106</v>
      </c>
      <c r="N39" s="176" t="str">
        <f t="shared" si="6"/>
        <v>$\phi8@14$</v>
      </c>
    </row>
    <row r="40" spans="2:31" hidden="1" x14ac:dyDescent="0.25">
      <c r="B40" s="63" t="s">
        <v>73</v>
      </c>
      <c r="C40" s="6">
        <v>5</v>
      </c>
      <c r="D40" s="6">
        <v>8.24</v>
      </c>
      <c r="E40" s="6">
        <v>17</v>
      </c>
      <c r="F40" s="64">
        <v>6</v>
      </c>
      <c r="G40" s="17">
        <v>500</v>
      </c>
      <c r="H40" s="7" t="s">
        <v>41</v>
      </c>
    </row>
    <row r="41" spans="2:31" hidden="1" x14ac:dyDescent="0.25">
      <c r="B41" s="63" t="s">
        <v>74</v>
      </c>
      <c r="C41" s="6">
        <v>5.52</v>
      </c>
      <c r="D41" s="6">
        <v>8.24</v>
      </c>
      <c r="E41" s="6">
        <v>17</v>
      </c>
      <c r="F41" s="64">
        <v>6</v>
      </c>
      <c r="G41" s="17">
        <v>500</v>
      </c>
      <c r="H41" s="7" t="s">
        <v>41</v>
      </c>
    </row>
    <row r="42" spans="2:31" hidden="1" x14ac:dyDescent="0.25">
      <c r="B42" s="63" t="s">
        <v>75</v>
      </c>
      <c r="C42" s="6">
        <v>7.09</v>
      </c>
      <c r="D42" s="6">
        <v>10.15</v>
      </c>
      <c r="E42" s="6">
        <v>17</v>
      </c>
      <c r="F42" s="64">
        <v>6</v>
      </c>
      <c r="G42" s="17">
        <v>500</v>
      </c>
      <c r="H42" s="7" t="s">
        <v>41</v>
      </c>
    </row>
    <row r="43" spans="2:31" hidden="1" x14ac:dyDescent="0.25">
      <c r="B43" s="63" t="s">
        <v>76</v>
      </c>
      <c r="C43" s="6">
        <v>3.6</v>
      </c>
      <c r="D43" s="6">
        <v>10.15</v>
      </c>
      <c r="E43" s="6">
        <v>17</v>
      </c>
      <c r="F43" s="64">
        <v>6</v>
      </c>
      <c r="G43" s="17">
        <v>500</v>
      </c>
      <c r="H43" s="7" t="s">
        <v>41</v>
      </c>
    </row>
    <row r="44" spans="2:31" ht="15.75" hidden="1" thickBot="1" x14ac:dyDescent="0.3">
      <c r="B44" s="66" t="s">
        <v>77</v>
      </c>
      <c r="C44" s="9">
        <v>2.3199999999999998</v>
      </c>
      <c r="D44" s="9">
        <v>4.3</v>
      </c>
      <c r="E44" s="9">
        <v>17</v>
      </c>
      <c r="F44" s="67">
        <v>6</v>
      </c>
      <c r="G44" s="18">
        <v>400</v>
      </c>
      <c r="H44" s="10" t="s">
        <v>78</v>
      </c>
    </row>
    <row r="45" spans="2:31" ht="15.75" thickBot="1" x14ac:dyDescent="0.3">
      <c r="B45" s="51"/>
      <c r="C45" s="62"/>
    </row>
    <row r="46" spans="2:31" ht="15.75" thickBot="1" x14ac:dyDescent="0.3">
      <c r="B46" s="73" t="s">
        <v>43</v>
      </c>
      <c r="C46" s="74" t="s">
        <v>49</v>
      </c>
      <c r="D46" s="75" t="s">
        <v>50</v>
      </c>
      <c r="E46" s="75" t="s">
        <v>51</v>
      </c>
      <c r="F46" s="75" t="s">
        <v>52</v>
      </c>
      <c r="G46" s="75" t="s">
        <v>53</v>
      </c>
      <c r="H46" s="75" t="s">
        <v>54</v>
      </c>
      <c r="I46" s="75" t="s">
        <v>55</v>
      </c>
      <c r="J46" s="75" t="s">
        <v>56</v>
      </c>
      <c r="K46" s="75" t="s">
        <v>57</v>
      </c>
      <c r="L46" s="75" t="s">
        <v>58</v>
      </c>
      <c r="M46" s="75" t="s">
        <v>59</v>
      </c>
      <c r="N46" s="75" t="s">
        <v>60</v>
      </c>
      <c r="O46" s="75" t="s">
        <v>61</v>
      </c>
      <c r="P46" s="75" t="s">
        <v>62</v>
      </c>
      <c r="Q46" s="75" t="s">
        <v>63</v>
      </c>
      <c r="R46" s="75" t="s">
        <v>64</v>
      </c>
      <c r="S46" s="75" t="s">
        <v>65</v>
      </c>
      <c r="T46" s="75" t="s">
        <v>66</v>
      </c>
      <c r="U46" s="75" t="s">
        <v>67</v>
      </c>
      <c r="V46" s="75" t="s">
        <v>68</v>
      </c>
      <c r="W46" s="75" t="s">
        <v>69</v>
      </c>
      <c r="X46" s="75" t="s">
        <v>70</v>
      </c>
      <c r="Y46" s="75" t="s">
        <v>71</v>
      </c>
      <c r="Z46" s="75" t="s">
        <v>72</v>
      </c>
      <c r="AA46" s="75" t="s">
        <v>73</v>
      </c>
      <c r="AB46" s="75" t="s">
        <v>74</v>
      </c>
      <c r="AC46" s="75" t="s">
        <v>75</v>
      </c>
      <c r="AD46" s="75" t="s">
        <v>76</v>
      </c>
      <c r="AE46" s="75" t="s">
        <v>77</v>
      </c>
    </row>
    <row r="47" spans="2:31" ht="15.75" thickBot="1" x14ac:dyDescent="0.3">
      <c r="B47" s="71" t="s">
        <v>95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72"/>
    </row>
    <row r="48" spans="2:31" x14ac:dyDescent="0.25">
      <c r="B48" s="94" t="s">
        <v>291</v>
      </c>
      <c r="C48" s="76">
        <f t="shared" ref="C48:R48" si="7">VLOOKUP(C$46,$B$16:$H$44,2)</f>
        <v>5</v>
      </c>
      <c r="D48" s="77">
        <f t="shared" si="7"/>
        <v>5</v>
      </c>
      <c r="E48" s="77">
        <f t="shared" si="7"/>
        <v>5</v>
      </c>
      <c r="F48" s="77">
        <f t="shared" si="7"/>
        <v>5</v>
      </c>
      <c r="G48" s="77">
        <f t="shared" si="7"/>
        <v>4.45</v>
      </c>
      <c r="H48" s="77">
        <f t="shared" si="7"/>
        <v>3.6</v>
      </c>
      <c r="I48" s="77">
        <f t="shared" si="7"/>
        <v>5.33</v>
      </c>
      <c r="J48" s="129">
        <f t="shared" si="7"/>
        <v>5.54</v>
      </c>
      <c r="K48" s="129">
        <f t="shared" si="7"/>
        <v>5.54</v>
      </c>
      <c r="L48" s="77">
        <f t="shared" si="7"/>
        <v>5.54</v>
      </c>
      <c r="M48" s="77">
        <f t="shared" si="7"/>
        <v>3.6</v>
      </c>
      <c r="N48" s="77">
        <f t="shared" si="7"/>
        <v>6.05</v>
      </c>
      <c r="O48" s="77">
        <f t="shared" si="7"/>
        <v>4.6500000000000004</v>
      </c>
      <c r="P48" s="77">
        <f t="shared" si="7"/>
        <v>4.6500000000000004</v>
      </c>
      <c r="Q48" s="77">
        <f t="shared" si="7"/>
        <v>6.05</v>
      </c>
      <c r="R48" s="77">
        <f t="shared" si="7"/>
        <v>4.45</v>
      </c>
      <c r="S48" s="77">
        <f t="shared" ref="S48:AE48" si="8">VLOOKUP(S$46,$B$16:$H$44,2)</f>
        <v>3.6</v>
      </c>
      <c r="T48" s="77">
        <f t="shared" si="8"/>
        <v>7.16</v>
      </c>
      <c r="U48" s="77">
        <f t="shared" si="8"/>
        <v>1.4</v>
      </c>
      <c r="V48" s="77">
        <f t="shared" si="8"/>
        <v>2.1</v>
      </c>
      <c r="W48" s="77">
        <f t="shared" si="8"/>
        <v>2.9</v>
      </c>
      <c r="X48" s="77">
        <f t="shared" si="8"/>
        <v>4.25</v>
      </c>
      <c r="Y48" s="77">
        <f t="shared" si="8"/>
        <v>6.49</v>
      </c>
      <c r="Z48" s="77">
        <f t="shared" si="8"/>
        <v>8.24</v>
      </c>
      <c r="AA48" s="77">
        <f t="shared" si="8"/>
        <v>5</v>
      </c>
      <c r="AB48" s="77">
        <f t="shared" si="8"/>
        <v>5.52</v>
      </c>
      <c r="AC48" s="77">
        <f>VLOOKUP(AC$46,$B$16:$H$44,2)</f>
        <v>7.09</v>
      </c>
      <c r="AD48" s="77">
        <f t="shared" si="8"/>
        <v>3.6</v>
      </c>
      <c r="AE48" s="77">
        <f t="shared" si="8"/>
        <v>2.3199999999999998</v>
      </c>
    </row>
    <row r="49" spans="2:31" x14ac:dyDescent="0.25">
      <c r="B49" s="94" t="s">
        <v>290</v>
      </c>
      <c r="C49" s="194">
        <f t="shared" ref="C49:R49" si="9">VLOOKUP(C$46,$B$16:$H$44,3)</f>
        <v>5.33</v>
      </c>
      <c r="D49" s="77">
        <f t="shared" si="9"/>
        <v>7.2</v>
      </c>
      <c r="E49" s="77">
        <f t="shared" si="9"/>
        <v>7.2</v>
      </c>
      <c r="F49" s="77">
        <f t="shared" si="9"/>
        <v>7.89</v>
      </c>
      <c r="G49" s="77">
        <f t="shared" si="9"/>
        <v>5</v>
      </c>
      <c r="H49" s="77">
        <f t="shared" si="9"/>
        <v>5</v>
      </c>
      <c r="I49" s="77">
        <f t="shared" si="9"/>
        <v>5.54</v>
      </c>
      <c r="J49" s="129">
        <f t="shared" si="9"/>
        <v>7.2</v>
      </c>
      <c r="K49" s="129">
        <f t="shared" si="9"/>
        <v>7.2</v>
      </c>
      <c r="L49" s="77">
        <f t="shared" si="9"/>
        <v>12.34</v>
      </c>
      <c r="M49" s="77">
        <f t="shared" si="9"/>
        <v>5.54</v>
      </c>
      <c r="N49" s="77">
        <f t="shared" si="9"/>
        <v>9.34</v>
      </c>
      <c r="O49" s="77">
        <f t="shared" si="9"/>
        <v>5.6</v>
      </c>
      <c r="P49" s="77">
        <f t="shared" si="9"/>
        <v>5.6</v>
      </c>
      <c r="Q49" s="77">
        <f t="shared" si="9"/>
        <v>9.49</v>
      </c>
      <c r="R49" s="77">
        <f t="shared" si="9"/>
        <v>10.5</v>
      </c>
      <c r="S49" s="77">
        <f t="shared" ref="S49:AE49" si="10">VLOOKUP(S$46,$B$16:$H$44,3)</f>
        <v>10.5</v>
      </c>
      <c r="T49" s="77">
        <f t="shared" si="10"/>
        <v>11.34</v>
      </c>
      <c r="U49" s="77">
        <f t="shared" si="10"/>
        <v>11.2</v>
      </c>
      <c r="V49" s="77">
        <f t="shared" si="10"/>
        <v>4.04</v>
      </c>
      <c r="W49" s="77">
        <f t="shared" si="10"/>
        <v>6.36</v>
      </c>
      <c r="X49" s="77">
        <f t="shared" si="10"/>
        <v>6.36</v>
      </c>
      <c r="Y49" s="77">
        <f t="shared" si="10"/>
        <v>7.16</v>
      </c>
      <c r="Z49" s="77">
        <f t="shared" si="10"/>
        <v>18.54</v>
      </c>
      <c r="AA49" s="77">
        <f t="shared" si="10"/>
        <v>8.24</v>
      </c>
      <c r="AB49" s="77">
        <f t="shared" si="10"/>
        <v>8.24</v>
      </c>
      <c r="AC49" s="77">
        <f>VLOOKUP(AC$46,$B$16:$H$44,3)</f>
        <v>10.15</v>
      </c>
      <c r="AD49" s="77">
        <f t="shared" si="10"/>
        <v>10.15</v>
      </c>
      <c r="AE49" s="77">
        <f t="shared" si="10"/>
        <v>4.3</v>
      </c>
    </row>
    <row r="50" spans="2:31" x14ac:dyDescent="0.25">
      <c r="B50" s="97" t="s">
        <v>289</v>
      </c>
      <c r="C50" s="76">
        <f t="shared" ref="C50:AE50" si="11">ROUNDUP((C54*C48*100)/C55+$C$5,0)</f>
        <v>10</v>
      </c>
      <c r="D50" s="77">
        <f t="shared" si="11"/>
        <v>11</v>
      </c>
      <c r="E50" s="77">
        <f t="shared" si="11"/>
        <v>10</v>
      </c>
      <c r="F50" s="77">
        <f t="shared" si="11"/>
        <v>10</v>
      </c>
      <c r="G50" s="77">
        <f t="shared" si="11"/>
        <v>9</v>
      </c>
      <c r="H50" s="77">
        <f t="shared" si="11"/>
        <v>8</v>
      </c>
      <c r="I50" s="77">
        <f t="shared" si="11"/>
        <v>10</v>
      </c>
      <c r="J50" s="129">
        <f t="shared" si="11"/>
        <v>10</v>
      </c>
      <c r="K50" s="129">
        <f t="shared" si="11"/>
        <v>10</v>
      </c>
      <c r="L50" s="77">
        <f t="shared" si="11"/>
        <v>10</v>
      </c>
      <c r="M50" s="77">
        <f t="shared" si="11"/>
        <v>7</v>
      </c>
      <c r="N50" s="77">
        <f t="shared" si="11"/>
        <v>10</v>
      </c>
      <c r="O50" s="77">
        <f t="shared" si="11"/>
        <v>8</v>
      </c>
      <c r="P50" s="77">
        <f t="shared" si="11"/>
        <v>8</v>
      </c>
      <c r="Q50" s="77">
        <f t="shared" si="11"/>
        <v>10</v>
      </c>
      <c r="R50" s="77">
        <f t="shared" si="11"/>
        <v>8</v>
      </c>
      <c r="S50" s="77">
        <f t="shared" si="11"/>
        <v>7</v>
      </c>
      <c r="T50" s="77">
        <f t="shared" si="11"/>
        <v>10</v>
      </c>
      <c r="U50" s="77">
        <f t="shared" si="11"/>
        <v>4</v>
      </c>
      <c r="V50" s="77">
        <f t="shared" si="11"/>
        <v>5</v>
      </c>
      <c r="W50" s="77">
        <f t="shared" si="11"/>
        <v>6</v>
      </c>
      <c r="X50" s="77">
        <f t="shared" si="11"/>
        <v>7</v>
      </c>
      <c r="Y50" s="77">
        <f t="shared" si="11"/>
        <v>9</v>
      </c>
      <c r="Z50" s="77">
        <f t="shared" si="11"/>
        <v>11</v>
      </c>
      <c r="AA50" s="77">
        <f t="shared" si="11"/>
        <v>7</v>
      </c>
      <c r="AB50" s="77">
        <f t="shared" si="11"/>
        <v>8</v>
      </c>
      <c r="AC50" s="77">
        <f t="shared" si="11"/>
        <v>9</v>
      </c>
      <c r="AD50" s="77">
        <f t="shared" si="11"/>
        <v>6</v>
      </c>
      <c r="AE50" s="77">
        <f t="shared" si="11"/>
        <v>5</v>
      </c>
    </row>
    <row r="51" spans="2:31" ht="15.75" thickBot="1" x14ac:dyDescent="0.3">
      <c r="B51" s="98" t="s">
        <v>292</v>
      </c>
      <c r="C51" s="78">
        <f>VLOOKUP($C$46,$B$16:$H$44,5)</f>
        <v>6</v>
      </c>
      <c r="D51" s="79">
        <f t="shared" ref="D51:R51" si="12">VLOOKUP(D$46,$B$16:$H$44,5,TRUE)</f>
        <v>6</v>
      </c>
      <c r="E51" s="79">
        <f t="shared" si="12"/>
        <v>6</v>
      </c>
      <c r="F51" s="79">
        <f t="shared" si="12"/>
        <v>6</v>
      </c>
      <c r="G51" s="79">
        <f t="shared" si="12"/>
        <v>6</v>
      </c>
      <c r="H51" s="79">
        <f t="shared" si="12"/>
        <v>6</v>
      </c>
      <c r="I51" s="79">
        <f t="shared" si="12"/>
        <v>6</v>
      </c>
      <c r="J51" s="79">
        <f t="shared" si="12"/>
        <v>6</v>
      </c>
      <c r="K51" s="79">
        <f t="shared" si="12"/>
        <v>6</v>
      </c>
      <c r="L51" s="79">
        <f t="shared" si="12"/>
        <v>6</v>
      </c>
      <c r="M51" s="79">
        <f t="shared" si="12"/>
        <v>6</v>
      </c>
      <c r="N51" s="79">
        <f t="shared" si="12"/>
        <v>6</v>
      </c>
      <c r="O51" s="79">
        <f t="shared" si="12"/>
        <v>6</v>
      </c>
      <c r="P51" s="79">
        <f t="shared" si="12"/>
        <v>6</v>
      </c>
      <c r="Q51" s="79">
        <f t="shared" si="12"/>
        <v>6</v>
      </c>
      <c r="R51" s="79">
        <f t="shared" si="12"/>
        <v>6</v>
      </c>
      <c r="S51" s="79">
        <f t="shared" ref="S51:AE51" si="13">VLOOKUP(S$46,$B$16:$H$44,5,TRUE)</f>
        <v>6</v>
      </c>
      <c r="T51" s="79">
        <f t="shared" si="13"/>
        <v>6</v>
      </c>
      <c r="U51" s="79">
        <f t="shared" si="13"/>
        <v>6</v>
      </c>
      <c r="V51" s="79" t="str">
        <f t="shared" si="13"/>
        <v>5b</v>
      </c>
      <c r="W51" s="79">
        <f t="shared" si="13"/>
        <v>6</v>
      </c>
      <c r="X51" s="79">
        <f t="shared" si="13"/>
        <v>6</v>
      </c>
      <c r="Y51" s="79">
        <f t="shared" si="13"/>
        <v>6</v>
      </c>
      <c r="Z51" s="79">
        <f t="shared" si="13"/>
        <v>6</v>
      </c>
      <c r="AA51" s="79">
        <f t="shared" si="13"/>
        <v>6</v>
      </c>
      <c r="AB51" s="79">
        <f t="shared" si="13"/>
        <v>6</v>
      </c>
      <c r="AC51" s="79">
        <f>VLOOKUP(AC$46,$B$16:$H$44,5,TRUE)</f>
        <v>6</v>
      </c>
      <c r="AD51" s="79">
        <f t="shared" si="13"/>
        <v>6</v>
      </c>
      <c r="AE51" s="79">
        <f t="shared" si="13"/>
        <v>6</v>
      </c>
    </row>
    <row r="52" spans="2:31" ht="15.75" thickBot="1" x14ac:dyDescent="0.3">
      <c r="B52" s="71" t="s">
        <v>94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72"/>
    </row>
    <row r="53" spans="2:31" x14ac:dyDescent="0.25">
      <c r="B53" s="97" t="s">
        <v>84</v>
      </c>
      <c r="C53" s="80">
        <f>ROUNDUP(C49/C48,1)</f>
        <v>1.1000000000000001</v>
      </c>
      <c r="D53" s="81">
        <f>ROUNDUP(D49/D48,1)</f>
        <v>1.5</v>
      </c>
      <c r="E53" s="81">
        <f t="shared" ref="E53:R53" si="14">ROUNDUP(E49/E48,1)</f>
        <v>1.5</v>
      </c>
      <c r="F53" s="81">
        <f t="shared" si="14"/>
        <v>1.6</v>
      </c>
      <c r="G53" s="81">
        <f t="shared" si="14"/>
        <v>1.2000000000000002</v>
      </c>
      <c r="H53" s="81">
        <f t="shared" si="14"/>
        <v>1.4000000000000001</v>
      </c>
      <c r="I53" s="81">
        <f t="shared" si="14"/>
        <v>1.1000000000000001</v>
      </c>
      <c r="J53" s="81">
        <f t="shared" si="14"/>
        <v>1.3</v>
      </c>
      <c r="K53" s="81">
        <f t="shared" si="14"/>
        <v>1.3</v>
      </c>
      <c r="L53" s="81">
        <f t="shared" si="14"/>
        <v>2.3000000000000003</v>
      </c>
      <c r="M53" s="81">
        <f t="shared" si="14"/>
        <v>1.6</v>
      </c>
      <c r="N53" s="81">
        <f t="shared" si="14"/>
        <v>1.6</v>
      </c>
      <c r="O53" s="81">
        <f t="shared" si="14"/>
        <v>1.3</v>
      </c>
      <c r="P53" s="81">
        <f t="shared" si="14"/>
        <v>1.3</v>
      </c>
      <c r="Q53" s="81">
        <f t="shared" si="14"/>
        <v>1.6</v>
      </c>
      <c r="R53" s="81">
        <f t="shared" si="14"/>
        <v>2.4</v>
      </c>
      <c r="S53" s="81">
        <f t="shared" ref="S53:AC53" si="15">ROUNDUP(S49/S48,1)</f>
        <v>3</v>
      </c>
      <c r="T53" s="81">
        <f t="shared" si="15"/>
        <v>1.6</v>
      </c>
      <c r="U53" s="81">
        <f t="shared" si="15"/>
        <v>8</v>
      </c>
      <c r="V53" s="81">
        <f t="shared" si="15"/>
        <v>2</v>
      </c>
      <c r="W53" s="81">
        <f t="shared" si="15"/>
        <v>2.2000000000000002</v>
      </c>
      <c r="X53" s="81">
        <f t="shared" si="15"/>
        <v>1.5</v>
      </c>
      <c r="Y53" s="81">
        <f t="shared" si="15"/>
        <v>1.2000000000000002</v>
      </c>
      <c r="Z53" s="81">
        <f t="shared" si="15"/>
        <v>2.3000000000000003</v>
      </c>
      <c r="AA53" s="81">
        <f t="shared" si="15"/>
        <v>1.7000000000000002</v>
      </c>
      <c r="AB53" s="81">
        <f t="shared" si="15"/>
        <v>1.5</v>
      </c>
      <c r="AC53" s="81">
        <f t="shared" si="15"/>
        <v>1.5</v>
      </c>
      <c r="AD53" s="81">
        <f>ROUNDUP(AD49/AD48,1)</f>
        <v>2.9</v>
      </c>
      <c r="AE53" s="81">
        <f>ROUNDUP(AE49/AE48,1)</f>
        <v>1.9000000000000001</v>
      </c>
    </row>
    <row r="54" spans="2:31" x14ac:dyDescent="0.25">
      <c r="B54" s="97" t="s">
        <v>337</v>
      </c>
      <c r="C54" s="76">
        <f>IF(C53&gt;1.5,VLOOKUP(C51&amp;1.5,tablas!$M$3:$P$56,4,FALSE),VLOOKUP(C51&amp;C53,tablas!$M$3:$P$56,4,FALSE))</f>
        <v>0.55000000000000004</v>
      </c>
      <c r="D54" s="77">
        <f>IF(D53&gt;1.5,VLOOKUP(D51&amp;1.5,tablas!$M$3:$P$56,4,FALSE),VLOOKUP(D51&amp;D53,tablas!$M$3:$P$56,4,FALSE))</f>
        <v>0.57999999999999996</v>
      </c>
      <c r="E54" s="77">
        <f>IF(E53&gt;1.5,VLOOKUP(E51&amp;1.5,tablas!$M$3:$P$56,4,FALSE),VLOOKUP(E51&amp;E53,tablas!$M$3:$P$56,4,FALSE))</f>
        <v>0.57999999999999996</v>
      </c>
      <c r="F54" s="77">
        <f>IF(F53&gt;1.5,VLOOKUP(F51&amp;1.5,tablas!$M$3:$P$56,4,FALSE),VLOOKUP(F51&amp;F53,tablas!$M$3:$P$56,4,FALSE))</f>
        <v>0.57999999999999996</v>
      </c>
      <c r="G54" s="77">
        <f>IF(G53&gt;1.5,VLOOKUP(G51&amp;1.5,tablas!$M$3:$P$56,4,FALSE),VLOOKUP(G51&amp;G53,tablas!$M$3:$P$56,4,FALSE))</f>
        <v>0.56000000000000005</v>
      </c>
      <c r="H54" s="77">
        <f>IF(H53&gt;1.5,VLOOKUP(H51&amp;1.5,tablas!$M$3:$P$56,4,FALSE),VLOOKUP(H51&amp;H53,tablas!$M$3:$P$56,4,FALSE))</f>
        <v>0.56999999999999995</v>
      </c>
      <c r="I54" s="77">
        <f>IF(I53&gt;1.5,VLOOKUP(I51&amp;1.5,tablas!$M$3:$P$56,4,FALSE),VLOOKUP(I51&amp;I53,tablas!$M$3:$P$56,4,FALSE))</f>
        <v>0.55000000000000004</v>
      </c>
      <c r="J54" s="129">
        <f>IF(J53&gt;1.5,VLOOKUP(J51&amp;1.5,tablas!$M$3:$P$56,4,FALSE),VLOOKUP(J51&amp;J53,tablas!$M$3:$P$56,4,FALSE))</f>
        <v>0.56000000000000005</v>
      </c>
      <c r="K54" s="129">
        <f>IF(K53&gt;1.5,VLOOKUP(K51&amp;1.5,tablas!$M$3:$P$56,4,FALSE),VLOOKUP(K51&amp;K53,tablas!$M$3:$P$56,4,FALSE))</f>
        <v>0.56000000000000005</v>
      </c>
      <c r="L54" s="77">
        <f>IF(L53&gt;1.5,VLOOKUP(L51&amp;1.5,tablas!$M$3:$P$56,4,FALSE),VLOOKUP(L51&amp;L53,tablas!$M$3:$P$56,4,FALSE))</f>
        <v>0.57999999999999996</v>
      </c>
      <c r="M54" s="77">
        <f>IF(M53&gt;1.5,VLOOKUP(M51&amp;1.5,tablas!$M$3:$P$56,4,FALSE),VLOOKUP(M51&amp;M53,tablas!$M$3:$P$56,4,FALSE))</f>
        <v>0.57999999999999996</v>
      </c>
      <c r="N54" s="77">
        <f>IF(N53&gt;1.5,VLOOKUP(N51&amp;1.5,tablas!$M$3:$P$56,4,FALSE),VLOOKUP(N51&amp;N53,tablas!$M$3:$P$56,4,FALSE))</f>
        <v>0.57999999999999996</v>
      </c>
      <c r="O54" s="77">
        <f>IF(O53&gt;1.5,VLOOKUP(O51&amp;1.5,tablas!$M$3:$P$56,4,FALSE),VLOOKUP(O51&amp;O53,tablas!$M$3:$P$56,4,FALSE))</f>
        <v>0.56000000000000005</v>
      </c>
      <c r="P54" s="77">
        <f>IF(P53&gt;1.5,VLOOKUP(P51&amp;1.5,tablas!$M$3:$P$56,4,FALSE),VLOOKUP(P51&amp;P53,tablas!$M$3:$P$56,4,FALSE))</f>
        <v>0.56000000000000005</v>
      </c>
      <c r="Q54" s="77">
        <f>IF(Q53&gt;1.5,VLOOKUP(Q51&amp;1.5,tablas!$M$3:$P$56,4,FALSE),VLOOKUP(Q51&amp;Q53,tablas!$M$3:$P$56,4,FALSE))</f>
        <v>0.57999999999999996</v>
      </c>
      <c r="R54" s="77">
        <f>IF(R53&gt;1.5,VLOOKUP(R51&amp;1.5,tablas!$M$3:$P$56,4,FALSE),VLOOKUP(R51&amp;R53,tablas!$M$3:$P$56,4,FALSE))</f>
        <v>0.57999999999999996</v>
      </c>
      <c r="S54" s="77">
        <f>IF(S53&gt;1.5,VLOOKUP(S51&amp;1.5,tablas!$M$3:$P$56,4,FALSE),VLOOKUP(S51&amp;S53,tablas!$M$3:$P$56,4,FALSE))</f>
        <v>0.57999999999999996</v>
      </c>
      <c r="T54" s="77">
        <f>IF(T53&gt;1.5,VLOOKUP(T51&amp;1.5,tablas!$M$3:$P$56,4,FALSE),VLOOKUP(T51&amp;T53,tablas!$M$3:$P$56,4,FALSE))</f>
        <v>0.57999999999999996</v>
      </c>
      <c r="U54" s="77">
        <f>IF(U53&gt;1.5,VLOOKUP(U51&amp;1.5,tablas!$M$3:$P$56,4,FALSE),VLOOKUP(U51&amp;U53,tablas!$M$3:$P$56,4,FALSE))</f>
        <v>0.57999999999999996</v>
      </c>
      <c r="V54" s="77">
        <f>IF(V53&gt;1.5,VLOOKUP(V51&amp;1.5,tablas!$M$3:$P$56,4,FALSE),VLOOKUP(V51&amp;V53,tablas!$M$3:$P$56,4,FALSE))</f>
        <v>0.75</v>
      </c>
      <c r="W54" s="77">
        <f>IF(W53&gt;1.5,VLOOKUP(W51&amp;1.5,tablas!$M$3:$P$56,4,FALSE),VLOOKUP(W51&amp;W53,tablas!$M$3:$P$56,4,FALSE))</f>
        <v>0.57999999999999996</v>
      </c>
      <c r="X54" s="77">
        <f>IF(X53&gt;1.5,VLOOKUP(X51&amp;1.5,tablas!$M$3:$P$56,4,FALSE),VLOOKUP(X51&amp;X53,tablas!$M$3:$P$56,4,FALSE))</f>
        <v>0.57999999999999996</v>
      </c>
      <c r="Y54" s="77">
        <f>IF(Y53&gt;1.5,VLOOKUP(Y51&amp;1.5,tablas!$M$3:$P$56,4,FALSE),VLOOKUP(Y51&amp;Y53,tablas!$M$3:$P$56,4,FALSE))</f>
        <v>0.56000000000000005</v>
      </c>
      <c r="Z54" s="77">
        <f>IF(Z53&gt;1.5,VLOOKUP(Z51&amp;1.5,tablas!$M$3:$P$56,4,FALSE),VLOOKUP(Z51&amp;Z53,tablas!$M$3:$P$56,4,FALSE))</f>
        <v>0.57999999999999996</v>
      </c>
      <c r="AA54" s="77">
        <f>IF(AA53&gt;1.5,VLOOKUP(AA51&amp;1.5,tablas!$M$3:$P$56,4,FALSE),VLOOKUP(AA51&amp;AA53,tablas!$M$3:$P$56,4,FALSE))</f>
        <v>0.57999999999999996</v>
      </c>
      <c r="AB54" s="77">
        <f>IF(AB53&gt;1.5,VLOOKUP(AB51&amp;1.5,tablas!$M$3:$P$56,4,FALSE),VLOOKUP(AB51&amp;AB53,tablas!$M$3:$P$56,4,FALSE))</f>
        <v>0.57999999999999996</v>
      </c>
      <c r="AC54" s="77">
        <f>IF(AC53&gt;1.5,VLOOKUP(AC51&amp;1.5,tablas!$M$3:$P$56,4,FALSE),VLOOKUP(AC51&amp;AC53,tablas!$M$3:$P$56,4,FALSE))</f>
        <v>0.57999999999999996</v>
      </c>
      <c r="AD54" s="77">
        <f>IF(AD53&gt;1.5,VLOOKUP(AD51&amp;1.5,tablas!$M$3:$P$56,4,FALSE),VLOOKUP(AD51&amp;AD53,tablas!$M$3:$P$56,4,FALSE))</f>
        <v>0.57999999999999996</v>
      </c>
      <c r="AE54" s="77">
        <f>IF(AE53&gt;1.5,VLOOKUP(AE51&amp;1.5,tablas!$M$3:$P$56,4,FALSE),VLOOKUP(AE51&amp;AE53,tablas!$M$3:$P$56,4,FALSE))</f>
        <v>0.57999999999999996</v>
      </c>
    </row>
    <row r="55" spans="2:31" x14ac:dyDescent="0.25">
      <c r="B55" s="97" t="s">
        <v>85</v>
      </c>
      <c r="C55" s="76">
        <v>35</v>
      </c>
      <c r="D55" s="76">
        <v>36</v>
      </c>
      <c r="E55" s="76">
        <v>37</v>
      </c>
      <c r="F55" s="76">
        <v>38</v>
      </c>
      <c r="G55" s="76">
        <v>39</v>
      </c>
      <c r="H55" s="76">
        <v>40</v>
      </c>
      <c r="I55" s="76">
        <v>41</v>
      </c>
      <c r="J55" s="76">
        <v>42</v>
      </c>
      <c r="K55" s="76">
        <v>43</v>
      </c>
      <c r="L55" s="76">
        <v>44</v>
      </c>
      <c r="M55" s="76">
        <v>45</v>
      </c>
      <c r="N55" s="76">
        <v>46</v>
      </c>
      <c r="O55" s="76">
        <v>47</v>
      </c>
      <c r="P55" s="76">
        <v>48</v>
      </c>
      <c r="Q55" s="76">
        <v>49</v>
      </c>
      <c r="R55" s="76">
        <v>50</v>
      </c>
      <c r="S55" s="76">
        <v>51</v>
      </c>
      <c r="T55" s="76">
        <v>52</v>
      </c>
      <c r="U55" s="76">
        <v>53</v>
      </c>
      <c r="V55" s="76">
        <v>54</v>
      </c>
      <c r="W55" s="76">
        <v>55</v>
      </c>
      <c r="X55" s="76">
        <v>56</v>
      </c>
      <c r="Y55" s="76">
        <v>57</v>
      </c>
      <c r="Z55" s="76">
        <v>58</v>
      </c>
      <c r="AA55" s="76">
        <v>59</v>
      </c>
      <c r="AB55" s="76">
        <v>60</v>
      </c>
      <c r="AC55" s="76">
        <v>61</v>
      </c>
      <c r="AD55" s="76">
        <v>62</v>
      </c>
      <c r="AE55" s="76">
        <v>59</v>
      </c>
    </row>
    <row r="56" spans="2:31" x14ac:dyDescent="0.25">
      <c r="B56" s="97" t="s">
        <v>11</v>
      </c>
      <c r="C56" s="76">
        <f>IF(C53&lt;=2,VLOOKUP(C51&amp;C53,tablas!$B$3:$K$92,4,FALSE),"Franja de losa")</f>
        <v>1</v>
      </c>
      <c r="D56" s="76">
        <f>IF(D53&lt;=2,VLOOKUP(D51&amp;D53,tablas!$B$3:$K$92,4,FALSE),"Franja de losa")</f>
        <v>1</v>
      </c>
      <c r="E56" s="76">
        <f>IF(E53&lt;=2,VLOOKUP(E51&amp;E53,tablas!$B$3:$K$92,4,FALSE),"Franja de losa")</f>
        <v>1</v>
      </c>
      <c r="F56" s="76">
        <f>IF(F53&lt;=2,VLOOKUP(F51&amp;F53,tablas!$B$3:$K$92,4,FALSE),"Franja de losa")</f>
        <v>1</v>
      </c>
      <c r="G56" s="76">
        <f>IF(G53&lt;=2,VLOOKUP(G51&amp;G53,tablas!$B$3:$K$92,4,FALSE),"Franja de losa")</f>
        <v>1</v>
      </c>
      <c r="H56" s="76">
        <f>IF(H53&lt;=2,VLOOKUP(H51&amp;H53,tablas!$B$3:$K$92,4,FALSE),"Franja de losa")</f>
        <v>1</v>
      </c>
      <c r="I56" s="76">
        <f>IF(I53&lt;=2,VLOOKUP(I51&amp;I53,tablas!$B$3:$K$92,4,FALSE),"Franja de losa")</f>
        <v>1</v>
      </c>
      <c r="J56" s="76">
        <f>IF(J53&lt;=2,VLOOKUP(J51&amp;J53,tablas!$B$3:$K$92,4,FALSE),"Franja de losa")</f>
        <v>1</v>
      </c>
      <c r="K56" s="76">
        <f>IF(K53&lt;=2,VLOOKUP(K51&amp;K53,tablas!$B$3:$K$92,4,FALSE),"Franja de losa")</f>
        <v>1</v>
      </c>
      <c r="L56" s="76" t="str">
        <f>IF(L53&lt;=2,VLOOKUP(L51&amp;L53,tablas!$B$3:$K$92,4,FALSE),"Franja de losa")</f>
        <v>Franja de losa</v>
      </c>
      <c r="M56" s="76">
        <f>IF(M53&lt;=2,VLOOKUP(M51&amp;M53,tablas!$B$3:$K$92,4,FALSE),"Franja de losa")</f>
        <v>1</v>
      </c>
      <c r="N56" s="76">
        <f>IF(N53&lt;=2,VLOOKUP(N51&amp;N53,tablas!$B$3:$K$92,4,FALSE),"Franja de losa")</f>
        <v>1</v>
      </c>
      <c r="O56" s="76">
        <f>IF(O53&lt;=2,VLOOKUP(O51&amp;O53,tablas!$B$3:$K$92,4,FALSE),"Franja de losa")</f>
        <v>1</v>
      </c>
      <c r="P56" s="76">
        <f>IF(P53&lt;=2,VLOOKUP(P51&amp;P53,tablas!$B$3:$K$92,4,FALSE),"Franja de losa")</f>
        <v>1</v>
      </c>
      <c r="Q56" s="76">
        <f>IF(Q53&lt;=2,VLOOKUP(Q51&amp;Q53,tablas!$B$3:$K$92,4,FALSE),"Franja de losa")</f>
        <v>1</v>
      </c>
      <c r="R56" s="76" t="str">
        <f>IF(R53&lt;=2,VLOOKUP(R51&amp;R53,tablas!$B$3:$K$92,4,FALSE),"Franja de losa")</f>
        <v>Franja de losa</v>
      </c>
      <c r="S56" s="76" t="str">
        <f>IF(S53&lt;=2,VLOOKUP(S51&amp;S53,tablas!$B$3:$K$92,4,FALSE),"Franja de losa")</f>
        <v>Franja de losa</v>
      </c>
      <c r="T56" s="76">
        <f>IF(T53&lt;=2,VLOOKUP(T51&amp;T53,tablas!$B$3:$K$92,4,FALSE),"Franja de losa")</f>
        <v>1</v>
      </c>
      <c r="U56" s="76" t="str">
        <f>IF(U53&lt;=2,VLOOKUP(U51&amp;U53,tablas!$B$3:$K$92,4,FALSE),"Franja de losa")</f>
        <v>Franja de losa</v>
      </c>
      <c r="V56" s="76">
        <f>IF(V53&lt;=2,VLOOKUP(V51&amp;V53,tablas!$B$3:$K$92,4,FALSE),"Franja de losa")</f>
        <v>1</v>
      </c>
      <c r="W56" s="76" t="str">
        <f>IF(W53&lt;=2,VLOOKUP(W51&amp;W53,tablas!$B$3:$K$92,4,FALSE),"Franja de losa")</f>
        <v>Franja de losa</v>
      </c>
      <c r="X56" s="76">
        <f>IF(X53&lt;=2,VLOOKUP(X51&amp;X53,tablas!$B$3:$K$92,4,FALSE),"Franja de losa")</f>
        <v>1</v>
      </c>
      <c r="Y56" s="76">
        <f>IF(Y53&lt;=2,VLOOKUP(Y51&amp;Y53,tablas!$B$3:$K$92,4,FALSE),"Franja de losa")</f>
        <v>1</v>
      </c>
      <c r="Z56" s="76" t="str">
        <f>IF(Z53&lt;=2,VLOOKUP(Z51&amp;Z53,tablas!$B$3:$K$92,4,FALSE),"Franja de losa")</f>
        <v>Franja de losa</v>
      </c>
      <c r="AA56" s="76">
        <f>IF(AA53&lt;=2,VLOOKUP(AA51&amp;AA53-0.1,tablas!$B$3:$K$92,4,FALSE),"Franja de losa")</f>
        <v>1</v>
      </c>
      <c r="AB56" s="76">
        <f>IF(AB53&lt;=2,VLOOKUP(AB51&amp;AB53,tablas!$B$3:$K$92,4,FALSE),"Franja de losa")</f>
        <v>1</v>
      </c>
      <c r="AC56" s="76">
        <f>IF(AC53&lt;=2,VLOOKUP(AC51&amp;AC53,tablas!$B$3:$K$92,4,FALSE),"Franja de losa")</f>
        <v>1</v>
      </c>
      <c r="AD56" s="76" t="str">
        <f>IF(AD53&lt;=2,VLOOKUP(AD51&amp;AD53,tablas!$B$3:$K$92,4,FALSE),"Franja de losa")</f>
        <v>Franja de losa</v>
      </c>
      <c r="AE56" s="76">
        <f>IF(AE53&lt;=2,VLOOKUP(AE51&amp;AE53-0.1,tablas!$B$3:$K$92,4,FALSE),"Franja de losa")</f>
        <v>1</v>
      </c>
    </row>
    <row r="57" spans="2:31" x14ac:dyDescent="0.25">
      <c r="B57" s="94" t="s">
        <v>4</v>
      </c>
      <c r="C57" s="76">
        <f>IF(C53&lt;=2,VLOOKUP(C51&amp;C53,tablas!$B$3:$K$92,7,FALSE),"Franja de losa")</f>
        <v>50.7</v>
      </c>
      <c r="D57" s="76">
        <f>IF(D53&lt;=2,VLOOKUP(D51&amp;D53,tablas!$B$3:$K$92,7,FALSE),"Franja de losa")</f>
        <v>44.4</v>
      </c>
      <c r="E57" s="76">
        <f>IF(E53&lt;=2,VLOOKUP(E51&amp;E53,tablas!$B$3:$K$92,7,FALSE),"Franja de losa")</f>
        <v>44.4</v>
      </c>
      <c r="F57" s="76">
        <f>IF(F53&lt;=2,VLOOKUP(F51&amp;F53,tablas!$B$3:$K$92,7,FALSE),"Franja de losa")</f>
        <v>46.1</v>
      </c>
      <c r="G57" s="76">
        <f>IF(G53&lt;=2,VLOOKUP(G51&amp;G53,tablas!$B$3:$K$92,7,FALSE),"Franja de losa")</f>
        <v>47.2</v>
      </c>
      <c r="H57" s="76">
        <f>IF(H53&lt;=2,VLOOKUP(H51&amp;H53,tablas!$B$3:$K$92,7,FALSE),"Franja de losa")</f>
        <v>44.6</v>
      </c>
      <c r="I57" s="76">
        <f>IF(I53&lt;=2,VLOOKUP(I51&amp;I53,tablas!$B$3:$K$92,7,FALSE),"Franja de losa")</f>
        <v>50.7</v>
      </c>
      <c r="J57" s="76">
        <f>IF(J53&lt;=2,VLOOKUP(J51&amp;J53,tablas!$B$3:$K$92,7,FALSE),"Franja de losa")</f>
        <v>45.2</v>
      </c>
      <c r="K57" s="76">
        <f>IF(K53&lt;=2,VLOOKUP(K51&amp;K53,tablas!$B$3:$K$92,7,FALSE),"Franja de losa")</f>
        <v>45.2</v>
      </c>
      <c r="L57" s="76" t="str">
        <f>IF(L53&lt;=2,VLOOKUP(L51&amp;L53,tablas!$B$3:$K$92,7,FALSE),"Franja de losa")</f>
        <v>Franja de losa</v>
      </c>
      <c r="M57" s="76">
        <f>IF(M53&lt;=2,VLOOKUP(M51&amp;M53,tablas!$B$3:$K$92,7,FALSE),"Franja de losa")</f>
        <v>46.1</v>
      </c>
      <c r="N57" s="76">
        <f>IF(N53&lt;=2,VLOOKUP(N51&amp;N53,tablas!$B$3:$K$92,7,FALSE),"Franja de losa")</f>
        <v>46.1</v>
      </c>
      <c r="O57" s="76">
        <f>IF(O53&lt;=2,VLOOKUP(O51&amp;O53,tablas!$B$3:$K$92,7,FALSE),"Franja de losa")</f>
        <v>45.2</v>
      </c>
      <c r="P57" s="76">
        <f>IF(P53&lt;=2,VLOOKUP(P51&amp;P53,tablas!$B$3:$K$92,7,FALSE),"Franja de losa")</f>
        <v>45.2</v>
      </c>
      <c r="Q57" s="76">
        <f>IF(Q53&lt;=2,VLOOKUP(Q51&amp;Q53,tablas!$B$3:$K$92,7,FALSE),"Franja de losa")</f>
        <v>46.1</v>
      </c>
      <c r="R57" s="76" t="str">
        <f>IF(R53&lt;=2,VLOOKUP(R51&amp;R53,tablas!$B$3:$K$92,7,FALSE),"Franja de losa")</f>
        <v>Franja de losa</v>
      </c>
      <c r="S57" s="76" t="str">
        <f>IF(S53&lt;=2,VLOOKUP(S51&amp;S53,tablas!$B$3:$K$92,7,FALSE),"Franja de losa")</f>
        <v>Franja de losa</v>
      </c>
      <c r="T57" s="76">
        <f>IF(T53&lt;=2,VLOOKUP(T51&amp;T53,tablas!$B$3:$K$92,7,FALSE),"Franja de losa")</f>
        <v>46.1</v>
      </c>
      <c r="U57" s="76" t="str">
        <f>IF(U53&lt;=2,VLOOKUP(U51&amp;U53,tablas!$B$3:$K$92,7,FALSE),"Franja de losa")</f>
        <v>Franja de losa</v>
      </c>
      <c r="V57" s="76">
        <f>IF(V53&lt;=2,VLOOKUP(V51&amp;V53,tablas!$B$3:$K$92,7,FALSE),"Franja de losa")</f>
        <v>37.5</v>
      </c>
      <c r="W57" s="76" t="str">
        <f>IF(W53&lt;=2,VLOOKUP(W51&amp;W53,tablas!$B$3:$K$92,7,FALSE),"Franja de losa")</f>
        <v>Franja de losa</v>
      </c>
      <c r="X57" s="76">
        <f>IF(X53&lt;=2,VLOOKUP(X51&amp;X53,tablas!$B$3:$K$92,7,FALSE),"Franja de losa")</f>
        <v>44.4</v>
      </c>
      <c r="Y57" s="76">
        <f>IF(Y53&lt;=2,VLOOKUP(Y51&amp;Y53,tablas!$B$3:$K$92,7,FALSE),"Franja de losa")</f>
        <v>47.2</v>
      </c>
      <c r="Z57" s="76" t="str">
        <f>IF(Z53&lt;=2,VLOOKUP(Z51&amp;Z53,tablas!$B$3:$K$92,7,FALSE),"Franja de losa")</f>
        <v>Franja de losa</v>
      </c>
      <c r="AA57" s="76">
        <f>IF(AA53&lt;=2,VLOOKUP(AA51&amp;AA53-0.1,tablas!$B$3:$K$92,7,FALSE),"Franja de losa")</f>
        <v>46.1</v>
      </c>
      <c r="AB57" s="76">
        <f>IF(AB53&lt;=2,VLOOKUP(AB51&amp;AB53,tablas!$B$3:$K$92,7,FALSE),"Franja de losa")</f>
        <v>44.4</v>
      </c>
      <c r="AC57" s="76">
        <f>IF(AC53&lt;=2,VLOOKUP(AC51&amp;AC53,tablas!$B$3:$K$92,7,FALSE),"Franja de losa")</f>
        <v>44.4</v>
      </c>
      <c r="AD57" s="76" t="str">
        <f>IF(AD53&lt;=2,VLOOKUP(AD51&amp;AD53,tablas!$B$3:$K$92,7,FALSE),"Franja de losa")</f>
        <v>Franja de losa</v>
      </c>
      <c r="AE57" s="76">
        <f>IF(AE53&lt;=2,VLOOKUP(AE51&amp;AE53-0.1,tablas!$B$3:$K$92,7,FALSE),"Franja de losa")</f>
        <v>48.8</v>
      </c>
    </row>
    <row r="58" spans="2:31" x14ac:dyDescent="0.25">
      <c r="B58" s="94" t="s">
        <v>5</v>
      </c>
      <c r="C58" s="76">
        <f>IF(C53&lt;=2,VLOOKUP(C51&amp;C53,tablas!$B$3:$K$92,8,FALSE),"Franja de losa")</f>
        <v>66.3</v>
      </c>
      <c r="D58" s="76">
        <f>IF(D53&lt;=2,VLOOKUP(D51&amp;D53,tablas!$B$3:$K$92,8,FALSE),"Franja de losa")</f>
        <v>140.5</v>
      </c>
      <c r="E58" s="76">
        <f>IF(E53&lt;=2,VLOOKUP(E51&amp;E53,tablas!$B$3:$K$92,8,FALSE),"Franja de losa")</f>
        <v>140.5</v>
      </c>
      <c r="F58" s="76">
        <f>IF(F53&lt;=2,VLOOKUP(F51&amp;F53,tablas!$B$3:$K$92,8,FALSE),"Franja de losa")</f>
        <v>163</v>
      </c>
      <c r="G58" s="76">
        <f>IF(G53&lt;=2,VLOOKUP(G51&amp;G53,tablas!$B$3:$K$92,8,FALSE),"Franja de losa")</f>
        <v>78.900000000000006</v>
      </c>
      <c r="H58" s="76">
        <f>IF(H53&lt;=2,VLOOKUP(H51&amp;H53,tablas!$B$3:$K$92,8,FALSE),"Franja de losa")</f>
        <v>116.6</v>
      </c>
      <c r="I58" s="76">
        <f>IF(I53&lt;=2,VLOOKUP(I51&amp;I53,tablas!$B$3:$K$92,8,FALSE),"Franja de losa")</f>
        <v>66.3</v>
      </c>
      <c r="J58" s="76">
        <f>IF(J53&lt;=2,VLOOKUP(J51&amp;J53,tablas!$B$3:$K$92,8,FALSE),"Franja de losa")</f>
        <v>95.6</v>
      </c>
      <c r="K58" s="76">
        <f>IF(K53&lt;=2,VLOOKUP(K51&amp;K53,tablas!$B$3:$K$92,8,FALSE),"Franja de losa")</f>
        <v>95.6</v>
      </c>
      <c r="L58" s="76" t="str">
        <f>IF(L53&lt;=2,VLOOKUP(L51&amp;L53,tablas!$B$3:$K$92,8,FALSE),"Franja de losa")</f>
        <v>Franja de losa</v>
      </c>
      <c r="M58" s="76">
        <f>IF(M53&lt;=2,VLOOKUP(M51&amp;M53,tablas!$B$3:$K$92,8,FALSE),"Franja de losa")</f>
        <v>163</v>
      </c>
      <c r="N58" s="76">
        <f>IF(N53&lt;=2,VLOOKUP(N51&amp;N53,tablas!$B$3:$K$92,8,FALSE),"Franja de losa")</f>
        <v>163</v>
      </c>
      <c r="O58" s="76">
        <f>IF(O53&lt;=2,VLOOKUP(O51&amp;O53,tablas!$B$3:$K$92,8,FALSE),"Franja de losa")</f>
        <v>95.6</v>
      </c>
      <c r="P58" s="76">
        <f>IF(P53&lt;=2,VLOOKUP(P51&amp;P53,tablas!$B$3:$K$92,8,FALSE),"Franja de losa")</f>
        <v>95.6</v>
      </c>
      <c r="Q58" s="76">
        <f>IF(Q53&lt;=2,VLOOKUP(Q51&amp;Q53,tablas!$B$3:$K$92,8,FALSE),"Franja de losa")</f>
        <v>163</v>
      </c>
      <c r="R58" s="76" t="str">
        <f>IF(R53&lt;=2,VLOOKUP(R51&amp;R53,tablas!$B$3:$K$92,8,FALSE),"Franja de losa")</f>
        <v>Franja de losa</v>
      </c>
      <c r="S58" s="76" t="str">
        <f>IF(S53&lt;=2,VLOOKUP(S51&amp;S53,tablas!$B$3:$K$92,8,FALSE),"Franja de losa")</f>
        <v>Franja de losa</v>
      </c>
      <c r="T58" s="76">
        <f>IF(T53&lt;=2,VLOOKUP(T51&amp;T53,tablas!$B$3:$K$92,8,FALSE),"Franja de losa")</f>
        <v>163</v>
      </c>
      <c r="U58" s="76" t="str">
        <f>IF(U53&lt;=2,VLOOKUP(U51&amp;U53,tablas!$B$3:$K$92,8,FALSE),"Franja de losa")</f>
        <v>Franja de losa</v>
      </c>
      <c r="V58" s="76">
        <f>IF(V53&lt;=2,VLOOKUP(V51&amp;V53,tablas!$B$3:$K$92,8,FALSE),"Franja de losa")</f>
        <v>202</v>
      </c>
      <c r="W58" s="76" t="str">
        <f>IF(W53&lt;=2,VLOOKUP(W51&amp;W53,tablas!$B$3:$K$92,8,FALSE),"Franja de losa")</f>
        <v>Franja de losa</v>
      </c>
      <c r="X58" s="76">
        <f>IF(X53&lt;=2,VLOOKUP(X51&amp;X53,tablas!$B$3:$K$92,8,FALSE),"Franja de losa")</f>
        <v>140.5</v>
      </c>
      <c r="Y58" s="76">
        <f>IF(Y53&lt;=2,VLOOKUP(Y51&amp;Y53,tablas!$B$3:$K$92,8,FALSE),"Franja de losa")</f>
        <v>78.900000000000006</v>
      </c>
      <c r="Z58" s="76" t="str">
        <f>IF(Z53&lt;=2,VLOOKUP(Z51&amp;Z53,tablas!$B$3:$K$92,8,FALSE),"Franja de losa")</f>
        <v>Franja de losa</v>
      </c>
      <c r="AA58" s="76">
        <f>IF(AA53&lt;=2,VLOOKUP(AA51&amp;AA53-0.1,tablas!$B$3:$K$92,8,FALSE),"Franja de losa")</f>
        <v>163</v>
      </c>
      <c r="AB58" s="76">
        <f>IF(AB53&lt;=2,VLOOKUP(AB51&amp;AB53,tablas!$B$3:$K$92,8,FALSE),"Franja de losa")</f>
        <v>140.5</v>
      </c>
      <c r="AC58" s="76">
        <f>IF(AC53&lt;=2,VLOOKUP(AC51&amp;AC53,tablas!$B$3:$K$92,8,FALSE),"Franja de losa")</f>
        <v>140.5</v>
      </c>
      <c r="AD58" s="76" t="str">
        <f>IF(AD53&lt;=2,VLOOKUP(AD51&amp;AD53,tablas!$B$3:$K$92,8,FALSE),"Franja de losa")</f>
        <v>Franja de losa</v>
      </c>
      <c r="AE58" s="76">
        <f>IF(AE53&lt;=2,VLOOKUP(AE51&amp;AE53-0.1,tablas!$B$3:$K$92,8,FALSE),"Franja de losa")</f>
        <v>190</v>
      </c>
    </row>
    <row r="59" spans="2:31" x14ac:dyDescent="0.25">
      <c r="B59" s="94" t="s">
        <v>6</v>
      </c>
      <c r="C59" s="76">
        <f>IF(C53&lt;=2,VLOOKUP(C51&amp;C53,tablas!$B$3:$K$92,9,FALSE),"Franja de losa")</f>
        <v>18.8</v>
      </c>
      <c r="D59" s="76">
        <f>IF(D53&lt;=2,VLOOKUP(D51&amp;D53,tablas!$B$3:$K$92,9,FALSE),"Franja de losa")</f>
        <v>19.8</v>
      </c>
      <c r="E59" s="76">
        <f>IF(E53&lt;=2,VLOOKUP(E51&amp;E53,tablas!$B$3:$K$92,9,FALSE),"Franja de losa")</f>
        <v>19.8</v>
      </c>
      <c r="F59" s="76">
        <f>IF(F53&lt;=2,VLOOKUP(F51&amp;F53,tablas!$B$3:$K$92,9,FALSE),"Franja de losa")</f>
        <v>20.5</v>
      </c>
      <c r="G59" s="76">
        <f>IF(G53&lt;=2,VLOOKUP(G51&amp;G53,tablas!$B$3:$K$92,9,FALSE),"Franja de losa")</f>
        <v>18.600000000000001</v>
      </c>
      <c r="H59" s="76">
        <f>IF(H53&lt;=2,VLOOKUP(H51&amp;H53,tablas!$B$3:$K$92,9,FALSE),"Franja de losa")</f>
        <v>19.2</v>
      </c>
      <c r="I59" s="76">
        <f>IF(I53&lt;=2,VLOOKUP(I51&amp;I53,tablas!$B$3:$K$92,9,FALSE),"Franja de losa")</f>
        <v>18.8</v>
      </c>
      <c r="J59" s="76">
        <f>IF(J53&lt;=2,VLOOKUP(J51&amp;J53,tablas!$B$3:$K$92,9,FALSE),"Franja de losa")</f>
        <v>18.8</v>
      </c>
      <c r="K59" s="76">
        <f>IF(K53&lt;=2,VLOOKUP(K51&amp;K53,tablas!$B$3:$K$92,9,FALSE),"Franja de losa")</f>
        <v>18.8</v>
      </c>
      <c r="L59" s="76" t="str">
        <f>IF(L53&lt;=2,VLOOKUP(L51&amp;L53,tablas!$B$3:$K$92,9,FALSE),"Franja de losa")</f>
        <v>Franja de losa</v>
      </c>
      <c r="M59" s="76">
        <f>IF(M53&lt;=2,VLOOKUP(M51&amp;M53,tablas!$B$3:$K$92,9,FALSE),"Franja de losa")</f>
        <v>20.5</v>
      </c>
      <c r="N59" s="76">
        <f>IF(N53&lt;=2,VLOOKUP(N51&amp;N53,tablas!$B$3:$K$92,9,FALSE),"Franja de losa")</f>
        <v>20.5</v>
      </c>
      <c r="O59" s="76">
        <f>IF(O53&lt;=2,VLOOKUP(O51&amp;O53,tablas!$B$3:$K$92,9,FALSE),"Franja de losa")</f>
        <v>18.8</v>
      </c>
      <c r="P59" s="76">
        <f>IF(P53&lt;=2,VLOOKUP(P51&amp;P53,tablas!$B$3:$K$92,9,FALSE),"Franja de losa")</f>
        <v>18.8</v>
      </c>
      <c r="Q59" s="76">
        <f>IF(Q53&lt;=2,VLOOKUP(Q51&amp;Q53,tablas!$B$3:$K$92,9,FALSE),"Franja de losa")</f>
        <v>20.5</v>
      </c>
      <c r="R59" s="76" t="str">
        <f>IF(R53&lt;=2,VLOOKUP(R51&amp;R53,tablas!$B$3:$K$92,9,FALSE),"Franja de losa")</f>
        <v>Franja de losa</v>
      </c>
      <c r="S59" s="76" t="str">
        <f>IF(S53&lt;=2,VLOOKUP(S51&amp;S53,tablas!$B$3:$K$92,9,FALSE),"Franja de losa")</f>
        <v>Franja de losa</v>
      </c>
      <c r="T59" s="76">
        <f>IF(T53&lt;=2,VLOOKUP(T51&amp;T53,tablas!$B$3:$K$92,9,FALSE),"Franja de losa")</f>
        <v>20.5</v>
      </c>
      <c r="U59" s="76" t="str">
        <f>IF(U53&lt;=2,VLOOKUP(U51&amp;U53,tablas!$B$3:$K$92,9,FALSE),"Franja de losa")</f>
        <v>Franja de losa</v>
      </c>
      <c r="V59" s="76">
        <f>IF(V53&lt;=2,VLOOKUP(V51&amp;V53,tablas!$B$3:$K$92,9,FALSE),"Franja de losa")</f>
        <v>17.600000000000001</v>
      </c>
      <c r="W59" s="76" t="str">
        <f>IF(W53&lt;=2,VLOOKUP(W51&amp;W53,tablas!$B$3:$K$92,9,FALSE),"Franja de losa")</f>
        <v>Franja de losa</v>
      </c>
      <c r="X59" s="76">
        <f>IF(X53&lt;=2,VLOOKUP(X51&amp;X53,tablas!$B$3:$K$92,9,FALSE),"Franja de losa")</f>
        <v>19.8</v>
      </c>
      <c r="Y59" s="76">
        <f>IF(Y53&lt;=2,VLOOKUP(Y51&amp;Y53,tablas!$B$3:$K$92,9,FALSE),"Franja de losa")</f>
        <v>18.600000000000001</v>
      </c>
      <c r="Z59" s="76" t="str">
        <f>IF(Z53&lt;=2,VLOOKUP(Z51&amp;Z53,tablas!$B$3:$K$92,9,FALSE),"Franja de losa")</f>
        <v>Franja de losa</v>
      </c>
      <c r="AA59" s="76">
        <f>IF(AA53&lt;=2,VLOOKUP(AA51&amp;AA53-0.1,tablas!$B$3:$K$92,9,FALSE),"Franja de losa")</f>
        <v>20.5</v>
      </c>
      <c r="AB59" s="76">
        <f>IF(AB53&lt;=2,VLOOKUP(AB51&amp;AB53,tablas!$B$3:$K$92,9,FALSE),"Franja de losa")</f>
        <v>19.8</v>
      </c>
      <c r="AC59" s="76">
        <f>IF(AC53&lt;=2,VLOOKUP(AC51&amp;AC53,tablas!$B$3:$K$92,9,FALSE),"Franja de losa")</f>
        <v>19.8</v>
      </c>
      <c r="AD59" s="76" t="str">
        <f>IF(AD53&lt;=2,VLOOKUP(AD51&amp;AD53,tablas!$B$3:$K$92,9,FALSE),"Franja de losa")</f>
        <v>Franja de losa</v>
      </c>
      <c r="AE59" s="76">
        <f>IF(AE53&lt;=2,VLOOKUP(AE51&amp;AE53-0.1,tablas!$B$3:$K$92,9,FALSE),"Franja de losa")</f>
        <v>22</v>
      </c>
    </row>
    <row r="60" spans="2:31" x14ac:dyDescent="0.25">
      <c r="B60" s="94" t="s">
        <v>7</v>
      </c>
      <c r="C60" s="76">
        <f>IF(C53&lt;=2,VLOOKUP(C51&amp;C53,tablas!$B$3:$K$92,10,FALSE),"Franja de losa")</f>
        <v>20.3</v>
      </c>
      <c r="D60" s="76">
        <f>IF(D53&lt;=2,VLOOKUP(D51&amp;D53,tablas!$B$3:$K$92,10,FALSE),"Franja de losa")</f>
        <v>26.2</v>
      </c>
      <c r="E60" s="76">
        <f>IF(E53&lt;=2,VLOOKUP(E51&amp;E53,tablas!$B$3:$K$92,10,FALSE),"Franja de losa")</f>
        <v>26.2</v>
      </c>
      <c r="F60" s="76">
        <f>IF(F53&lt;=2,VLOOKUP(F51&amp;F53,tablas!$B$3:$K$92,10,FALSE),"Franja de losa")</f>
        <v>27.9</v>
      </c>
      <c r="G60" s="76">
        <f>IF(G53&lt;=2,VLOOKUP(G51&amp;G53,tablas!$B$3:$K$92,10,FALSE),"Franja de losa")</f>
        <v>21.5</v>
      </c>
      <c r="H60" s="76">
        <f>IF(H53&lt;=2,VLOOKUP(H51&amp;H53,tablas!$B$3:$K$92,10,FALSE),"Franja de losa")</f>
        <v>24.5</v>
      </c>
      <c r="I60" s="76">
        <f>IF(I53&lt;=2,VLOOKUP(I51&amp;I53,tablas!$B$3:$K$92,10,FALSE),"Franja de losa")</f>
        <v>20.3</v>
      </c>
      <c r="J60" s="76">
        <f>IF(J53&lt;=2,VLOOKUP(J51&amp;J53,tablas!$B$3:$K$92,10,FALSE),"Franja de losa")</f>
        <v>22.9</v>
      </c>
      <c r="K60" s="76">
        <f>IF(K53&lt;=2,VLOOKUP(K51&amp;K53,tablas!$B$3:$K$92,10,FALSE),"Franja de losa")</f>
        <v>22.9</v>
      </c>
      <c r="L60" s="76" t="str">
        <f>IF(L53&lt;=2,VLOOKUP(L51&amp;L53,tablas!$B$3:$K$92,10,FALSE),"Franja de losa")</f>
        <v>Franja de losa</v>
      </c>
      <c r="M60" s="76">
        <f>IF(M53&lt;=2,VLOOKUP(M51&amp;M53,tablas!$B$3:$K$92,10,FALSE),"Franja de losa")</f>
        <v>27.9</v>
      </c>
      <c r="N60" s="76">
        <f>IF(N53&lt;=2,VLOOKUP(N51&amp;N53,tablas!$B$3:$K$92,10,FALSE),"Franja de losa")</f>
        <v>27.9</v>
      </c>
      <c r="O60" s="76">
        <f>IF(O53&lt;=2,VLOOKUP(O51&amp;O53,tablas!$B$3:$K$92,10,FALSE),"Franja de losa")</f>
        <v>22.9</v>
      </c>
      <c r="P60" s="76">
        <f>IF(P53&lt;=2,VLOOKUP(P51&amp;P53,tablas!$B$3:$K$92,10,FALSE),"Franja de losa")</f>
        <v>22.9</v>
      </c>
      <c r="Q60" s="76">
        <f>IF(Q53&lt;=2,VLOOKUP(Q51&amp;Q53,tablas!$B$3:$K$92,10,FALSE),"Franja de losa")</f>
        <v>27.9</v>
      </c>
      <c r="R60" s="76" t="str">
        <f>IF(R53&lt;=2,VLOOKUP(R51&amp;R53,tablas!$B$3:$K$92,10,FALSE),"Franja de losa")</f>
        <v>Franja de losa</v>
      </c>
      <c r="S60" s="76" t="str">
        <f>IF(S53&lt;=2,VLOOKUP(S51&amp;S53,tablas!$B$3:$K$92,10,FALSE),"Franja de losa")</f>
        <v>Franja de losa</v>
      </c>
      <c r="T60" s="76">
        <f>IF(T53&lt;=2,VLOOKUP(T51&amp;T53,tablas!$B$3:$K$92,10,FALSE),"Franja de losa")</f>
        <v>27.9</v>
      </c>
      <c r="U60" s="76" t="str">
        <f>IF(U53&lt;=2,VLOOKUP(U51&amp;U53,tablas!$B$3:$K$92,10,FALSE),"Franja de losa")</f>
        <v>Franja de losa</v>
      </c>
      <c r="V60" s="76">
        <f>IF(V53&lt;=2,VLOOKUP(V51&amp;V53,tablas!$B$3:$K$92,10,FALSE),"Franja de losa")</f>
        <v>24.6</v>
      </c>
      <c r="W60" s="76" t="str">
        <f>IF(W53&lt;=2,VLOOKUP(W51&amp;W53,tablas!$B$3:$K$92,10,FALSE),"Franja de losa")</f>
        <v>Franja de losa</v>
      </c>
      <c r="X60" s="76">
        <f>IF(X53&lt;=2,VLOOKUP(X51&amp;X53,tablas!$B$3:$K$92,10,FALSE),"Franja de losa")</f>
        <v>26.2</v>
      </c>
      <c r="Y60" s="76">
        <f>IF(Y53&lt;=2,VLOOKUP(Y51&amp;Y53,tablas!$B$3:$K$92,10,FALSE),"Franja de losa")</f>
        <v>21.5</v>
      </c>
      <c r="Z60" s="76" t="str">
        <f>IF(Z53&lt;=2,VLOOKUP(Z51&amp;Z53,tablas!$B$3:$K$92,10,FALSE),"Franja de losa")</f>
        <v>Franja de losa</v>
      </c>
      <c r="AA60" s="76">
        <f>IF(AA53&lt;=2,VLOOKUP(AA51&amp;AA53-0.1,tablas!$B$3:$K$92,10,FALSE),"Franja de losa")</f>
        <v>27.9</v>
      </c>
      <c r="AB60" s="76">
        <f>IF(AB53&lt;=2,VLOOKUP(AB51&amp;AB53,tablas!$B$3:$K$92,10,FALSE),"Franja de losa")</f>
        <v>26.2</v>
      </c>
      <c r="AC60" s="76">
        <f>IF(AC53&lt;=2,VLOOKUP(AC51&amp;AC53,tablas!$B$3:$K$92,10,FALSE),"Franja de losa")</f>
        <v>26.2</v>
      </c>
      <c r="AD60" s="76" t="str">
        <f>IF(AD53&lt;=2,VLOOKUP(AD51&amp;AD53,tablas!$B$3:$K$92,10,FALSE),"Franja de losa")</f>
        <v>Franja de losa</v>
      </c>
      <c r="AE60" s="76">
        <f>IF(AE53&lt;=2,VLOOKUP(AE51&amp;AE53-0.1,tablas!$B$3:$K$92,10,FALSE),"Franja de losa")</f>
        <v>31.4</v>
      </c>
    </row>
    <row r="61" spans="2:31" x14ac:dyDescent="0.25">
      <c r="B61" s="97" t="s">
        <v>2</v>
      </c>
      <c r="C61" s="76">
        <f>IF(C53&lt;=2,VLOOKUP(C51&amp;C53,tablas!$B$3:$K$92,5,FALSE),"Franja de losa")</f>
        <v>1.05</v>
      </c>
      <c r="D61" s="76">
        <f>IF(D53&lt;=2,VLOOKUP(D51&amp;D53,tablas!$B$3:$K$92,5,FALSE),"Franja de losa")</f>
        <v>1.31</v>
      </c>
      <c r="E61" s="76">
        <f>IF(E53&lt;=2,VLOOKUP(E51&amp;E53,tablas!$B$3:$K$92,5,FALSE),"Franja de losa")</f>
        <v>1.31</v>
      </c>
      <c r="F61" s="76">
        <f>IF(F53&lt;=2,VLOOKUP(F51&amp;F53,tablas!$B$3:$K$92,5,FALSE),"Franja de losa")</f>
        <v>1.39</v>
      </c>
      <c r="G61" s="76">
        <f>IF(G53&lt;=2,VLOOKUP(G51&amp;G53,tablas!$B$3:$K$92,5,FALSE),"Franja de losa")</f>
        <v>1.1000000000000001</v>
      </c>
      <c r="H61" s="76">
        <f>IF(H53&lt;=2,VLOOKUP(H51&amp;H53,tablas!$B$3:$K$92,5,FALSE),"Franja de losa")</f>
        <v>1.24</v>
      </c>
      <c r="I61" s="76">
        <f>IF(I53&lt;=2,VLOOKUP(I51&amp;I53,tablas!$B$3:$K$92,5,FALSE),"Franja de losa")</f>
        <v>1.05</v>
      </c>
      <c r="J61" s="76">
        <f>IF(J53&lt;=2,VLOOKUP(J51&amp;J53,tablas!$B$3:$K$92,5,FALSE),"Franja de losa")</f>
        <v>1.17</v>
      </c>
      <c r="K61" s="76">
        <f>IF(K53&lt;=2,VLOOKUP(K51&amp;K53,tablas!$B$3:$K$92,5,FALSE),"Franja de losa")</f>
        <v>1.17</v>
      </c>
      <c r="L61" s="76" t="str">
        <f>IF(L53&lt;=2,VLOOKUP(L51&amp;L53,tablas!$B$3:$K$92,5,FALSE),"Franja de losa")</f>
        <v>Franja de losa</v>
      </c>
      <c r="M61" s="76">
        <f>IF(M53&lt;=2,VLOOKUP(M51&amp;M53,tablas!$B$3:$K$92,5,FALSE),"Franja de losa")</f>
        <v>1.39</v>
      </c>
      <c r="N61" s="76">
        <f>IF(N53&lt;=2,VLOOKUP(N51&amp;N53,tablas!$B$3:$K$92,5,FALSE),"Franja de losa")</f>
        <v>1.39</v>
      </c>
      <c r="O61" s="76">
        <f>IF(O53&lt;=2,VLOOKUP(O51&amp;O53,tablas!$B$3:$K$92,5,FALSE),"Franja de losa")</f>
        <v>1.17</v>
      </c>
      <c r="P61" s="76">
        <f>IF(P53&lt;=2,VLOOKUP(P51&amp;P53,tablas!$B$3:$K$92,5,FALSE),"Franja de losa")</f>
        <v>1.17</v>
      </c>
      <c r="Q61" s="76">
        <f>IF(Q53&lt;=2,VLOOKUP(Q51&amp;Q53,tablas!$B$3:$K$92,5,FALSE),"Franja de losa")</f>
        <v>1.39</v>
      </c>
      <c r="R61" s="76" t="str">
        <f>IF(R53&lt;=2,VLOOKUP(R51&amp;R53,tablas!$B$3:$K$92,5,FALSE),"Franja de losa")</f>
        <v>Franja de losa</v>
      </c>
      <c r="S61" s="76" t="str">
        <f>IF(S53&lt;=2,VLOOKUP(S51&amp;S53,tablas!$B$3:$K$92,5,FALSE),"Franja de losa")</f>
        <v>Franja de losa</v>
      </c>
      <c r="T61" s="76">
        <f>IF(T53&lt;=2,VLOOKUP(T51&amp;T53,tablas!$B$3:$K$92,5,FALSE),"Franja de losa")</f>
        <v>1.39</v>
      </c>
      <c r="U61" s="76" t="str">
        <f>IF(U53&lt;=2,VLOOKUP(U51&amp;U53,tablas!$B$3:$K$92,5,FALSE),"Franja de losa")</f>
        <v>Franja de losa</v>
      </c>
      <c r="V61" s="76">
        <f>IF(V53&lt;=2,VLOOKUP(V51&amp;V53,tablas!$B$3:$K$92,5,FALSE),"Franja de losa")</f>
        <v>0.68</v>
      </c>
      <c r="W61" s="76" t="str">
        <f>IF(W53&lt;=2,VLOOKUP(W51&amp;W53,tablas!$B$3:$K$92,5,FALSE),"Franja de losa")</f>
        <v>Franja de losa</v>
      </c>
      <c r="X61" s="76">
        <f>IF(X53&lt;=2,VLOOKUP(X51&amp;X53,tablas!$B$3:$K$92,5,FALSE),"Franja de losa")</f>
        <v>1.31</v>
      </c>
      <c r="Y61" s="76">
        <f>IF(Y53&lt;=2,VLOOKUP(Y51&amp;Y53,tablas!$B$3:$K$92,5,FALSE),"Franja de losa")</f>
        <v>1.1000000000000001</v>
      </c>
      <c r="Z61" s="76" t="str">
        <f>IF(Z53&lt;=2,VLOOKUP(Z51&amp;Z53,tablas!$B$3:$K$92,5,FALSE),"Franja de losa")</f>
        <v>Franja de losa</v>
      </c>
      <c r="AA61" s="76">
        <f>IF(AA53&lt;=2,VLOOKUP(AA51&amp;AA53-0.1,tablas!$B$3:$K$92,5,FALSE),"Franja de losa")</f>
        <v>1.39</v>
      </c>
      <c r="AB61" s="76">
        <f>IF(AB53&lt;=2,VLOOKUP(AB51&amp;AB53,tablas!$B$3:$K$92,5,FALSE),"Franja de losa")</f>
        <v>1.31</v>
      </c>
      <c r="AC61" s="76">
        <f>IF(AC53&lt;=2,VLOOKUP(AC51&amp;AC53,tablas!$B$3:$K$92,5,FALSE),"Franja de losa")</f>
        <v>1.31</v>
      </c>
      <c r="AD61" s="76" t="str">
        <f>IF(AD53&lt;=2,VLOOKUP(AD51&amp;AD53,tablas!$B$3:$K$92,5,FALSE),"Franja de losa")</f>
        <v>Franja de losa</v>
      </c>
      <c r="AE61" s="76">
        <f>IF(AE53&lt;=2,VLOOKUP(AE51&amp;AE53-0.1,tablas!$B$3:$K$92,5,FALSE),"Franja de losa")</f>
        <v>1.39</v>
      </c>
    </row>
    <row r="62" spans="2:31" ht="15.75" thickBot="1" x14ac:dyDescent="0.3">
      <c r="B62" s="98" t="s">
        <v>3</v>
      </c>
      <c r="C62" s="82">
        <f>IF(C53&lt;=2,VLOOKUP(C51&amp;C53,tablas!$B$3:$K$92,6,FALSE),"Franja de losa")</f>
        <v>1.05</v>
      </c>
      <c r="D62" s="82">
        <f>IF(D53&lt;=2,VLOOKUP(D51&amp;D53,tablas!$B$3:$K$92,6,FALSE),"Franja de losa")</f>
        <v>1.31</v>
      </c>
      <c r="E62" s="82">
        <f>IF(E53&lt;=2,VLOOKUP(E51&amp;E53,tablas!$B$3:$K$92,6,FALSE),"Franja de losa")</f>
        <v>1.31</v>
      </c>
      <c r="F62" s="82">
        <f>IF(F53&lt;=2,VLOOKUP(F51&amp;F53,tablas!$B$3:$K$92,6,FALSE),"Franja de losa")</f>
        <v>1.39</v>
      </c>
      <c r="G62" s="82">
        <f>IF(G53&lt;=2,VLOOKUP(G51&amp;G53,tablas!$B$3:$K$92,6,FALSE),"Franja de losa")</f>
        <v>1.1000000000000001</v>
      </c>
      <c r="H62" s="82">
        <f>IF(H53&lt;=2,VLOOKUP(H51&amp;H53,tablas!$B$3:$K$92,6,FALSE),"Franja de losa")</f>
        <v>1.24</v>
      </c>
      <c r="I62" s="82">
        <f>IF(I53&lt;=2,VLOOKUP(I51&amp;I53,tablas!$B$3:$K$92,6,FALSE),"Franja de losa")</f>
        <v>1.05</v>
      </c>
      <c r="J62" s="82">
        <f>IF(J53&lt;=2,VLOOKUP(J51&amp;J53,tablas!$B$3:$K$92,6,FALSE),"Franja de losa")</f>
        <v>1.17</v>
      </c>
      <c r="K62" s="82">
        <f>IF(K53&lt;=2,VLOOKUP(K51&amp;K53,tablas!$B$3:$K$92,6,FALSE),"Franja de losa")</f>
        <v>1.17</v>
      </c>
      <c r="L62" s="82" t="str">
        <f>IF(L53&lt;=2,VLOOKUP(L51&amp;L53,tablas!$B$3:$K$92,6,FALSE),"Franja de losa")</f>
        <v>Franja de losa</v>
      </c>
      <c r="M62" s="82">
        <f>IF(M53&lt;=2,VLOOKUP(M51&amp;M53,tablas!$B$3:$K$92,6,FALSE),"Franja de losa")</f>
        <v>1.39</v>
      </c>
      <c r="N62" s="82">
        <f>IF(N53&lt;=2,VLOOKUP(N51&amp;N53,tablas!$B$3:$K$92,6,FALSE),"Franja de losa")</f>
        <v>1.39</v>
      </c>
      <c r="O62" s="82">
        <f>IF(O53&lt;=2,VLOOKUP(O51&amp;O53,tablas!$B$3:$K$92,6,FALSE),"Franja de losa")</f>
        <v>1.17</v>
      </c>
      <c r="P62" s="82">
        <f>IF(P53&lt;=2,VLOOKUP(P51&amp;P53,tablas!$B$3:$K$92,6,FALSE),"Franja de losa")</f>
        <v>1.17</v>
      </c>
      <c r="Q62" s="82">
        <f>IF(Q53&lt;=2,VLOOKUP(Q51&amp;Q53,tablas!$B$3:$K$92,6,FALSE),"Franja de losa")</f>
        <v>1.39</v>
      </c>
      <c r="R62" s="82" t="str">
        <f>IF(R53&lt;=2,VLOOKUP(R51&amp;R53,tablas!$B$3:$K$92,6,FALSE),"Franja de losa")</f>
        <v>Franja de losa</v>
      </c>
      <c r="S62" s="82" t="str">
        <f>IF(S53&lt;=2,VLOOKUP(S51&amp;S53,tablas!$B$3:$K$92,6,FALSE),"Franja de losa")</f>
        <v>Franja de losa</v>
      </c>
      <c r="T62" s="82">
        <f>IF(T53&lt;=2,VLOOKUP(T51&amp;T53,tablas!$B$3:$K$92,6,FALSE),"Franja de losa")</f>
        <v>1.39</v>
      </c>
      <c r="U62" s="82" t="str">
        <f>IF(U53&lt;=2,VLOOKUP(U51&amp;U53,tablas!$B$3:$K$92,6,FALSE),"Franja de losa")</f>
        <v>Franja de losa</v>
      </c>
      <c r="V62" s="82">
        <f>IF(V53&lt;=2,VLOOKUP(V51&amp;V53,tablas!$B$3:$K$92,6,FALSE),"Franja de losa")</f>
        <v>0.46</v>
      </c>
      <c r="W62" s="82" t="str">
        <f>IF(W53&lt;=2,VLOOKUP(W51&amp;W53,tablas!$B$3:$K$92,6,FALSE),"Franja de losa")</f>
        <v>Franja de losa</v>
      </c>
      <c r="X62" s="82">
        <f>IF(X53&lt;=2,VLOOKUP(X51&amp;X53,tablas!$B$3:$K$92,6,FALSE),"Franja de losa")</f>
        <v>1.31</v>
      </c>
      <c r="Y62" s="82">
        <f>IF(Y53&lt;=2,VLOOKUP(Y51&amp;Y53,tablas!$B$3:$K$92,6,FALSE),"Franja de losa")</f>
        <v>1.1000000000000001</v>
      </c>
      <c r="Z62" s="82" t="str">
        <f>IF(Z53&lt;=2,VLOOKUP(Z51&amp;Z53,tablas!$B$3:$K$92,6,FALSE),"Franja de losa")</f>
        <v>Franja de losa</v>
      </c>
      <c r="AA62" s="82">
        <f>IF(AA53&lt;=2,VLOOKUP(AA51&amp;AA53-0.1,tablas!$B$3:$K$92,6,FALSE),"Franja de losa")</f>
        <v>1.39</v>
      </c>
      <c r="AB62" s="82">
        <f>IF(AB53&lt;=2,VLOOKUP(AB51&amp;AB53,tablas!$B$3:$K$92,6,FALSE),"Franja de losa")</f>
        <v>1.31</v>
      </c>
      <c r="AC62" s="82">
        <f>IF(AC53&lt;=2,VLOOKUP(AC51&amp;AC53,tablas!$B$3:$K$92,6,FALSE),"Franja de losa")</f>
        <v>1.31</v>
      </c>
      <c r="AD62" s="82" t="str">
        <f>IF(AD53&lt;=2,VLOOKUP(AD51&amp;AD53,tablas!$B$3:$K$92,6,FALSE),"Franja de losa")</f>
        <v>Franja de losa</v>
      </c>
      <c r="AE62" s="82">
        <f>IF(AE53&lt;=2,VLOOKUP(AE51&amp;AE53-0.1,tablas!$B$3:$K$92,6,FALSE),"Franja de losa")</f>
        <v>1.39</v>
      </c>
    </row>
    <row r="63" spans="2:31" ht="15.75" thickBot="1" x14ac:dyDescent="0.3">
      <c r="B63" s="71" t="s">
        <v>87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72"/>
    </row>
    <row r="64" spans="2:31" x14ac:dyDescent="0.25">
      <c r="B64" s="94" t="s">
        <v>83</v>
      </c>
      <c r="C64" s="83">
        <f t="shared" ref="C64:AE64" si="16">VLOOKUP(C$46,$B$16:$H$44,6)</f>
        <v>500</v>
      </c>
      <c r="D64" s="83">
        <f t="shared" si="16"/>
        <v>500</v>
      </c>
      <c r="E64" s="83">
        <f t="shared" si="16"/>
        <v>500</v>
      </c>
      <c r="F64" s="83">
        <f t="shared" si="16"/>
        <v>500</v>
      </c>
      <c r="G64" s="83">
        <f t="shared" si="16"/>
        <v>500</v>
      </c>
      <c r="H64" s="83">
        <f t="shared" si="16"/>
        <v>500</v>
      </c>
      <c r="I64" s="83">
        <f t="shared" si="16"/>
        <v>500</v>
      </c>
      <c r="J64" s="83">
        <f t="shared" si="16"/>
        <v>500</v>
      </c>
      <c r="K64" s="83">
        <f t="shared" si="16"/>
        <v>500</v>
      </c>
      <c r="L64" s="83">
        <f t="shared" si="16"/>
        <v>500</v>
      </c>
      <c r="M64" s="83">
        <f t="shared" si="16"/>
        <v>500</v>
      </c>
      <c r="N64" s="83">
        <f t="shared" si="16"/>
        <v>400</v>
      </c>
      <c r="O64" s="83">
        <f t="shared" si="16"/>
        <v>400</v>
      </c>
      <c r="P64" s="83">
        <f t="shared" si="16"/>
        <v>500</v>
      </c>
      <c r="Q64" s="83">
        <f t="shared" si="16"/>
        <v>500</v>
      </c>
      <c r="R64" s="83">
        <f t="shared" si="16"/>
        <v>500</v>
      </c>
      <c r="S64" s="83">
        <f t="shared" si="16"/>
        <v>500</v>
      </c>
      <c r="T64" s="83">
        <f t="shared" si="16"/>
        <v>400</v>
      </c>
      <c r="U64" s="83">
        <f t="shared" si="16"/>
        <v>400</v>
      </c>
      <c r="V64" s="83">
        <f t="shared" si="16"/>
        <v>400</v>
      </c>
      <c r="W64" s="83">
        <f t="shared" si="16"/>
        <v>400</v>
      </c>
      <c r="X64" s="83">
        <f t="shared" si="16"/>
        <v>500</v>
      </c>
      <c r="Y64" s="83">
        <f t="shared" si="16"/>
        <v>500</v>
      </c>
      <c r="Z64" s="83">
        <f t="shared" si="16"/>
        <v>500</v>
      </c>
      <c r="AA64" s="83">
        <f t="shared" si="16"/>
        <v>500</v>
      </c>
      <c r="AB64" s="83">
        <f t="shared" si="16"/>
        <v>500</v>
      </c>
      <c r="AC64" s="83">
        <f t="shared" si="16"/>
        <v>500</v>
      </c>
      <c r="AD64" s="83">
        <f t="shared" si="16"/>
        <v>500</v>
      </c>
      <c r="AE64" s="83">
        <f t="shared" si="16"/>
        <v>400</v>
      </c>
    </row>
    <row r="65" spans="2:39" x14ac:dyDescent="0.25">
      <c r="B65" s="94" t="s">
        <v>89</v>
      </c>
      <c r="C65" s="194">
        <f>$L$7*($C$4/100)</f>
        <v>425.00000000000006</v>
      </c>
      <c r="D65" s="77">
        <f>$L$7*($C$4/100)</f>
        <v>425.00000000000006</v>
      </c>
      <c r="E65" s="77">
        <f t="shared" ref="E65:AE65" si="17">$L$7*($C$4/100)</f>
        <v>425.00000000000006</v>
      </c>
      <c r="F65" s="77">
        <f t="shared" si="17"/>
        <v>425.00000000000006</v>
      </c>
      <c r="G65" s="77">
        <f t="shared" si="17"/>
        <v>425.00000000000006</v>
      </c>
      <c r="H65" s="77">
        <f t="shared" si="17"/>
        <v>425.00000000000006</v>
      </c>
      <c r="I65" s="77">
        <f t="shared" si="17"/>
        <v>425.00000000000006</v>
      </c>
      <c r="J65" s="77">
        <f t="shared" si="17"/>
        <v>425.00000000000006</v>
      </c>
      <c r="K65" s="77">
        <f t="shared" si="17"/>
        <v>425.00000000000006</v>
      </c>
      <c r="L65" s="77">
        <f t="shared" si="17"/>
        <v>425.00000000000006</v>
      </c>
      <c r="M65" s="77">
        <f t="shared" si="17"/>
        <v>425.00000000000006</v>
      </c>
      <c r="N65" s="77">
        <f t="shared" si="17"/>
        <v>425.00000000000006</v>
      </c>
      <c r="O65" s="77">
        <f t="shared" si="17"/>
        <v>425.00000000000006</v>
      </c>
      <c r="P65" s="77">
        <f t="shared" si="17"/>
        <v>425.00000000000006</v>
      </c>
      <c r="Q65" s="77">
        <f t="shared" si="17"/>
        <v>425.00000000000006</v>
      </c>
      <c r="R65" s="77">
        <f t="shared" si="17"/>
        <v>425.00000000000006</v>
      </c>
      <c r="S65" s="77">
        <f t="shared" si="17"/>
        <v>425.00000000000006</v>
      </c>
      <c r="T65" s="77">
        <f t="shared" si="17"/>
        <v>425.00000000000006</v>
      </c>
      <c r="U65" s="77">
        <f t="shared" si="17"/>
        <v>425.00000000000006</v>
      </c>
      <c r="V65" s="77">
        <f t="shared" si="17"/>
        <v>425.00000000000006</v>
      </c>
      <c r="W65" s="77">
        <f t="shared" si="17"/>
        <v>425.00000000000006</v>
      </c>
      <c r="X65" s="77">
        <f t="shared" si="17"/>
        <v>425.00000000000006</v>
      </c>
      <c r="Y65" s="77">
        <f t="shared" si="17"/>
        <v>425.00000000000006</v>
      </c>
      <c r="Z65" s="77">
        <f t="shared" si="17"/>
        <v>425.00000000000006</v>
      </c>
      <c r="AA65" s="77">
        <f t="shared" si="17"/>
        <v>425.00000000000006</v>
      </c>
      <c r="AB65" s="77">
        <f t="shared" si="17"/>
        <v>425.00000000000006</v>
      </c>
      <c r="AC65" s="77">
        <f t="shared" si="17"/>
        <v>425.00000000000006</v>
      </c>
      <c r="AD65" s="77">
        <f t="shared" si="17"/>
        <v>425.00000000000006</v>
      </c>
      <c r="AE65" s="77">
        <f t="shared" si="17"/>
        <v>425.00000000000006</v>
      </c>
    </row>
    <row r="66" spans="2:39" x14ac:dyDescent="0.25">
      <c r="B66" s="94" t="s">
        <v>90</v>
      </c>
      <c r="C66" s="76">
        <f>C65+$I$8</f>
        <v>650</v>
      </c>
      <c r="D66" s="77">
        <f>D65+$I$8</f>
        <v>650</v>
      </c>
      <c r="E66" s="77">
        <f t="shared" ref="E66:R66" si="18">E65+$I$8</f>
        <v>650</v>
      </c>
      <c r="F66" s="77">
        <f t="shared" si="18"/>
        <v>650</v>
      </c>
      <c r="G66" s="77">
        <f t="shared" si="18"/>
        <v>650</v>
      </c>
      <c r="H66" s="77">
        <f t="shared" si="18"/>
        <v>650</v>
      </c>
      <c r="I66" s="77">
        <f t="shared" si="18"/>
        <v>650</v>
      </c>
      <c r="J66" s="77">
        <f t="shared" si="18"/>
        <v>650</v>
      </c>
      <c r="K66" s="77">
        <f t="shared" si="18"/>
        <v>650</v>
      </c>
      <c r="L66" s="77">
        <f t="shared" si="18"/>
        <v>650</v>
      </c>
      <c r="M66" s="77">
        <f t="shared" si="18"/>
        <v>650</v>
      </c>
      <c r="N66" s="77">
        <f t="shared" si="18"/>
        <v>650</v>
      </c>
      <c r="O66" s="77">
        <f t="shared" si="18"/>
        <v>650</v>
      </c>
      <c r="P66" s="77">
        <f t="shared" si="18"/>
        <v>650</v>
      </c>
      <c r="Q66" s="77">
        <f t="shared" si="18"/>
        <v>650</v>
      </c>
      <c r="R66" s="77">
        <f t="shared" si="18"/>
        <v>650</v>
      </c>
      <c r="S66" s="77">
        <f t="shared" ref="S66:AE66" si="19">S65+$I$8</f>
        <v>650</v>
      </c>
      <c r="T66" s="77">
        <f t="shared" si="19"/>
        <v>650</v>
      </c>
      <c r="U66" s="77">
        <f t="shared" si="19"/>
        <v>650</v>
      </c>
      <c r="V66" s="77">
        <f t="shared" si="19"/>
        <v>650</v>
      </c>
      <c r="W66" s="77">
        <f t="shared" si="19"/>
        <v>650</v>
      </c>
      <c r="X66" s="77">
        <f t="shared" si="19"/>
        <v>650</v>
      </c>
      <c r="Y66" s="77">
        <f t="shared" si="19"/>
        <v>650</v>
      </c>
      <c r="Z66" s="77">
        <f t="shared" si="19"/>
        <v>650</v>
      </c>
      <c r="AA66" s="77">
        <f t="shared" si="19"/>
        <v>650</v>
      </c>
      <c r="AB66" s="77">
        <f t="shared" si="19"/>
        <v>650</v>
      </c>
      <c r="AC66" s="77">
        <f t="shared" si="19"/>
        <v>650</v>
      </c>
      <c r="AD66" s="77">
        <f t="shared" si="19"/>
        <v>650</v>
      </c>
      <c r="AE66" s="77">
        <f t="shared" si="19"/>
        <v>650</v>
      </c>
    </row>
    <row r="67" spans="2:39" x14ac:dyDescent="0.25">
      <c r="B67" s="94" t="s">
        <v>91</v>
      </c>
      <c r="C67" s="76">
        <f>1.2*C66+1.6*C64</f>
        <v>1580</v>
      </c>
      <c r="D67" s="77">
        <f>1.2*D66+1.6*D64</f>
        <v>1580</v>
      </c>
      <c r="E67" s="77">
        <f t="shared" ref="E67:R67" si="20">1.2*E66+1.6*E64</f>
        <v>1580</v>
      </c>
      <c r="F67" s="77">
        <f t="shared" si="20"/>
        <v>1580</v>
      </c>
      <c r="G67" s="77">
        <f t="shared" si="20"/>
        <v>1580</v>
      </c>
      <c r="H67" s="77">
        <f t="shared" si="20"/>
        <v>1580</v>
      </c>
      <c r="I67" s="77">
        <f t="shared" si="20"/>
        <v>1580</v>
      </c>
      <c r="J67" s="77">
        <f t="shared" si="20"/>
        <v>1580</v>
      </c>
      <c r="K67" s="77">
        <f t="shared" si="20"/>
        <v>1580</v>
      </c>
      <c r="L67" s="77">
        <f t="shared" si="20"/>
        <v>1580</v>
      </c>
      <c r="M67" s="77">
        <f t="shared" si="20"/>
        <v>1580</v>
      </c>
      <c r="N67" s="77">
        <f t="shared" si="20"/>
        <v>1420</v>
      </c>
      <c r="O67" s="77">
        <f t="shared" si="20"/>
        <v>1420</v>
      </c>
      <c r="P67" s="77">
        <f t="shared" si="20"/>
        <v>1580</v>
      </c>
      <c r="Q67" s="77">
        <f t="shared" si="20"/>
        <v>1580</v>
      </c>
      <c r="R67" s="77">
        <f t="shared" si="20"/>
        <v>1580</v>
      </c>
      <c r="S67" s="77">
        <f t="shared" ref="S67:AE67" si="21">1.2*S66+1.6*S64</f>
        <v>1580</v>
      </c>
      <c r="T67" s="77">
        <f t="shared" si="21"/>
        <v>1420</v>
      </c>
      <c r="U67" s="77">
        <f t="shared" si="21"/>
        <v>1420</v>
      </c>
      <c r="V67" s="77">
        <f t="shared" si="21"/>
        <v>1420</v>
      </c>
      <c r="W67" s="77">
        <f t="shared" si="21"/>
        <v>1420</v>
      </c>
      <c r="X67" s="77">
        <f t="shared" si="21"/>
        <v>1580</v>
      </c>
      <c r="Y67" s="77">
        <f t="shared" si="21"/>
        <v>1580</v>
      </c>
      <c r="Z67" s="77">
        <f t="shared" si="21"/>
        <v>1580</v>
      </c>
      <c r="AA67" s="77">
        <f t="shared" si="21"/>
        <v>1580</v>
      </c>
      <c r="AB67" s="77">
        <f t="shared" si="21"/>
        <v>1580</v>
      </c>
      <c r="AC67" s="77">
        <f t="shared" si="21"/>
        <v>1580</v>
      </c>
      <c r="AD67" s="77">
        <f t="shared" si="21"/>
        <v>1580</v>
      </c>
      <c r="AE67" s="77">
        <f t="shared" si="21"/>
        <v>1420</v>
      </c>
    </row>
    <row r="68" spans="2:39" s="60" customFormat="1" x14ac:dyDescent="0.25">
      <c r="B68" s="95" t="s">
        <v>92</v>
      </c>
      <c r="C68" s="84">
        <f t="shared" ref="C68:AE68" si="22">C67*C48*C49</f>
        <v>42107</v>
      </c>
      <c r="D68" s="85">
        <f t="shared" si="22"/>
        <v>56880</v>
      </c>
      <c r="E68" s="85">
        <f t="shared" si="22"/>
        <v>56880</v>
      </c>
      <c r="F68" s="85">
        <f t="shared" si="22"/>
        <v>62331</v>
      </c>
      <c r="G68" s="85">
        <f t="shared" si="22"/>
        <v>35155</v>
      </c>
      <c r="H68" s="85">
        <f t="shared" si="22"/>
        <v>28440</v>
      </c>
      <c r="I68" s="85">
        <f t="shared" si="22"/>
        <v>46654.555999999997</v>
      </c>
      <c r="J68" s="85">
        <f t="shared" si="22"/>
        <v>63023.040000000008</v>
      </c>
      <c r="K68" s="85">
        <f t="shared" si="22"/>
        <v>63023.040000000008</v>
      </c>
      <c r="L68" s="85">
        <f t="shared" si="22"/>
        <v>108014.48800000001</v>
      </c>
      <c r="M68" s="85">
        <f t="shared" si="22"/>
        <v>31511.52</v>
      </c>
      <c r="N68" s="85">
        <f t="shared" si="22"/>
        <v>80239.94</v>
      </c>
      <c r="O68" s="85">
        <f t="shared" si="22"/>
        <v>36976.800000000003</v>
      </c>
      <c r="P68" s="85">
        <f t="shared" si="22"/>
        <v>41143.200000000004</v>
      </c>
      <c r="Q68" s="85">
        <f t="shared" si="22"/>
        <v>90714.91</v>
      </c>
      <c r="R68" s="85">
        <f t="shared" si="22"/>
        <v>73825.5</v>
      </c>
      <c r="S68" s="85">
        <f t="shared" si="22"/>
        <v>59724</v>
      </c>
      <c r="T68" s="85">
        <f t="shared" si="22"/>
        <v>115296.04800000001</v>
      </c>
      <c r="U68" s="85">
        <f t="shared" si="22"/>
        <v>22265.599999999995</v>
      </c>
      <c r="V68" s="85">
        <f t="shared" si="22"/>
        <v>12047.28</v>
      </c>
      <c r="W68" s="85">
        <f t="shared" si="22"/>
        <v>26190.48</v>
      </c>
      <c r="X68" s="85">
        <f t="shared" si="22"/>
        <v>42707.4</v>
      </c>
      <c r="Y68" s="85">
        <f t="shared" si="22"/>
        <v>73420.072</v>
      </c>
      <c r="Z68" s="85">
        <f t="shared" si="22"/>
        <v>241375.96799999999</v>
      </c>
      <c r="AA68" s="85">
        <f t="shared" si="22"/>
        <v>65096</v>
      </c>
      <c r="AB68" s="85">
        <f t="shared" si="22"/>
        <v>71865.983999999997</v>
      </c>
      <c r="AC68" s="85">
        <f t="shared" si="22"/>
        <v>113702.32999999999</v>
      </c>
      <c r="AD68" s="85">
        <f t="shared" si="22"/>
        <v>57733.200000000004</v>
      </c>
      <c r="AE68" s="85">
        <f t="shared" si="22"/>
        <v>14165.919999999998</v>
      </c>
      <c r="AI68"/>
      <c r="AJ68"/>
      <c r="AL68"/>
      <c r="AM68"/>
    </row>
    <row r="69" spans="2:39" ht="15.75" thickBot="1" x14ac:dyDescent="0.3">
      <c r="B69" s="96" t="s">
        <v>93</v>
      </c>
      <c r="C69" s="86">
        <f>C64/(2*C67)</f>
        <v>0.15822784810126583</v>
      </c>
      <c r="D69" s="87">
        <f>D64/(2*D67)</f>
        <v>0.15822784810126583</v>
      </c>
      <c r="E69" s="87">
        <f t="shared" ref="E69:R69" si="23">E64/(2*E67)</f>
        <v>0.15822784810126583</v>
      </c>
      <c r="F69" s="87">
        <f t="shared" si="23"/>
        <v>0.15822784810126583</v>
      </c>
      <c r="G69" s="87">
        <f t="shared" si="23"/>
        <v>0.15822784810126583</v>
      </c>
      <c r="H69" s="87">
        <f t="shared" si="23"/>
        <v>0.15822784810126583</v>
      </c>
      <c r="I69" s="87">
        <f t="shared" si="23"/>
        <v>0.15822784810126583</v>
      </c>
      <c r="J69" s="87">
        <f t="shared" si="23"/>
        <v>0.15822784810126583</v>
      </c>
      <c r="K69" s="87">
        <f t="shared" si="23"/>
        <v>0.15822784810126583</v>
      </c>
      <c r="L69" s="87">
        <f t="shared" si="23"/>
        <v>0.15822784810126583</v>
      </c>
      <c r="M69" s="87">
        <f t="shared" si="23"/>
        <v>0.15822784810126583</v>
      </c>
      <c r="N69" s="87">
        <f t="shared" si="23"/>
        <v>0.14084507042253522</v>
      </c>
      <c r="O69" s="87">
        <f t="shared" si="23"/>
        <v>0.14084507042253522</v>
      </c>
      <c r="P69" s="87">
        <f t="shared" si="23"/>
        <v>0.15822784810126583</v>
      </c>
      <c r="Q69" s="87">
        <f t="shared" si="23"/>
        <v>0.15822784810126583</v>
      </c>
      <c r="R69" s="87">
        <f t="shared" si="23"/>
        <v>0.15822784810126583</v>
      </c>
      <c r="S69" s="87">
        <f t="shared" ref="S69:AC69" si="24">S64/(2*S67)</f>
        <v>0.15822784810126583</v>
      </c>
      <c r="T69" s="87">
        <f t="shared" si="24"/>
        <v>0.14084507042253522</v>
      </c>
      <c r="U69" s="87">
        <f t="shared" si="24"/>
        <v>0.14084507042253522</v>
      </c>
      <c r="V69" s="87">
        <f t="shared" si="24"/>
        <v>0.14084507042253522</v>
      </c>
      <c r="W69" s="87">
        <f t="shared" si="24"/>
        <v>0.14084507042253522</v>
      </c>
      <c r="X69" s="87">
        <f t="shared" si="24"/>
        <v>0.15822784810126583</v>
      </c>
      <c r="Y69" s="87">
        <f t="shared" si="24"/>
        <v>0.15822784810126583</v>
      </c>
      <c r="Z69" s="87">
        <f t="shared" si="24"/>
        <v>0.15822784810126583</v>
      </c>
      <c r="AA69" s="87">
        <f t="shared" si="24"/>
        <v>0.15822784810126583</v>
      </c>
      <c r="AB69" s="87">
        <f t="shared" si="24"/>
        <v>0.15822784810126583</v>
      </c>
      <c r="AC69" s="87">
        <f t="shared" si="24"/>
        <v>0.15822784810126583</v>
      </c>
      <c r="AD69" s="87">
        <f>AD64/(2*AD67)</f>
        <v>0.15822784810126583</v>
      </c>
      <c r="AE69" s="87">
        <f>AE64/(2*AE67)</f>
        <v>0.14084507042253522</v>
      </c>
    </row>
    <row r="70" spans="2:39" ht="15.75" thickBot="1" x14ac:dyDescent="0.3">
      <c r="B70" s="71" t="s">
        <v>96</v>
      </c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72"/>
      <c r="AI70" s="60"/>
      <c r="AJ70" s="60"/>
    </row>
    <row r="71" spans="2:39" x14ac:dyDescent="0.25">
      <c r="B71" s="93" t="s">
        <v>97</v>
      </c>
      <c r="C71" s="88">
        <f t="shared" ref="C71:J71" si="25">IF(C53&lt;=2,C68/C57*(1+C69*C61)*C56,IF(OR(C51=6,C51="5a",C51="3a"),C67*C48^2/17,(IF(OR(C51="2a",C51=4,C51="5b"),C67*C48^2/12,IF(OR(C51=1,C51="2b",C51="3b"),C67*C48^2/8)))))</f>
        <v>968.49358974358961</v>
      </c>
      <c r="D71" s="88">
        <f t="shared" si="25"/>
        <v>1546.6216216216217</v>
      </c>
      <c r="E71" s="88">
        <f t="shared" si="25"/>
        <v>1546.6216216216217</v>
      </c>
      <c r="F71" s="88">
        <f t="shared" si="25"/>
        <v>1649.454989154013</v>
      </c>
      <c r="G71" s="88">
        <f t="shared" si="25"/>
        <v>874.44385593220341</v>
      </c>
      <c r="H71" s="88">
        <f t="shared" si="25"/>
        <v>762.78026905829597</v>
      </c>
      <c r="I71" s="88">
        <f t="shared" si="25"/>
        <v>1073.0908974358972</v>
      </c>
      <c r="J71" s="88">
        <f t="shared" si="25"/>
        <v>1652.4398230088495</v>
      </c>
      <c r="K71" s="88">
        <f t="shared" ref="K71:AE71" si="26">IF(K53&lt;=2,K68/K57*(1+K69*K61)*K56,IF(OR(K51=6,K51="5a",K51="3a"),K67*K48^2/17,(IF(OR(K51="2a",K51=4,K51="5b"),K67*K48^2/12,IF(OR(K51=1,K51="2b",K51="3b"),K67*K48^2/8)))))</f>
        <v>1652.4398230088495</v>
      </c>
      <c r="L71" s="88">
        <f t="shared" si="26"/>
        <v>2852.5134117647062</v>
      </c>
      <c r="M71" s="88">
        <f t="shared" si="26"/>
        <v>833.88416485900223</v>
      </c>
      <c r="N71" s="88">
        <f t="shared" si="26"/>
        <v>2081.3207375271149</v>
      </c>
      <c r="O71" s="88">
        <f t="shared" si="26"/>
        <v>952.87964601769909</v>
      </c>
      <c r="P71" s="88">
        <f t="shared" si="26"/>
        <v>1078.7588495575221</v>
      </c>
      <c r="Q71" s="88">
        <f t="shared" si="26"/>
        <v>2400.5737255965296</v>
      </c>
      <c r="R71" s="88">
        <f t="shared" si="26"/>
        <v>1840.4676470588238</v>
      </c>
      <c r="S71" s="88">
        <f t="shared" si="26"/>
        <v>1204.5176470588237</v>
      </c>
      <c r="T71" s="88">
        <f t="shared" si="26"/>
        <v>2990.6310455531452</v>
      </c>
      <c r="U71" s="88">
        <f t="shared" si="26"/>
        <v>163.71764705882353</v>
      </c>
      <c r="V71" s="88">
        <f t="shared" si="26"/>
        <v>352.02944000000002</v>
      </c>
      <c r="W71" s="88">
        <f t="shared" si="26"/>
        <v>702.48235294117649</v>
      </c>
      <c r="X71" s="88">
        <f t="shared" si="26"/>
        <v>1161.2550675675677</v>
      </c>
      <c r="Y71" s="88">
        <f t="shared" si="26"/>
        <v>1826.2474999999999</v>
      </c>
      <c r="Z71" s="88">
        <f t="shared" si="26"/>
        <v>6310.4828235294117</v>
      </c>
      <c r="AA71" s="88">
        <f t="shared" si="26"/>
        <v>1722.6247288503255</v>
      </c>
      <c r="AB71" s="88">
        <f t="shared" si="26"/>
        <v>1954.1048648648648</v>
      </c>
      <c r="AC71" s="88">
        <f t="shared" si="26"/>
        <v>3091.6751407657653</v>
      </c>
      <c r="AD71" s="88">
        <f t="shared" si="26"/>
        <v>1204.5176470588237</v>
      </c>
      <c r="AE71" s="88">
        <f t="shared" si="26"/>
        <v>347.11573770491799</v>
      </c>
      <c r="AL71" s="60"/>
      <c r="AM71" s="60"/>
    </row>
    <row r="72" spans="2:39" x14ac:dyDescent="0.25">
      <c r="B72" s="94" t="s">
        <v>15</v>
      </c>
      <c r="C72" s="89">
        <f>C71/(0.9*(0.9*($C$7/100))*($L$9*1000))</f>
        <v>1.8624160411976258</v>
      </c>
      <c r="D72" s="90">
        <f>D71/(0.9*(0.9*($C$7/100))*($L$9*1000))</f>
        <v>2.974157958581634</v>
      </c>
      <c r="E72" s="90">
        <f t="shared" ref="E72:R72" si="27">E71/(0.9*(0.9*($C$7/100))*($L$9*1000))</f>
        <v>2.974157958581634</v>
      </c>
      <c r="F72" s="90">
        <f t="shared" si="27"/>
        <v>3.171906828879683</v>
      </c>
      <c r="G72" s="90">
        <f t="shared" si="27"/>
        <v>1.6815581245571387</v>
      </c>
      <c r="H72" s="90">
        <f t="shared" si="27"/>
        <v>1.466828716315326</v>
      </c>
      <c r="I72" s="90">
        <f t="shared" si="27"/>
        <v>2.0635569736469694</v>
      </c>
      <c r="J72" s="90">
        <f t="shared" si="27"/>
        <v>3.177646673221894</v>
      </c>
      <c r="K72" s="90">
        <f t="shared" si="27"/>
        <v>3.177646673221894</v>
      </c>
      <c r="L72" s="90">
        <f t="shared" si="27"/>
        <v>5.4853917383268058</v>
      </c>
      <c r="M72" s="90">
        <f t="shared" si="27"/>
        <v>1.6035617185089075</v>
      </c>
      <c r="N72" s="90">
        <f t="shared" si="27"/>
        <v>4.002385941938992</v>
      </c>
      <c r="O72" s="90">
        <f t="shared" si="27"/>
        <v>1.8323903811732221</v>
      </c>
      <c r="P72" s="90">
        <f t="shared" si="27"/>
        <v>2.0744564623620665</v>
      </c>
      <c r="Q72" s="90">
        <f t="shared" si="27"/>
        <v>4.6163103834401165</v>
      </c>
      <c r="R72" s="90">
        <f t="shared" si="27"/>
        <v>3.5392247357002105</v>
      </c>
      <c r="S72" s="90">
        <f t="shared" ref="S72:AE72" si="28">S71/(0.9*(0.9*($C$7/100))*($L$9*1000))</f>
        <v>2.3162910023822612</v>
      </c>
      <c r="T72" s="90">
        <f t="shared" si="28"/>
        <v>5.7509923571269272</v>
      </c>
      <c r="U72" s="90">
        <f t="shared" si="28"/>
        <v>0.31482952013157861</v>
      </c>
      <c r="V72" s="90">
        <f t="shared" si="28"/>
        <v>0.67695365562862964</v>
      </c>
      <c r="W72" s="90">
        <f t="shared" si="28"/>
        <v>1.3508756450543755</v>
      </c>
      <c r="X72" s="90">
        <f t="shared" si="28"/>
        <v>2.2330969339017104</v>
      </c>
      <c r="Y72" s="90">
        <f t="shared" si="28"/>
        <v>3.5118793507941994</v>
      </c>
      <c r="Z72" s="90">
        <f t="shared" si="28"/>
        <v>12.135077157665879</v>
      </c>
      <c r="AA72" s="90">
        <f t="shared" si="28"/>
        <v>3.3126124550023559</v>
      </c>
      <c r="AB72" s="90">
        <f t="shared" si="28"/>
        <v>3.757749442069275</v>
      </c>
      <c r="AC72" s="90">
        <f t="shared" si="28"/>
        <v>5.9453004514552603</v>
      </c>
      <c r="AD72" s="90">
        <f t="shared" si="28"/>
        <v>2.3162910023822612</v>
      </c>
      <c r="AE72" s="90">
        <f t="shared" si="28"/>
        <v>0.66750459156362818</v>
      </c>
    </row>
    <row r="73" spans="2:39" x14ac:dyDescent="0.25">
      <c r="B73" s="94" t="s">
        <v>98</v>
      </c>
      <c r="C73" s="91">
        <f>(C72*($L$9))/(0.85*$L$6*100)</f>
        <v>2.626838245617347E-2</v>
      </c>
      <c r="D73" s="92">
        <f>(D72*($L$9))/(0.85*$L$6*100)</f>
        <v>4.1948907769745906E-2</v>
      </c>
      <c r="E73" s="92">
        <f t="shared" ref="E73:R73" si="29">(E72*($L$9))/(0.85*$L$6*100)</f>
        <v>4.1948907769745906E-2</v>
      </c>
      <c r="F73" s="92">
        <f t="shared" si="29"/>
        <v>4.4738049852051556E-2</v>
      </c>
      <c r="G73" s="92">
        <f t="shared" si="29"/>
        <v>2.3717478243877259E-2</v>
      </c>
      <c r="H73" s="92">
        <f t="shared" si="29"/>
        <v>2.0688834753104617E-2</v>
      </c>
      <c r="I73" s="92">
        <f t="shared" si="29"/>
        <v>2.9105367761440203E-2</v>
      </c>
      <c r="J73" s="92">
        <f t="shared" si="29"/>
        <v>4.4819007287492857E-2</v>
      </c>
      <c r="K73" s="92">
        <f t="shared" si="29"/>
        <v>4.4819007287492857E-2</v>
      </c>
      <c r="L73" s="92">
        <f t="shared" si="29"/>
        <v>7.7368517515369023E-2</v>
      </c>
      <c r="M73" s="92">
        <f t="shared" si="29"/>
        <v>2.2617380640033366E-2</v>
      </c>
      <c r="N73" s="92">
        <f t="shared" si="29"/>
        <v>5.6451513697475322E-2</v>
      </c>
      <c r="O73" s="92">
        <f t="shared" si="29"/>
        <v>2.584488657578313E-2</v>
      </c>
      <c r="P73" s="92">
        <f t="shared" si="29"/>
        <v>2.9259099221979386E-2</v>
      </c>
      <c r="Q73" s="92">
        <f t="shared" si="29"/>
        <v>6.511058968898896E-2</v>
      </c>
      <c r="R73" s="92">
        <f t="shared" si="29"/>
        <v>4.9918872528577699E-2</v>
      </c>
      <c r="S73" s="92">
        <f t="shared" ref="S73:AE73" si="30">(S72*($L$9))/(0.85*$L$6*100)</f>
        <v>3.2670046103793308E-2</v>
      </c>
      <c r="T73" s="92">
        <f t="shared" si="30"/>
        <v>8.1114672231020771E-2</v>
      </c>
      <c r="U73" s="92">
        <f t="shared" si="30"/>
        <v>4.4405020470033169E-3</v>
      </c>
      <c r="V73" s="92">
        <f t="shared" si="30"/>
        <v>9.5480693560406494E-3</v>
      </c>
      <c r="W73" s="92">
        <f t="shared" si="30"/>
        <v>1.9053378681274435E-2</v>
      </c>
      <c r="X73" s="92">
        <f t="shared" si="30"/>
        <v>3.1496638250450883E-2</v>
      </c>
      <c r="Y73" s="92">
        <f t="shared" si="30"/>
        <v>4.9533180495630831E-2</v>
      </c>
      <c r="Z73" s="92">
        <f t="shared" si="30"/>
        <v>0.17115877487167563</v>
      </c>
      <c r="AA73" s="92">
        <f t="shared" si="30"/>
        <v>4.6722627475399847E-2</v>
      </c>
      <c r="AB73" s="92">
        <f t="shared" si="30"/>
        <v>5.3001046670148294E-2</v>
      </c>
      <c r="AC73" s="92">
        <f t="shared" si="30"/>
        <v>8.3855284008003031E-2</v>
      </c>
      <c r="AD73" s="92">
        <f t="shared" si="30"/>
        <v>3.2670046103793308E-2</v>
      </c>
      <c r="AE73" s="92">
        <f t="shared" si="30"/>
        <v>9.4147953596715409E-3</v>
      </c>
    </row>
    <row r="74" spans="2:39" ht="15.75" thickBot="1" x14ac:dyDescent="0.3">
      <c r="B74" s="94" t="s">
        <v>15</v>
      </c>
      <c r="C74" s="76">
        <f>ROUNDUP(C71/(0.9*(($C$7-C73/2)/100)*($L$9*1000)),2)</f>
        <v>1.68</v>
      </c>
      <c r="D74" s="77">
        <f>ROUNDUP(D71/(0.9*(($C$7-D73/2)/100)*($L$9*1000)),2)</f>
        <v>2.69</v>
      </c>
      <c r="E74" s="77">
        <f t="shared" ref="E74:R74" si="31">ROUNDUP(E71/(0.9*(($C$7-E73/2)/100)*($L$9*1000)),2)</f>
        <v>2.69</v>
      </c>
      <c r="F74" s="77">
        <f t="shared" si="31"/>
        <v>2.86</v>
      </c>
      <c r="G74" s="77">
        <f t="shared" si="31"/>
        <v>1.52</v>
      </c>
      <c r="H74" s="77">
        <f t="shared" si="31"/>
        <v>1.33</v>
      </c>
      <c r="I74" s="77">
        <f t="shared" si="31"/>
        <v>1.86</v>
      </c>
      <c r="J74" s="77">
        <f t="shared" si="31"/>
        <v>2.8699999999999997</v>
      </c>
      <c r="K74" s="77">
        <f t="shared" si="31"/>
        <v>2.8699999999999997</v>
      </c>
      <c r="L74" s="77">
        <f t="shared" si="31"/>
        <v>4.95</v>
      </c>
      <c r="M74" s="77">
        <f t="shared" si="31"/>
        <v>1.45</v>
      </c>
      <c r="N74" s="77">
        <f t="shared" si="31"/>
        <v>3.61</v>
      </c>
      <c r="O74" s="77">
        <f t="shared" si="31"/>
        <v>1.66</v>
      </c>
      <c r="P74" s="77">
        <f t="shared" si="31"/>
        <v>1.87</v>
      </c>
      <c r="Q74" s="77">
        <f t="shared" si="31"/>
        <v>4.17</v>
      </c>
      <c r="R74" s="77">
        <f t="shared" si="31"/>
        <v>3.1999999999999997</v>
      </c>
      <c r="S74" s="77">
        <f t="shared" ref="S74:AE74" si="32">ROUNDUP(S71/(0.9*(($C$7-S73/2)/100)*($L$9*1000)),2)</f>
        <v>2.09</v>
      </c>
      <c r="T74" s="77">
        <f t="shared" si="32"/>
        <v>5.1899999999999995</v>
      </c>
      <c r="U74" s="77">
        <f t="shared" si="32"/>
        <v>0.29000000000000004</v>
      </c>
      <c r="V74" s="77">
        <f t="shared" si="32"/>
        <v>0.61</v>
      </c>
      <c r="W74" s="77">
        <f t="shared" si="32"/>
        <v>1.22</v>
      </c>
      <c r="X74" s="77">
        <f t="shared" si="32"/>
        <v>2.0199999999999996</v>
      </c>
      <c r="Y74" s="77">
        <f t="shared" si="32"/>
        <v>3.17</v>
      </c>
      <c r="Z74" s="77">
        <f t="shared" si="32"/>
        <v>10.99</v>
      </c>
      <c r="AA74" s="77">
        <f t="shared" si="32"/>
        <v>2.9899999999999998</v>
      </c>
      <c r="AB74" s="77">
        <f t="shared" si="32"/>
        <v>3.3899999999999997</v>
      </c>
      <c r="AC74" s="77">
        <f t="shared" si="32"/>
        <v>5.37</v>
      </c>
      <c r="AD74" s="77">
        <f t="shared" si="32"/>
        <v>2.09</v>
      </c>
      <c r="AE74" s="77">
        <f t="shared" si="32"/>
        <v>0.61</v>
      </c>
    </row>
    <row r="75" spans="2:39" ht="16.5" thickBot="1" x14ac:dyDescent="0.3">
      <c r="B75" s="61" t="s">
        <v>100</v>
      </c>
      <c r="C75" s="131" t="str">
        <f>IF(C74&gt;$C$12,"$\phi"&amp;IF(VLOOKUP(VLOOKUP(C74,tablas!$S$3:$U$66,2,TRUE)&amp;VLOOKUP(C74,tablas!$S$3:$U$66,3,TRUE),tablas!$R$3:$S$66,2,FALSE)&lt;C74,VLOOKUP(C74+0.1,tablas!$S$3:$U$66,2,TRUE),VLOOKUP(C74,tablas!$S$3:$U$66,2,TRUE))&amp;"@"&amp;IF(VLOOKUP(VLOOKUP(C74,tablas!$S$3:$U$66,2,TRUE)&amp;VLOOKUP(C74,tablas!$S$3:$U$66,3,TRUE),tablas!$R$3:$S$66,2,FALSE)&lt;C74,VLOOKUP(C74+0.1,tablas!$S$3:$U$66,3,TRUE),VLOOKUP(C74,tablas!$S$3:$U$66,3,TRUE))&amp;"$",$C$13)</f>
        <v>$\phi8@16$</v>
      </c>
      <c r="D75" s="131" t="str">
        <f>IF(D74&gt;$C$12,"$\phi"&amp;IF(VLOOKUP(VLOOKUP(D74,tablas!$S$3:$U$66,2,TRUE)&amp;VLOOKUP(D74,tablas!$S$3:$U$66,3,TRUE),tablas!$R$3:$S$66,2,FALSE)&lt;D74,VLOOKUP(D74+0.1,tablas!$S$3:$U$66,2,TRUE),VLOOKUP(D74,tablas!$S$3:$U$66,2,TRUE))&amp;"@"&amp;IF(VLOOKUP(VLOOKUP(D74,tablas!$S$3:$U$66,2,TRUE)&amp;VLOOKUP(D74,tablas!$S$3:$U$66,3,TRUE),tablas!$R$3:$S$66,2,FALSE)&lt;D74,VLOOKUP(D74+0.1,tablas!$S$3:$U$66,3,TRUE),VLOOKUP(D74,tablas!$S$3:$U$66,3,TRUE))&amp;"$",$C$13)</f>
        <v>$\phi8@16$</v>
      </c>
      <c r="E75" s="131" t="str">
        <f>IF(E74&gt;$C$12,"$\phi"&amp;IF(VLOOKUP(VLOOKUP(E74,tablas!$S$3:$U$66,2,TRUE)&amp;VLOOKUP(E74,tablas!$S$3:$U$66,3,TRUE),tablas!$R$3:$S$66,2,FALSE)&lt;E74,VLOOKUP(E74+0.1,tablas!$S$3:$U$66,2,TRUE),VLOOKUP(E74,tablas!$S$3:$U$66,2,TRUE))&amp;"@"&amp;IF(VLOOKUP(VLOOKUP(E74,tablas!$S$3:$U$66,2,TRUE)&amp;VLOOKUP(E74,tablas!$S$3:$U$66,3,TRUE),tablas!$R$3:$S$66,2,FALSE)&lt;E74,VLOOKUP(E74+0.1,tablas!$S$3:$U$66,3,TRUE),VLOOKUP(E74,tablas!$S$3:$U$66,3,TRUE))&amp;"$",$C$13)</f>
        <v>$\phi8@16$</v>
      </c>
      <c r="F75" s="131" t="str">
        <f>IF(F74&gt;$C$12,"$\phi"&amp;IF(VLOOKUP(VLOOKUP(F74,tablas!$S$3:$U$66,2,TRUE)&amp;VLOOKUP(F74,tablas!$S$3:$U$66,3,TRUE),tablas!$R$3:$S$66,2,FALSE)&lt;F74,VLOOKUP(F74+0.1,tablas!$S$3:$U$66,2,TRUE),VLOOKUP(F74,tablas!$S$3:$U$66,2,TRUE))&amp;"@"&amp;IF(VLOOKUP(VLOOKUP(F74,tablas!$S$3:$U$66,2,TRUE)&amp;VLOOKUP(F74,tablas!$S$3:$U$66,3,TRUE),tablas!$R$3:$S$66,2,FALSE)&lt;F74,VLOOKUP(F74+0.1,tablas!$S$3:$U$66,3,TRUE),VLOOKUP(F74,tablas!$S$3:$U$66,3,TRUE))&amp;"$",$C$13)</f>
        <v>$\phi8@16$</v>
      </c>
      <c r="G75" s="131" t="str">
        <f>IF(G74&gt;$C$12,"$\phi"&amp;IF(VLOOKUP(VLOOKUP(G74,tablas!$S$3:$U$66,2,TRUE)&amp;VLOOKUP(G74,tablas!$S$3:$U$66,3,TRUE),tablas!$R$3:$S$66,2,FALSE)&lt;G74,VLOOKUP(G74+0.1,tablas!$S$3:$U$66,2,TRUE),VLOOKUP(G74,tablas!$S$3:$U$66,2,TRUE))&amp;"@"&amp;IF(VLOOKUP(VLOOKUP(G74,tablas!$S$3:$U$66,2,TRUE)&amp;VLOOKUP(G74,tablas!$S$3:$U$66,3,TRUE),tablas!$R$3:$S$66,2,FALSE)&lt;G74,VLOOKUP(G74+0.1,tablas!$S$3:$U$66,3,TRUE),VLOOKUP(G74,tablas!$S$3:$U$66,3,TRUE))&amp;"$",$C$13)</f>
        <v>$\phi8@16$</v>
      </c>
      <c r="H75" s="131" t="str">
        <f>IF(H74&gt;$C$12,"$\phi"&amp;IF(VLOOKUP(VLOOKUP(H74,tablas!$S$3:$U$66,2,TRUE)&amp;VLOOKUP(H74,tablas!$S$3:$U$66,3,TRUE),tablas!$R$3:$S$66,2,FALSE)&lt;H74,VLOOKUP(H74+0.1,tablas!$S$3:$U$66,2,TRUE),VLOOKUP(H74,tablas!$S$3:$U$66,2,TRUE))&amp;"@"&amp;IF(VLOOKUP(VLOOKUP(H74,tablas!$S$3:$U$66,2,TRUE)&amp;VLOOKUP(H74,tablas!$S$3:$U$66,3,TRUE),tablas!$R$3:$S$66,2,FALSE)&lt;H74,VLOOKUP(H74+0.1,tablas!$S$3:$U$66,3,TRUE),VLOOKUP(H74,tablas!$S$3:$U$66,3,TRUE))&amp;"$",$C$13)</f>
        <v>$\phi8@16$</v>
      </c>
      <c r="I75" s="131" t="str">
        <f>IF(I74&gt;$C$12,"$\phi"&amp;IF(VLOOKUP(VLOOKUP(I74,tablas!$S$3:$U$66,2,TRUE)&amp;VLOOKUP(I74,tablas!$S$3:$U$66,3,TRUE),tablas!$R$3:$S$66,2,FALSE)&lt;I74,VLOOKUP(I74+0.1,tablas!$S$3:$U$66,2,TRUE),VLOOKUP(I74,tablas!$S$3:$U$66,2,TRUE))&amp;"@"&amp;IF(VLOOKUP(VLOOKUP(I74,tablas!$S$3:$U$66,2,TRUE)&amp;VLOOKUP(I74,tablas!$S$3:$U$66,3,TRUE),tablas!$R$3:$S$66,2,FALSE)&lt;I74,VLOOKUP(I74+0.1,tablas!$S$3:$U$66,3,TRUE),VLOOKUP(I74,tablas!$S$3:$U$66,3,TRUE))&amp;"$",$C$13)</f>
        <v>$\phi8@16$</v>
      </c>
      <c r="J75" s="131" t="str">
        <f>IF(J74&gt;$C$12,"$\phi"&amp;IF(VLOOKUP(VLOOKUP(J74,tablas!$S$3:$U$66,2,TRUE)&amp;VLOOKUP(J74,tablas!$S$3:$U$66,3,TRUE),tablas!$R$3:$S$66,2,FALSE)&lt;J74,VLOOKUP(J74+0.1,tablas!$S$3:$U$66,2,TRUE),VLOOKUP(J74,tablas!$S$3:$U$66,2,TRUE))&amp;"@"&amp;IF(VLOOKUP(VLOOKUP(J74,tablas!$S$3:$U$66,2,TRUE)&amp;VLOOKUP(J74,tablas!$S$3:$U$66,3,TRUE),tablas!$R$3:$S$66,2,FALSE)&lt;J74,VLOOKUP(J74+0.1,tablas!$S$3:$U$66,3,TRUE),VLOOKUP(J74,tablas!$S$3:$U$66,3,TRUE))&amp;"$",$C$13)</f>
        <v>$\phi8@16$</v>
      </c>
      <c r="K75" s="131" t="str">
        <f>IF(K74&gt;$C$12,"$\phi"&amp;IF(VLOOKUP(VLOOKUP(K74,tablas!$S$3:$U$66,2,TRUE)&amp;VLOOKUP(K74,tablas!$S$3:$U$66,3,TRUE),tablas!$R$3:$S$66,2,FALSE)&lt;K74,VLOOKUP(K74+0.1,tablas!$S$3:$U$66,2,TRUE),VLOOKUP(K74,tablas!$S$3:$U$66,2,TRUE))&amp;"@"&amp;IF(VLOOKUP(VLOOKUP(K74,tablas!$S$3:$U$66,2,TRUE)&amp;VLOOKUP(K74,tablas!$S$3:$U$66,3,TRUE),tablas!$R$3:$S$66,2,FALSE)&lt;K74,VLOOKUP(K74+0.1,tablas!$S$3:$U$66,3,TRUE),VLOOKUP(K74,tablas!$S$3:$U$66,3,TRUE))&amp;"$",$C$13)</f>
        <v>$\phi8@16$</v>
      </c>
      <c r="L75" s="131" t="str">
        <f>IF(L74&gt;$C$12,"$\phi"&amp;IF(VLOOKUP(VLOOKUP(L74,tablas!$S$3:$U$66,2,TRUE)&amp;VLOOKUP(L74,tablas!$S$3:$U$66,3,TRUE),tablas!$R$3:$S$66,2,FALSE)&lt;L74,VLOOKUP(L74+0.1,tablas!$S$3:$U$66,2,TRUE),VLOOKUP(L74,tablas!$S$3:$U$66,2,TRUE))&amp;"@"&amp;IF(VLOOKUP(VLOOKUP(L74,tablas!$S$3:$U$66,2,TRUE)&amp;VLOOKUP(L74,tablas!$S$3:$U$66,3,TRUE),tablas!$R$3:$S$66,2,FALSE)&lt;L74,VLOOKUP(L74+0.1,tablas!$S$3:$U$66,3,TRUE),VLOOKUP(L74,tablas!$S$3:$U$66,3,TRUE))&amp;"$",$C$13)</f>
        <v>$\phi8@10$</v>
      </c>
      <c r="M75" s="131" t="str">
        <f>IF(M74&gt;$C$12,"$\phi"&amp;IF(VLOOKUP(VLOOKUP(M74,tablas!$S$3:$U$66,2,TRUE)&amp;VLOOKUP(M74,tablas!$S$3:$U$66,3,TRUE),tablas!$R$3:$S$66,2,FALSE)&lt;M74,VLOOKUP(M74+0.1,tablas!$S$3:$U$66,2,TRUE),VLOOKUP(M74,tablas!$S$3:$U$66,2,TRUE))&amp;"@"&amp;IF(VLOOKUP(VLOOKUP(M74,tablas!$S$3:$U$66,2,TRUE)&amp;VLOOKUP(M74,tablas!$S$3:$U$66,3,TRUE),tablas!$R$3:$S$66,2,FALSE)&lt;M74,VLOOKUP(M74+0.1,tablas!$S$3:$U$66,3,TRUE),VLOOKUP(M74,tablas!$S$3:$U$66,3,TRUE))&amp;"$",$C$13)</f>
        <v>$\phi8@16$</v>
      </c>
      <c r="N75" s="131" t="str">
        <f>IF(N74&gt;$C$12,"$\phi"&amp;IF(VLOOKUP(VLOOKUP(N74,tablas!$S$3:$U$66,2,TRUE)&amp;VLOOKUP(N74,tablas!$S$3:$U$66,3,TRUE),tablas!$R$3:$S$66,2,FALSE)&lt;N74,VLOOKUP(N74+0.1,tablas!$S$3:$U$66,2,TRUE),VLOOKUP(N74,tablas!$S$3:$U$66,2,TRUE))&amp;"@"&amp;IF(VLOOKUP(VLOOKUP(N74,tablas!$S$3:$U$66,2,TRUE)&amp;VLOOKUP(N74,tablas!$S$3:$U$66,3,TRUE),tablas!$R$3:$S$66,2,FALSE)&lt;N74,VLOOKUP(N74+0.1,tablas!$S$3:$U$66,3,TRUE),VLOOKUP(N74,tablas!$S$3:$U$66,3,TRUE))&amp;"$",$C$13)</f>
        <v>$\phi8@14$</v>
      </c>
      <c r="O75" s="131" t="str">
        <f>IF(O74&gt;$C$12,"$\phi"&amp;IF(VLOOKUP(VLOOKUP(O74,tablas!$S$3:$U$66,2,TRUE)&amp;VLOOKUP(O74,tablas!$S$3:$U$66,3,TRUE),tablas!$R$3:$S$66,2,FALSE)&lt;O74,VLOOKUP(O74+0.1,tablas!$S$3:$U$66,2,TRUE),VLOOKUP(O74,tablas!$S$3:$U$66,2,TRUE))&amp;"@"&amp;IF(VLOOKUP(VLOOKUP(O74,tablas!$S$3:$U$66,2,TRUE)&amp;VLOOKUP(O74,tablas!$S$3:$U$66,3,TRUE),tablas!$R$3:$S$66,2,FALSE)&lt;O74,VLOOKUP(O74+0.1,tablas!$S$3:$U$66,3,TRUE),VLOOKUP(O74,tablas!$S$3:$U$66,3,TRUE))&amp;"$",$C$13)</f>
        <v>$\phi8@16$</v>
      </c>
      <c r="P75" s="131" t="str">
        <f>IF(P74&gt;$C$12,"$\phi"&amp;IF(VLOOKUP(VLOOKUP(P74,tablas!$S$3:$U$66,2,TRUE)&amp;VLOOKUP(P74,tablas!$S$3:$U$66,3,TRUE),tablas!$R$3:$S$66,2,FALSE)&lt;P74,VLOOKUP(P74+0.1,tablas!$S$3:$U$66,2,TRUE),VLOOKUP(P74,tablas!$S$3:$U$66,2,TRUE))&amp;"@"&amp;IF(VLOOKUP(VLOOKUP(P74,tablas!$S$3:$U$66,2,TRUE)&amp;VLOOKUP(P74,tablas!$S$3:$U$66,3,TRUE),tablas!$R$3:$S$66,2,FALSE)&lt;P74,VLOOKUP(P74+0.1,tablas!$S$3:$U$66,3,TRUE),VLOOKUP(P74,tablas!$S$3:$U$66,3,TRUE))&amp;"$",$C$13)</f>
        <v>$\phi8@16$</v>
      </c>
      <c r="Q75" s="131" t="str">
        <f>IF(Q74&gt;$C$12,"$\phi"&amp;IF(VLOOKUP(VLOOKUP(Q74,tablas!$S$3:$U$66,2,TRUE)&amp;VLOOKUP(Q74,tablas!$S$3:$U$66,3,TRUE),tablas!$R$3:$S$66,2,FALSE)&lt;Q74,VLOOKUP(Q74+0.1,tablas!$S$3:$U$66,2,TRUE),VLOOKUP(Q74,tablas!$S$3:$U$66,2,TRUE))&amp;"@"&amp;IF(VLOOKUP(VLOOKUP(Q74,tablas!$S$3:$U$66,2,TRUE)&amp;VLOOKUP(Q74,tablas!$S$3:$U$66,3,TRUE),tablas!$R$3:$S$66,2,FALSE)&lt;Q74,VLOOKUP(Q74+0.1,tablas!$S$3:$U$66,3,TRUE),VLOOKUP(Q74,tablas!$S$3:$U$66,3,TRUE))&amp;"$",$C$13)</f>
        <v>$\phi8@12$</v>
      </c>
      <c r="R75" s="131" t="str">
        <f>IF(R74&gt;$C$12,"$\phi"&amp;IF(VLOOKUP(VLOOKUP(R74,tablas!$S$3:$U$66,2,TRUE)&amp;VLOOKUP(R74,tablas!$S$3:$U$66,3,TRUE),tablas!$R$3:$S$66,2,FALSE)&lt;R74,VLOOKUP(R74+0.1,tablas!$S$3:$U$66,2,TRUE),VLOOKUP(R74,tablas!$S$3:$U$66,2,TRUE))&amp;"@"&amp;IF(VLOOKUP(VLOOKUP(R74,tablas!$S$3:$U$66,2,TRUE)&amp;VLOOKUP(R74,tablas!$S$3:$U$66,3,TRUE),tablas!$R$3:$S$66,2,FALSE)&lt;R74,VLOOKUP(R74+0.1,tablas!$S$3:$U$66,3,TRUE),VLOOKUP(R74,tablas!$S$3:$U$66,3,TRUE))&amp;"$",$C$13)</f>
        <v>$\phi10@24$</v>
      </c>
      <c r="S75" s="131" t="str">
        <f>IF(S74&gt;$C$12,"$\phi"&amp;IF(VLOOKUP(VLOOKUP(S74,tablas!$S$3:$U$66,2,TRUE)&amp;VLOOKUP(S74,tablas!$S$3:$U$66,3,TRUE),tablas!$R$3:$S$66,2,FALSE)&lt;S74,VLOOKUP(S74+0.1,tablas!$S$3:$U$66,2,TRUE),VLOOKUP(S74,tablas!$S$3:$U$66,2,TRUE))&amp;"@"&amp;IF(VLOOKUP(VLOOKUP(S74,tablas!$S$3:$U$66,2,TRUE)&amp;VLOOKUP(S74,tablas!$S$3:$U$66,3,TRUE),tablas!$R$3:$S$66,2,FALSE)&lt;S74,VLOOKUP(S74+0.1,tablas!$S$3:$U$66,3,TRUE),VLOOKUP(S74,tablas!$S$3:$U$66,3,TRUE))&amp;"$",$C$13)</f>
        <v>$\phi8@16$</v>
      </c>
      <c r="T75" s="131" t="str">
        <f>IF(T74&gt;$C$12,"$\phi"&amp;IF(VLOOKUP(VLOOKUP(T74,tablas!$S$3:$U$66,2,TRUE)&amp;VLOOKUP(T74,tablas!$S$3:$U$66,3,TRUE),tablas!$R$3:$S$66,2,FALSE)&lt;T74,VLOOKUP(T74+0.1,tablas!$S$3:$U$66,2,TRUE),VLOOKUP(T74,tablas!$S$3:$U$66,2,TRUE))&amp;"@"&amp;IF(VLOOKUP(VLOOKUP(T74,tablas!$S$3:$U$66,2,TRUE)&amp;VLOOKUP(T74,tablas!$S$3:$U$66,3,TRUE),tablas!$R$3:$S$66,2,FALSE)&lt;T74,VLOOKUP(T74+0.1,tablas!$S$3:$U$66,3,TRUE),VLOOKUP(T74,tablas!$S$3:$U$66,3,TRUE))&amp;"$",$C$13)</f>
        <v>$\phi10@15$</v>
      </c>
      <c r="U75" s="131" t="str">
        <f>IF(U74&gt;$C$12,"$\phi"&amp;IF(VLOOKUP(VLOOKUP(U74,tablas!$S$3:$U$66,2,TRUE)&amp;VLOOKUP(U74,tablas!$S$3:$U$66,3,TRUE),tablas!$R$3:$S$66,2,FALSE)&lt;U74,VLOOKUP(U74+0.1,tablas!$S$3:$U$66,2,TRUE),VLOOKUP(U74,tablas!$S$3:$U$66,2,TRUE))&amp;"@"&amp;IF(VLOOKUP(VLOOKUP(U74,tablas!$S$3:$U$66,2,TRUE)&amp;VLOOKUP(U74,tablas!$S$3:$U$66,3,TRUE),tablas!$R$3:$S$66,2,FALSE)&lt;U74,VLOOKUP(U74+0.1,tablas!$S$3:$U$66,3,TRUE),VLOOKUP(U74,tablas!$S$3:$U$66,3,TRUE))&amp;"$",$C$13)</f>
        <v>$\phi8@16$</v>
      </c>
      <c r="V75" s="131" t="str">
        <f>IF(V74&gt;$C$12,"$\phi"&amp;IF(VLOOKUP(VLOOKUP(V74,tablas!$S$3:$U$66,2,TRUE)&amp;VLOOKUP(V74,tablas!$S$3:$U$66,3,TRUE),tablas!$R$3:$S$66,2,FALSE)&lt;V74,VLOOKUP(V74+0.1,tablas!$S$3:$U$66,2,TRUE),VLOOKUP(V74,tablas!$S$3:$U$66,2,TRUE))&amp;"@"&amp;IF(VLOOKUP(VLOOKUP(V74,tablas!$S$3:$U$66,2,TRUE)&amp;VLOOKUP(V74,tablas!$S$3:$U$66,3,TRUE),tablas!$R$3:$S$66,2,FALSE)&lt;V74,VLOOKUP(V74+0.1,tablas!$S$3:$U$66,3,TRUE),VLOOKUP(V74,tablas!$S$3:$U$66,3,TRUE))&amp;"$",$C$13)</f>
        <v>$\phi8@16$</v>
      </c>
      <c r="W75" s="131" t="str">
        <f>IF(W74&gt;$C$12,"$\phi"&amp;IF(VLOOKUP(VLOOKUP(W74,tablas!$S$3:$U$66,2,TRUE)&amp;VLOOKUP(W74,tablas!$S$3:$U$66,3,TRUE),tablas!$R$3:$S$66,2,FALSE)&lt;W74,VLOOKUP(W74+0.1,tablas!$S$3:$U$66,2,TRUE),VLOOKUP(W74,tablas!$S$3:$U$66,2,TRUE))&amp;"@"&amp;IF(VLOOKUP(VLOOKUP(W74,tablas!$S$3:$U$66,2,TRUE)&amp;VLOOKUP(W74,tablas!$S$3:$U$66,3,TRUE),tablas!$R$3:$S$66,2,FALSE)&lt;W74,VLOOKUP(W74+0.1,tablas!$S$3:$U$66,3,TRUE),VLOOKUP(W74,tablas!$S$3:$U$66,3,TRUE))&amp;"$",$C$13)</f>
        <v>$\phi8@16$</v>
      </c>
      <c r="X75" s="131" t="str">
        <f>IF(X74&gt;$C$12,"$\phi"&amp;IF(VLOOKUP(VLOOKUP(X74,tablas!$S$3:$U$66,2,TRUE)&amp;VLOOKUP(X74,tablas!$S$3:$U$66,3,TRUE),tablas!$R$3:$S$66,2,FALSE)&lt;X74,VLOOKUP(X74+0.1,tablas!$S$3:$U$66,2,TRUE),VLOOKUP(X74,tablas!$S$3:$U$66,2,TRUE))&amp;"@"&amp;IF(VLOOKUP(VLOOKUP(X74,tablas!$S$3:$U$66,2,TRUE)&amp;VLOOKUP(X74,tablas!$S$3:$U$66,3,TRUE),tablas!$R$3:$S$66,2,FALSE)&lt;X74,VLOOKUP(X74+0.1,tablas!$S$3:$U$66,3,TRUE),VLOOKUP(X74,tablas!$S$3:$U$66,3,TRUE))&amp;"$",$C$13)</f>
        <v>$\phi8@16$</v>
      </c>
      <c r="Y75" s="131" t="str">
        <f>IF(Y74&gt;$C$12,"$\phi"&amp;IF(VLOOKUP(VLOOKUP(Y74,tablas!$S$3:$U$66,2,TRUE)&amp;VLOOKUP(Y74,tablas!$S$3:$U$66,3,TRUE),tablas!$R$3:$S$66,2,FALSE)&lt;Y74,VLOOKUP(Y74+0.1,tablas!$S$3:$U$66,2,TRUE),VLOOKUP(Y74,tablas!$S$3:$U$66,2,TRUE))&amp;"@"&amp;IF(VLOOKUP(VLOOKUP(Y74,tablas!$S$3:$U$66,2,TRUE)&amp;VLOOKUP(Y74,tablas!$S$3:$U$66,3,TRUE),tablas!$R$3:$S$66,2,FALSE)&lt;Y74,VLOOKUP(Y74+0.1,tablas!$S$3:$U$66,3,TRUE),VLOOKUP(Y74,tablas!$S$3:$U$66,3,TRUE))&amp;"$",$C$13)</f>
        <v>$\phi10@24$</v>
      </c>
      <c r="Z75" s="131" t="str">
        <f>IF(Z74&gt;$C$12,"$\phi"&amp;IF(VLOOKUP(VLOOKUP(Z74,tablas!$S$3:$U$66,2,TRUE)&amp;VLOOKUP(Z74,tablas!$S$3:$U$66,3,TRUE),tablas!$R$3:$S$66,2,FALSE)&lt;Z74,VLOOKUP(Z74+0.1,tablas!$S$3:$U$66,2,TRUE),VLOOKUP(Z74,tablas!$S$3:$U$66,2,TRUE))&amp;"@"&amp;IF(VLOOKUP(VLOOKUP(Z74,tablas!$S$3:$U$66,2,TRUE)&amp;VLOOKUP(Z74,tablas!$S$3:$U$66,3,TRUE),tablas!$R$3:$S$66,2,FALSE)&lt;Z74,VLOOKUP(Z74+0.1,tablas!$S$3:$U$66,3,TRUE),VLOOKUP(Z74,tablas!$S$3:$U$66,3,TRUE))&amp;"$",$C$13)</f>
        <v>$\phi16@19$</v>
      </c>
      <c r="AA75" s="131" t="str">
        <f>IF(AA74&gt;$C$12,"$\phi"&amp;IF(VLOOKUP(VLOOKUP(AA74,tablas!$S$3:$U$66,2,TRUE)&amp;VLOOKUP(AA74,tablas!$S$3:$U$66,3,TRUE),tablas!$R$3:$S$66,2,FALSE)&lt;AA74,VLOOKUP(AA74+0.1,tablas!$S$3:$U$66,2,TRUE),VLOOKUP(AA74,tablas!$S$3:$U$66,2,TRUE))&amp;"@"&amp;IF(VLOOKUP(VLOOKUP(AA74,tablas!$S$3:$U$66,2,TRUE)&amp;VLOOKUP(AA74,tablas!$S$3:$U$66,3,TRUE),tablas!$R$3:$S$66,2,FALSE)&lt;AA74,VLOOKUP(AA74+0.1,tablas!$S$3:$U$66,3,TRUE),VLOOKUP(AA74,tablas!$S$3:$U$66,3,TRUE))&amp;"$",$C$13)</f>
        <v>$\phi8@16$</v>
      </c>
      <c r="AB75" s="131" t="str">
        <f>IF(AB74&gt;$C$12,"$\phi"&amp;IF(VLOOKUP(VLOOKUP(AB74,tablas!$S$3:$U$66,2,TRUE)&amp;VLOOKUP(AB74,tablas!$S$3:$U$66,3,TRUE),tablas!$R$3:$S$66,2,FALSE)&lt;AB74,VLOOKUP(AB74+0.1,tablas!$S$3:$U$66,2,TRUE),VLOOKUP(AB74,tablas!$S$3:$U$66,2,TRUE))&amp;"@"&amp;IF(VLOOKUP(VLOOKUP(AB74,tablas!$S$3:$U$66,2,TRUE)&amp;VLOOKUP(AB74,tablas!$S$3:$U$66,3,TRUE),tablas!$R$3:$S$66,2,FALSE)&lt;AB74,VLOOKUP(AB74+0.1,tablas!$S$3:$U$66,3,TRUE),VLOOKUP(AB74,tablas!$S$3:$U$66,3,TRUE))&amp;"$",$C$13)</f>
        <v>$\phi10@23$</v>
      </c>
      <c r="AC75" s="131" t="str">
        <f>IF(AC74&gt;$C$12,"$\phi"&amp;IF(VLOOKUP(VLOOKUP(AC74,tablas!$S$3:$U$66,2,TRUE)&amp;VLOOKUP(AC74,tablas!$S$3:$U$66,3,TRUE),tablas!$R$3:$S$66,2,FALSE)&lt;AC74,VLOOKUP(AC74+0.1,tablas!$S$3:$U$66,2,TRUE),VLOOKUP(AC74,tablas!$S$3:$U$66,2,TRUE))&amp;"@"&amp;IF(VLOOKUP(VLOOKUP(AC74,tablas!$S$3:$U$66,2,TRUE)&amp;VLOOKUP(AC74,tablas!$S$3:$U$66,3,TRUE),tablas!$R$3:$S$66,2,FALSE)&lt;AC74,VLOOKUP(AC74+0.1,tablas!$S$3:$U$66,3,TRUE),VLOOKUP(AC74,tablas!$S$3:$U$66,3,TRUE))&amp;"$",$C$13)</f>
        <v>$\phi12@21$</v>
      </c>
      <c r="AD75" s="131" t="str">
        <f>IF(AD74&gt;$C$12,"$\phi"&amp;IF(VLOOKUP(VLOOKUP(AD74,tablas!$S$3:$U$66,2,TRUE)&amp;VLOOKUP(AD74,tablas!$S$3:$U$66,3,TRUE),tablas!$R$3:$S$66,2,FALSE)&lt;AD74,VLOOKUP(AD74+0.1,tablas!$S$3:$U$66,2,TRUE),VLOOKUP(AD74,tablas!$S$3:$U$66,2,TRUE))&amp;"@"&amp;IF(VLOOKUP(VLOOKUP(AD74,tablas!$S$3:$U$66,2,TRUE)&amp;VLOOKUP(AD74,tablas!$S$3:$U$66,3,TRUE),tablas!$R$3:$S$66,2,FALSE)&lt;AD74,VLOOKUP(AD74+0.1,tablas!$S$3:$U$66,3,TRUE),VLOOKUP(AD74,tablas!$S$3:$U$66,3,TRUE))&amp;"$",$C$13)</f>
        <v>$\phi8@16$</v>
      </c>
      <c r="AE75" s="131" t="str">
        <f>IF(AE74&gt;$C$12,"$\phi"&amp;IF(VLOOKUP(VLOOKUP(AE74,tablas!$S$3:$U$66,2,TRUE)&amp;VLOOKUP(AE74,tablas!$S$3:$U$66,3,TRUE),tablas!$R$3:$S$66,2,FALSE)&lt;AE74,VLOOKUP(AE74+0.1,tablas!$S$3:$U$66,2,TRUE),VLOOKUP(AE74,tablas!$S$3:$U$66,2,TRUE))&amp;"@"&amp;IF(VLOOKUP(VLOOKUP(AE74,tablas!$S$3:$U$66,2,TRUE)&amp;VLOOKUP(AE74,tablas!$S$3:$U$66,3,TRUE),tablas!$R$3:$S$66,2,FALSE)&lt;AE74,VLOOKUP(AE74+0.1,tablas!$S$3:$U$66,3,TRUE),VLOOKUP(AE74,tablas!$S$3:$U$66,3,TRUE))&amp;"$",$C$13)</f>
        <v>$\phi8@16$</v>
      </c>
    </row>
    <row r="76" spans="2:39" x14ac:dyDescent="0.25">
      <c r="B76" s="93" t="s">
        <v>102</v>
      </c>
      <c r="C76" s="88">
        <f t="shared" ref="C76:AE76" si="33">IF(C53&lt;=2,C68/C58*(1+C69*C62)*C56,"0")</f>
        <v>740.61274509803923</v>
      </c>
      <c r="D76" s="88">
        <f t="shared" si="33"/>
        <v>488.75444839857653</v>
      </c>
      <c r="E76" s="88">
        <f t="shared" si="33"/>
        <v>488.75444839857653</v>
      </c>
      <c r="F76" s="88">
        <f t="shared" si="33"/>
        <v>466.50230061349691</v>
      </c>
      <c r="G76" s="88">
        <f t="shared" si="33"/>
        <v>523.11470215462612</v>
      </c>
      <c r="H76" s="88">
        <f t="shared" si="33"/>
        <v>291.76672384219552</v>
      </c>
      <c r="I76" s="88">
        <f t="shared" si="33"/>
        <v>820.59892156862736</v>
      </c>
      <c r="J76" s="88">
        <f t="shared" si="33"/>
        <v>781.27907949790801</v>
      </c>
      <c r="K76" s="88">
        <f t="shared" si="33"/>
        <v>781.27907949790801</v>
      </c>
      <c r="L76" s="88" t="str">
        <f t="shared" si="33"/>
        <v>0</v>
      </c>
      <c r="M76" s="88">
        <f t="shared" si="33"/>
        <v>235.84085889570554</v>
      </c>
      <c r="N76" s="88">
        <f t="shared" si="33"/>
        <v>588.64347239263805</v>
      </c>
      <c r="O76" s="88">
        <f t="shared" si="33"/>
        <v>450.52468619246866</v>
      </c>
      <c r="P76" s="88">
        <f t="shared" si="33"/>
        <v>510.04079497907952</v>
      </c>
      <c r="Q76" s="88">
        <f t="shared" si="33"/>
        <v>678.93526840490802</v>
      </c>
      <c r="R76" s="88" t="str">
        <f t="shared" si="33"/>
        <v>0</v>
      </c>
      <c r="S76" s="88" t="str">
        <f t="shared" si="33"/>
        <v>0</v>
      </c>
      <c r="T76" s="88">
        <f t="shared" si="33"/>
        <v>845.81651042944793</v>
      </c>
      <c r="U76" s="88" t="str">
        <f t="shared" si="33"/>
        <v>0</v>
      </c>
      <c r="V76" s="88">
        <f t="shared" si="33"/>
        <v>63.503999999999998</v>
      </c>
      <c r="W76" s="88" t="str">
        <f t="shared" si="33"/>
        <v>0</v>
      </c>
      <c r="X76" s="88">
        <f t="shared" si="33"/>
        <v>366.97313167259784</v>
      </c>
      <c r="Y76" s="88">
        <f t="shared" si="33"/>
        <v>1092.5080101394169</v>
      </c>
      <c r="Z76" s="88" t="str">
        <f t="shared" si="33"/>
        <v>0</v>
      </c>
      <c r="AA76" s="88">
        <f t="shared" si="33"/>
        <v>487.19631901840495</v>
      </c>
      <c r="AB76" s="88">
        <f t="shared" si="33"/>
        <v>617.52495373665477</v>
      </c>
      <c r="AC76" s="88">
        <f t="shared" si="33"/>
        <v>977.01335409252658</v>
      </c>
      <c r="AD76" s="88" t="str">
        <f t="shared" si="33"/>
        <v>0</v>
      </c>
      <c r="AE76" s="88">
        <f t="shared" si="33"/>
        <v>89.153936842105253</v>
      </c>
    </row>
    <row r="77" spans="2:39" x14ac:dyDescent="0.25">
      <c r="B77" s="94" t="s">
        <v>15</v>
      </c>
      <c r="C77" s="84">
        <f t="shared" ref="C77:AE77" si="34">C76/(0.9*(0.9*($C$7/100))*($L$9*1000))</f>
        <v>1.4242005020923023</v>
      </c>
      <c r="D77" s="84">
        <f t="shared" si="34"/>
        <v>0.93987625167989008</v>
      </c>
      <c r="E77" s="84">
        <f t="shared" si="34"/>
        <v>0.93987625167989008</v>
      </c>
      <c r="F77" s="84">
        <f t="shared" si="34"/>
        <v>0.89708530559112498</v>
      </c>
      <c r="G77" s="84">
        <f t="shared" si="34"/>
        <v>1.0059511214080727</v>
      </c>
      <c r="H77" s="84">
        <f t="shared" si="34"/>
        <v>0.56106827399368386</v>
      </c>
      <c r="I77" s="84">
        <f t="shared" si="34"/>
        <v>1.5780141563182708</v>
      </c>
      <c r="J77" s="84">
        <f t="shared" si="34"/>
        <v>1.5024019835735316</v>
      </c>
      <c r="K77" s="84">
        <f t="shared" si="34"/>
        <v>1.5024019835735316</v>
      </c>
      <c r="L77" s="84">
        <f t="shared" si="34"/>
        <v>0</v>
      </c>
      <c r="M77" s="84">
        <f t="shared" si="34"/>
        <v>0.45352267008135361</v>
      </c>
      <c r="N77" s="84">
        <f t="shared" si="34"/>
        <v>1.1319631406342794</v>
      </c>
      <c r="O77" s="84">
        <f t="shared" si="34"/>
        <v>0.86636030574298795</v>
      </c>
      <c r="P77" s="84">
        <f t="shared" si="34"/>
        <v>0.98080995919210689</v>
      </c>
      <c r="Q77" s="84">
        <f t="shared" si="34"/>
        <v>1.3055945317582167</v>
      </c>
      <c r="R77" s="84">
        <f t="shared" si="34"/>
        <v>0</v>
      </c>
      <c r="S77" s="84">
        <f t="shared" si="34"/>
        <v>0</v>
      </c>
      <c r="T77" s="84">
        <f t="shared" si="34"/>
        <v>1.6265076543776158</v>
      </c>
      <c r="U77" s="84">
        <f t="shared" si="34"/>
        <v>0</v>
      </c>
      <c r="V77" s="84">
        <f t="shared" si="34"/>
        <v>0.12211838006230527</v>
      </c>
      <c r="W77" s="84">
        <f t="shared" si="34"/>
        <v>0</v>
      </c>
      <c r="X77" s="84">
        <f t="shared" si="34"/>
        <v>0.70569041896965079</v>
      </c>
      <c r="Y77" s="84">
        <f t="shared" si="34"/>
        <v>2.1008961388781522</v>
      </c>
      <c r="Z77" s="84">
        <f t="shared" si="34"/>
        <v>0</v>
      </c>
      <c r="AA77" s="84">
        <f t="shared" si="34"/>
        <v>0.9368799642675375</v>
      </c>
      <c r="AB77" s="84">
        <f t="shared" si="34"/>
        <v>1.1875023147891517</v>
      </c>
      <c r="AC77" s="84">
        <f t="shared" si="34"/>
        <v>1.878799573271271</v>
      </c>
      <c r="AD77" s="84">
        <f t="shared" si="34"/>
        <v>0</v>
      </c>
      <c r="AE77" s="84">
        <f t="shared" si="34"/>
        <v>0.17144328457002661</v>
      </c>
    </row>
    <row r="78" spans="2:39" x14ac:dyDescent="0.25">
      <c r="B78" s="94" t="s">
        <v>98</v>
      </c>
      <c r="C78" s="84">
        <f t="shared" ref="C78:AE78" si="35">(C77*($L$9))/(0.85*$L$6*100)</f>
        <v>2.0087586584132656E-2</v>
      </c>
      <c r="D78" s="84">
        <f t="shared" si="35"/>
        <v>1.3256451992716856E-2</v>
      </c>
      <c r="E78" s="84">
        <f t="shared" si="35"/>
        <v>1.3256451992716856E-2</v>
      </c>
      <c r="F78" s="84">
        <f t="shared" si="35"/>
        <v>1.2652908577788812E-2</v>
      </c>
      <c r="G78" s="84">
        <f t="shared" si="35"/>
        <v>1.4188402701026698E-2</v>
      </c>
      <c r="H78" s="84">
        <f t="shared" si="35"/>
        <v>7.9135680101926741E-3</v>
      </c>
      <c r="I78" s="84">
        <f t="shared" si="35"/>
        <v>2.2257045935218982E-2</v>
      </c>
      <c r="J78" s="84">
        <f t="shared" si="35"/>
        <v>2.119057666730834E-2</v>
      </c>
      <c r="K78" s="84">
        <f t="shared" si="35"/>
        <v>2.119057666730834E-2</v>
      </c>
      <c r="L78" s="84">
        <f t="shared" si="35"/>
        <v>0</v>
      </c>
      <c r="M78" s="84">
        <f t="shared" si="35"/>
        <v>6.396694769972627E-3</v>
      </c>
      <c r="N78" s="84">
        <f t="shared" si="35"/>
        <v>1.5965734855543638E-2</v>
      </c>
      <c r="O78" s="84">
        <f t="shared" si="35"/>
        <v>1.2219548883110855E-2</v>
      </c>
      <c r="P78" s="84">
        <f t="shared" si="35"/>
        <v>1.3833800050559293E-2</v>
      </c>
      <c r="Q78" s="84">
        <f t="shared" si="35"/>
        <v>1.8414712789339819E-2</v>
      </c>
      <c r="R78" s="84">
        <f t="shared" si="35"/>
        <v>0</v>
      </c>
      <c r="S78" s="84">
        <f t="shared" si="35"/>
        <v>0</v>
      </c>
      <c r="T78" s="84">
        <f t="shared" si="35"/>
        <v>2.2941020796626122E-2</v>
      </c>
      <c r="U78" s="84">
        <f t="shared" si="35"/>
        <v>0</v>
      </c>
      <c r="V78" s="84">
        <f t="shared" si="35"/>
        <v>1.7224144559784696E-3</v>
      </c>
      <c r="W78" s="84">
        <f t="shared" si="35"/>
        <v>0</v>
      </c>
      <c r="X78" s="84">
        <f t="shared" si="35"/>
        <v>9.9533860378649055E-3</v>
      </c>
      <c r="Y78" s="84">
        <f t="shared" si="35"/>
        <v>2.9632016722354562E-2</v>
      </c>
      <c r="Z78" s="84">
        <f t="shared" si="35"/>
        <v>0</v>
      </c>
      <c r="AA78" s="84">
        <f t="shared" si="35"/>
        <v>1.3214190960833944E-2</v>
      </c>
      <c r="AB78" s="84">
        <f t="shared" si="35"/>
        <v>1.6749085211064656E-2</v>
      </c>
      <c r="AC78" s="84">
        <f t="shared" si="35"/>
        <v>2.6499463416052204E-2</v>
      </c>
      <c r="AD78" s="84">
        <f t="shared" si="35"/>
        <v>0</v>
      </c>
      <c r="AE78" s="84">
        <f t="shared" si="35"/>
        <v>2.4181158607998483E-3</v>
      </c>
    </row>
    <row r="79" spans="2:39" ht="15.75" thickBot="1" x14ac:dyDescent="0.3">
      <c r="B79" s="94" t="s">
        <v>15</v>
      </c>
      <c r="C79" s="76">
        <f t="shared" ref="C79:AE79" si="36">ROUNDUP(C76/(0.9*(($C$7-C78/2)/100)*($L$9*1000)),2)</f>
        <v>1.29</v>
      </c>
      <c r="D79" s="76">
        <f t="shared" si="36"/>
        <v>0.85</v>
      </c>
      <c r="E79" s="76">
        <f t="shared" si="36"/>
        <v>0.85</v>
      </c>
      <c r="F79" s="76">
        <f t="shared" si="36"/>
        <v>0.81</v>
      </c>
      <c r="G79" s="76">
        <f t="shared" si="36"/>
        <v>0.91</v>
      </c>
      <c r="H79" s="76">
        <f t="shared" si="36"/>
        <v>0.51</v>
      </c>
      <c r="I79" s="76">
        <f t="shared" si="36"/>
        <v>1.43</v>
      </c>
      <c r="J79" s="76">
        <f t="shared" si="36"/>
        <v>1.36</v>
      </c>
      <c r="K79" s="76">
        <f t="shared" si="36"/>
        <v>1.36</v>
      </c>
      <c r="L79" s="76">
        <f t="shared" si="36"/>
        <v>0</v>
      </c>
      <c r="M79" s="76">
        <f t="shared" si="36"/>
        <v>0.41000000000000003</v>
      </c>
      <c r="N79" s="76">
        <f t="shared" si="36"/>
        <v>1.02</v>
      </c>
      <c r="O79" s="76">
        <f t="shared" si="36"/>
        <v>0.79</v>
      </c>
      <c r="P79" s="76">
        <f t="shared" si="36"/>
        <v>0.89</v>
      </c>
      <c r="Q79" s="76">
        <f t="shared" si="36"/>
        <v>1.18</v>
      </c>
      <c r="R79" s="76">
        <f t="shared" si="36"/>
        <v>0</v>
      </c>
      <c r="S79" s="76">
        <f t="shared" si="36"/>
        <v>0</v>
      </c>
      <c r="T79" s="76">
        <f t="shared" si="36"/>
        <v>1.47</v>
      </c>
      <c r="U79" s="76">
        <f t="shared" si="36"/>
        <v>0</v>
      </c>
      <c r="V79" s="76">
        <f t="shared" si="36"/>
        <v>0.11</v>
      </c>
      <c r="W79" s="76">
        <f t="shared" si="36"/>
        <v>0</v>
      </c>
      <c r="X79" s="76">
        <f t="shared" si="36"/>
        <v>0.64</v>
      </c>
      <c r="Y79" s="76">
        <f t="shared" si="36"/>
        <v>1.9</v>
      </c>
      <c r="Z79" s="76">
        <f t="shared" si="36"/>
        <v>0</v>
      </c>
      <c r="AA79" s="76">
        <f t="shared" si="36"/>
        <v>0.85</v>
      </c>
      <c r="AB79" s="76">
        <f t="shared" si="36"/>
        <v>1.07</v>
      </c>
      <c r="AC79" s="76">
        <f t="shared" si="36"/>
        <v>1.7</v>
      </c>
      <c r="AD79" s="76">
        <f t="shared" si="36"/>
        <v>0</v>
      </c>
      <c r="AE79" s="76">
        <f t="shared" si="36"/>
        <v>0.16</v>
      </c>
    </row>
    <row r="80" spans="2:39" ht="16.5" thickBot="1" x14ac:dyDescent="0.3">
      <c r="B80" s="61" t="s">
        <v>101</v>
      </c>
      <c r="C80" s="131" t="str">
        <f>IF(C79&gt;$C$12,"$\phi"&amp;IF(VLOOKUP(VLOOKUP(C79,tablas!$S$3:$U$66,2,TRUE)&amp;VLOOKUP(C79,tablas!$S$3:$U$66,3,TRUE),tablas!$R$3:$S$66,2,FALSE)&lt;C79,VLOOKUP(C79+0.1,tablas!$S$3:$U$66,2,TRUE),VLOOKUP(C79,tablas!$S$3:$U$66,2,TRUE))&amp;"@"&amp;IF(VLOOKUP(VLOOKUP(C79,tablas!$S$3:$U$66,2,TRUE)&amp;VLOOKUP(C79,tablas!$S$3:$U$66,3,TRUE),tablas!$R$3:$S$66,2,FALSE)&lt;C79,VLOOKUP(C79+0.1,tablas!$S$3:$U$66,3,TRUE),VLOOKUP(C79,tablas!$S$3:$U$66,3,TRUE))&amp;"$",$C$13)</f>
        <v>$\phi8@16$</v>
      </c>
      <c r="D80" s="131" t="str">
        <f>IF(D79&gt;$C$12,"$\phi"&amp;IF(VLOOKUP(VLOOKUP(D79,tablas!$S$3:$U$66,2,TRUE)&amp;VLOOKUP(D79,tablas!$S$3:$U$66,3,TRUE),tablas!$R$3:$S$66,2,FALSE)&lt;D79,VLOOKUP(D79+0.1,tablas!$S$3:$U$66,2,TRUE),VLOOKUP(D79,tablas!$S$3:$U$66,2,TRUE))&amp;"@"&amp;IF(VLOOKUP(VLOOKUP(D79,tablas!$S$3:$U$66,2,TRUE)&amp;VLOOKUP(D79,tablas!$S$3:$U$66,3,TRUE),tablas!$R$3:$S$66,2,FALSE)&lt;D79,VLOOKUP(D79+0.1,tablas!$S$3:$U$66,3,TRUE),VLOOKUP(D79,tablas!$S$3:$U$66,3,TRUE))&amp;"$",$C$13)</f>
        <v>$\phi8@16$</v>
      </c>
      <c r="E80" s="131" t="str">
        <f>IF(E79&gt;$C$12,"$\phi"&amp;IF(VLOOKUP(VLOOKUP(E79,tablas!$S$3:$U$66,2,TRUE)&amp;VLOOKUP(E79,tablas!$S$3:$U$66,3,TRUE),tablas!$R$3:$S$66,2,FALSE)&lt;E79,VLOOKUP(E79+0.1,tablas!$S$3:$U$66,2,TRUE),VLOOKUP(E79,tablas!$S$3:$U$66,2,TRUE))&amp;"@"&amp;IF(VLOOKUP(VLOOKUP(E79,tablas!$S$3:$U$66,2,TRUE)&amp;VLOOKUP(E79,tablas!$S$3:$U$66,3,TRUE),tablas!$R$3:$S$66,2,FALSE)&lt;E79,VLOOKUP(E79+0.1,tablas!$S$3:$U$66,3,TRUE),VLOOKUP(E79,tablas!$S$3:$U$66,3,TRUE))&amp;"$",$C$13)</f>
        <v>$\phi8@16$</v>
      </c>
      <c r="F80" s="131" t="str">
        <f>IF(F79&gt;$C$12,"$\phi"&amp;IF(VLOOKUP(VLOOKUP(F79,tablas!$S$3:$U$66,2,TRUE)&amp;VLOOKUP(F79,tablas!$S$3:$U$66,3,TRUE),tablas!$R$3:$S$66,2,FALSE)&lt;F79,VLOOKUP(F79+0.1,tablas!$S$3:$U$66,2,TRUE),VLOOKUP(F79,tablas!$S$3:$U$66,2,TRUE))&amp;"@"&amp;IF(VLOOKUP(VLOOKUP(F79,tablas!$S$3:$U$66,2,TRUE)&amp;VLOOKUP(F79,tablas!$S$3:$U$66,3,TRUE),tablas!$R$3:$S$66,2,FALSE)&lt;F79,VLOOKUP(F79+0.1,tablas!$S$3:$U$66,3,TRUE),VLOOKUP(F79,tablas!$S$3:$U$66,3,TRUE))&amp;"$",$C$13)</f>
        <v>$\phi8@16$</v>
      </c>
      <c r="G80" s="131" t="str">
        <f>IF(G79&gt;$C$12,"$\phi"&amp;IF(VLOOKUP(VLOOKUP(G79,tablas!$S$3:$U$66,2,TRUE)&amp;VLOOKUP(G79,tablas!$S$3:$U$66,3,TRUE),tablas!$R$3:$S$66,2,FALSE)&lt;G79,VLOOKUP(G79+0.1,tablas!$S$3:$U$66,2,TRUE),VLOOKUP(G79,tablas!$S$3:$U$66,2,TRUE))&amp;"@"&amp;IF(VLOOKUP(VLOOKUP(G79,tablas!$S$3:$U$66,2,TRUE)&amp;VLOOKUP(G79,tablas!$S$3:$U$66,3,TRUE),tablas!$R$3:$S$66,2,FALSE)&lt;G79,VLOOKUP(G79+0.1,tablas!$S$3:$U$66,3,TRUE),VLOOKUP(G79,tablas!$S$3:$U$66,3,TRUE))&amp;"$",$C$13)</f>
        <v>$\phi8@16$</v>
      </c>
      <c r="H80" s="131" t="str">
        <f>IF(H79&gt;$C$12,"$\phi"&amp;IF(VLOOKUP(VLOOKUP(H79,tablas!$S$3:$U$66,2,TRUE)&amp;VLOOKUP(H79,tablas!$S$3:$U$66,3,TRUE),tablas!$R$3:$S$66,2,FALSE)&lt;H79,VLOOKUP(H79+0.1,tablas!$S$3:$U$66,2,TRUE),VLOOKUP(H79,tablas!$S$3:$U$66,2,TRUE))&amp;"@"&amp;IF(VLOOKUP(VLOOKUP(H79,tablas!$S$3:$U$66,2,TRUE)&amp;VLOOKUP(H79,tablas!$S$3:$U$66,3,TRUE),tablas!$R$3:$S$66,2,FALSE)&lt;H79,VLOOKUP(H79+0.1,tablas!$S$3:$U$66,3,TRUE),VLOOKUP(H79,tablas!$S$3:$U$66,3,TRUE))&amp;"$",$C$13)</f>
        <v>$\phi8@16$</v>
      </c>
      <c r="I80" s="131" t="str">
        <f>IF(I79&gt;$C$12,"$\phi"&amp;IF(VLOOKUP(VLOOKUP(I79,tablas!$S$3:$U$66,2,TRUE)&amp;VLOOKUP(I79,tablas!$S$3:$U$66,3,TRUE),tablas!$R$3:$S$66,2,FALSE)&lt;I79,VLOOKUP(I79+0.1,tablas!$S$3:$U$66,2,TRUE),VLOOKUP(I79,tablas!$S$3:$U$66,2,TRUE))&amp;"@"&amp;IF(VLOOKUP(VLOOKUP(I79,tablas!$S$3:$U$66,2,TRUE)&amp;VLOOKUP(I79,tablas!$S$3:$U$66,3,TRUE),tablas!$R$3:$S$66,2,FALSE)&lt;I79,VLOOKUP(I79+0.1,tablas!$S$3:$U$66,3,TRUE),VLOOKUP(I79,tablas!$S$3:$U$66,3,TRUE))&amp;"$",$C$13)</f>
        <v>$\phi8@16$</v>
      </c>
      <c r="J80" s="131" t="str">
        <f>IF(J79&gt;$C$12,"$\phi"&amp;IF(VLOOKUP(VLOOKUP(J79,tablas!$S$3:$U$66,2,TRUE)&amp;VLOOKUP(J79,tablas!$S$3:$U$66,3,TRUE),tablas!$R$3:$S$66,2,FALSE)&lt;J79,VLOOKUP(J79+0.1,tablas!$S$3:$U$66,2,TRUE),VLOOKUP(J79,tablas!$S$3:$U$66,2,TRUE))&amp;"@"&amp;IF(VLOOKUP(VLOOKUP(J79,tablas!$S$3:$U$66,2,TRUE)&amp;VLOOKUP(J79,tablas!$S$3:$U$66,3,TRUE),tablas!$R$3:$S$66,2,FALSE)&lt;J79,VLOOKUP(J79+0.1,tablas!$S$3:$U$66,3,TRUE),VLOOKUP(J79,tablas!$S$3:$U$66,3,TRUE))&amp;"$",$C$13)</f>
        <v>$\phi8@16$</v>
      </c>
      <c r="K80" s="131" t="str">
        <f>IF(K79&gt;$C$12,"$\phi"&amp;IF(VLOOKUP(VLOOKUP(K79,tablas!$S$3:$U$66,2,TRUE)&amp;VLOOKUP(K79,tablas!$S$3:$U$66,3,TRUE),tablas!$R$3:$S$66,2,FALSE)&lt;K79,VLOOKUP(K79+0.1,tablas!$S$3:$U$66,2,TRUE),VLOOKUP(K79,tablas!$S$3:$U$66,2,TRUE))&amp;"@"&amp;IF(VLOOKUP(VLOOKUP(K79,tablas!$S$3:$U$66,2,TRUE)&amp;VLOOKUP(K79,tablas!$S$3:$U$66,3,TRUE),tablas!$R$3:$S$66,2,FALSE)&lt;K79,VLOOKUP(K79+0.1,tablas!$S$3:$U$66,3,TRUE),VLOOKUP(K79,tablas!$S$3:$U$66,3,TRUE))&amp;"$",$C$13)</f>
        <v>$\phi8@16$</v>
      </c>
      <c r="L80" s="131" t="str">
        <f>IF(L79&gt;$C$12,"$\phi"&amp;IF(VLOOKUP(VLOOKUP(L79,tablas!$S$3:$U$66,2,TRUE)&amp;VLOOKUP(L79,tablas!$S$3:$U$66,3,TRUE),tablas!$R$3:$S$66,2,FALSE)&lt;L79,VLOOKUP(L79+0.1,tablas!$S$3:$U$66,2,TRUE),VLOOKUP(L79,tablas!$S$3:$U$66,2,TRUE))&amp;"@"&amp;IF(VLOOKUP(VLOOKUP(L79,tablas!$S$3:$U$66,2,TRUE)&amp;VLOOKUP(L79,tablas!$S$3:$U$66,3,TRUE),tablas!$R$3:$S$66,2,FALSE)&lt;L79,VLOOKUP(L79+0.1,tablas!$S$3:$U$66,3,TRUE),VLOOKUP(L79,tablas!$S$3:$U$66,3,TRUE))&amp;"$",$C$13)</f>
        <v>$\phi8@16$</v>
      </c>
      <c r="M80" s="131" t="str">
        <f>IF(M79&gt;$C$12,"$\phi"&amp;IF(VLOOKUP(VLOOKUP(M79,tablas!$S$3:$U$66,2,TRUE)&amp;VLOOKUP(M79,tablas!$S$3:$U$66,3,TRUE),tablas!$R$3:$S$66,2,FALSE)&lt;M79,VLOOKUP(M79+0.1,tablas!$S$3:$U$66,2,TRUE),VLOOKUP(M79,tablas!$S$3:$U$66,2,TRUE))&amp;"@"&amp;IF(VLOOKUP(VLOOKUP(M79,tablas!$S$3:$U$66,2,TRUE)&amp;VLOOKUP(M79,tablas!$S$3:$U$66,3,TRUE),tablas!$R$3:$S$66,2,FALSE)&lt;M79,VLOOKUP(M79+0.1,tablas!$S$3:$U$66,3,TRUE),VLOOKUP(M79,tablas!$S$3:$U$66,3,TRUE))&amp;"$",$C$13)</f>
        <v>$\phi8@16$</v>
      </c>
      <c r="N80" s="131" t="str">
        <f>IF(N79&gt;$C$12,"$\phi"&amp;IF(VLOOKUP(VLOOKUP(N79,tablas!$S$3:$U$66,2,TRUE)&amp;VLOOKUP(N79,tablas!$S$3:$U$66,3,TRUE),tablas!$R$3:$S$66,2,FALSE)&lt;N79,VLOOKUP(N79+0.1,tablas!$S$3:$U$66,2,TRUE),VLOOKUP(N79,tablas!$S$3:$U$66,2,TRUE))&amp;"@"&amp;IF(VLOOKUP(VLOOKUP(N79,tablas!$S$3:$U$66,2,TRUE)&amp;VLOOKUP(N79,tablas!$S$3:$U$66,3,TRUE),tablas!$R$3:$S$66,2,FALSE)&lt;N79,VLOOKUP(N79+0.1,tablas!$S$3:$U$66,3,TRUE),VLOOKUP(N79,tablas!$S$3:$U$66,3,TRUE))&amp;"$",$C$13)</f>
        <v>$\phi8@16$</v>
      </c>
      <c r="O80" s="131" t="str">
        <f>IF(O79&gt;$C$12,"$\phi"&amp;IF(VLOOKUP(VLOOKUP(O79,tablas!$S$3:$U$66,2,TRUE)&amp;VLOOKUP(O79,tablas!$S$3:$U$66,3,TRUE),tablas!$R$3:$S$66,2,FALSE)&lt;O79,VLOOKUP(O79+0.1,tablas!$S$3:$U$66,2,TRUE),VLOOKUP(O79,tablas!$S$3:$U$66,2,TRUE))&amp;"@"&amp;IF(VLOOKUP(VLOOKUP(O79,tablas!$S$3:$U$66,2,TRUE)&amp;VLOOKUP(O79,tablas!$S$3:$U$66,3,TRUE),tablas!$R$3:$S$66,2,FALSE)&lt;O79,VLOOKUP(O79+0.1,tablas!$S$3:$U$66,3,TRUE),VLOOKUP(O79,tablas!$S$3:$U$66,3,TRUE))&amp;"$",$C$13)</f>
        <v>$\phi8@16$</v>
      </c>
      <c r="P80" s="131" t="str">
        <f>IF(P79&gt;$C$12,"$\phi"&amp;IF(VLOOKUP(VLOOKUP(P79,tablas!$S$3:$U$66,2,TRUE)&amp;VLOOKUP(P79,tablas!$S$3:$U$66,3,TRUE),tablas!$R$3:$S$66,2,FALSE)&lt;P79,VLOOKUP(P79+0.1,tablas!$S$3:$U$66,2,TRUE),VLOOKUP(P79,tablas!$S$3:$U$66,2,TRUE))&amp;"@"&amp;IF(VLOOKUP(VLOOKUP(P79,tablas!$S$3:$U$66,2,TRUE)&amp;VLOOKUP(P79,tablas!$S$3:$U$66,3,TRUE),tablas!$R$3:$S$66,2,FALSE)&lt;P79,VLOOKUP(P79+0.1,tablas!$S$3:$U$66,3,TRUE),VLOOKUP(P79,tablas!$S$3:$U$66,3,TRUE))&amp;"$",$C$13)</f>
        <v>$\phi8@16$</v>
      </c>
      <c r="Q80" s="131" t="str">
        <f>IF(Q79&gt;$C$12,"$\phi"&amp;IF(VLOOKUP(VLOOKUP(Q79,tablas!$S$3:$U$66,2,TRUE)&amp;VLOOKUP(Q79,tablas!$S$3:$U$66,3,TRUE),tablas!$R$3:$S$66,2,FALSE)&lt;Q79,VLOOKUP(Q79+0.1,tablas!$S$3:$U$66,2,TRUE),VLOOKUP(Q79,tablas!$S$3:$U$66,2,TRUE))&amp;"@"&amp;IF(VLOOKUP(VLOOKUP(Q79,tablas!$S$3:$U$66,2,TRUE)&amp;VLOOKUP(Q79,tablas!$S$3:$U$66,3,TRUE),tablas!$R$3:$S$66,2,FALSE)&lt;Q79,VLOOKUP(Q79+0.1,tablas!$S$3:$U$66,3,TRUE),VLOOKUP(Q79,tablas!$S$3:$U$66,3,TRUE))&amp;"$",$C$13)</f>
        <v>$\phi8@16$</v>
      </c>
      <c r="R80" s="131" t="str">
        <f>IF(R79&gt;$C$12,"$\phi"&amp;IF(VLOOKUP(VLOOKUP(R79,tablas!$S$3:$U$66,2,TRUE)&amp;VLOOKUP(R79,tablas!$S$3:$U$66,3,TRUE),tablas!$R$3:$S$66,2,FALSE)&lt;R79,VLOOKUP(R79+0.1,tablas!$S$3:$U$66,2,TRUE),VLOOKUP(R79,tablas!$S$3:$U$66,2,TRUE))&amp;"@"&amp;IF(VLOOKUP(VLOOKUP(R79,tablas!$S$3:$U$66,2,TRUE)&amp;VLOOKUP(R79,tablas!$S$3:$U$66,3,TRUE),tablas!$R$3:$S$66,2,FALSE)&lt;R79,VLOOKUP(R79+0.1,tablas!$S$3:$U$66,3,TRUE),VLOOKUP(R79,tablas!$S$3:$U$66,3,TRUE))&amp;"$",$C$13)</f>
        <v>$\phi8@16$</v>
      </c>
      <c r="S80" s="131" t="str">
        <f>IF(S79&gt;$C$12,"$\phi"&amp;IF(VLOOKUP(VLOOKUP(S79,tablas!$S$3:$U$66,2,TRUE)&amp;VLOOKUP(S79,tablas!$S$3:$U$66,3,TRUE),tablas!$R$3:$S$66,2,FALSE)&lt;S79,VLOOKUP(S79+0.1,tablas!$S$3:$U$66,2,TRUE),VLOOKUP(S79,tablas!$S$3:$U$66,2,TRUE))&amp;"@"&amp;IF(VLOOKUP(VLOOKUP(S79,tablas!$S$3:$U$66,2,TRUE)&amp;VLOOKUP(S79,tablas!$S$3:$U$66,3,TRUE),tablas!$R$3:$S$66,2,FALSE)&lt;S79,VLOOKUP(S79+0.1,tablas!$S$3:$U$66,3,TRUE),VLOOKUP(S79,tablas!$S$3:$U$66,3,TRUE))&amp;"$",$C$13)</f>
        <v>$\phi8@16$</v>
      </c>
      <c r="T80" s="131" t="str">
        <f>IF(T79&gt;$C$12,"$\phi"&amp;IF(VLOOKUP(VLOOKUP(T79,tablas!$S$3:$U$66,2,TRUE)&amp;VLOOKUP(T79,tablas!$S$3:$U$66,3,TRUE),tablas!$R$3:$S$66,2,FALSE)&lt;T79,VLOOKUP(T79+0.1,tablas!$S$3:$U$66,2,TRUE),VLOOKUP(T79,tablas!$S$3:$U$66,2,TRUE))&amp;"@"&amp;IF(VLOOKUP(VLOOKUP(T79,tablas!$S$3:$U$66,2,TRUE)&amp;VLOOKUP(T79,tablas!$S$3:$U$66,3,TRUE),tablas!$R$3:$S$66,2,FALSE)&lt;T79,VLOOKUP(T79+0.1,tablas!$S$3:$U$66,3,TRUE),VLOOKUP(T79,tablas!$S$3:$U$66,3,TRUE))&amp;"$",$C$13)</f>
        <v>$\phi8@16$</v>
      </c>
      <c r="U80" s="131" t="str">
        <f>IF(U79&gt;$C$12,"$\phi"&amp;IF(VLOOKUP(VLOOKUP(U79,tablas!$S$3:$U$66,2,TRUE)&amp;VLOOKUP(U79,tablas!$S$3:$U$66,3,TRUE),tablas!$R$3:$S$66,2,FALSE)&lt;U79,VLOOKUP(U79+0.1,tablas!$S$3:$U$66,2,TRUE),VLOOKUP(U79,tablas!$S$3:$U$66,2,TRUE))&amp;"@"&amp;IF(VLOOKUP(VLOOKUP(U79,tablas!$S$3:$U$66,2,TRUE)&amp;VLOOKUP(U79,tablas!$S$3:$U$66,3,TRUE),tablas!$R$3:$S$66,2,FALSE)&lt;U79,VLOOKUP(U79+0.1,tablas!$S$3:$U$66,3,TRUE),VLOOKUP(U79,tablas!$S$3:$U$66,3,TRUE))&amp;"$",$C$13)</f>
        <v>$\phi8@16$</v>
      </c>
      <c r="V80" s="131" t="str">
        <f>IF(V79&gt;$C$12,"$\phi"&amp;IF(VLOOKUP(VLOOKUP(V79,tablas!$S$3:$U$66,2,TRUE)&amp;VLOOKUP(V79,tablas!$S$3:$U$66,3,TRUE),tablas!$R$3:$S$66,2,FALSE)&lt;V79,VLOOKUP(V79+0.1,tablas!$S$3:$U$66,2,TRUE),VLOOKUP(V79,tablas!$S$3:$U$66,2,TRUE))&amp;"@"&amp;IF(VLOOKUP(VLOOKUP(V79,tablas!$S$3:$U$66,2,TRUE)&amp;VLOOKUP(V79,tablas!$S$3:$U$66,3,TRUE),tablas!$R$3:$S$66,2,FALSE)&lt;V79,VLOOKUP(V79+0.1,tablas!$S$3:$U$66,3,TRUE),VLOOKUP(V79,tablas!$S$3:$U$66,3,TRUE))&amp;"$",$C$13)</f>
        <v>$\phi8@16$</v>
      </c>
      <c r="W80" s="131" t="str">
        <f>IF(W79&gt;$C$12,"$\phi"&amp;IF(VLOOKUP(VLOOKUP(W79,tablas!$S$3:$U$66,2,TRUE)&amp;VLOOKUP(W79,tablas!$S$3:$U$66,3,TRUE),tablas!$R$3:$S$66,2,FALSE)&lt;W79,VLOOKUP(W79+0.1,tablas!$S$3:$U$66,2,TRUE),VLOOKUP(W79,tablas!$S$3:$U$66,2,TRUE))&amp;"@"&amp;IF(VLOOKUP(VLOOKUP(W79,tablas!$S$3:$U$66,2,TRUE)&amp;VLOOKUP(W79,tablas!$S$3:$U$66,3,TRUE),tablas!$R$3:$S$66,2,FALSE)&lt;W79,VLOOKUP(W79+0.1,tablas!$S$3:$U$66,3,TRUE),VLOOKUP(W79,tablas!$S$3:$U$66,3,TRUE))&amp;"$",$C$13)</f>
        <v>$\phi8@16$</v>
      </c>
      <c r="X80" s="131" t="str">
        <f>IF(X79&gt;$C$12,"$\phi"&amp;IF(VLOOKUP(VLOOKUP(X79,tablas!$S$3:$U$66,2,TRUE)&amp;VLOOKUP(X79,tablas!$S$3:$U$66,3,TRUE),tablas!$R$3:$S$66,2,FALSE)&lt;X79,VLOOKUP(X79+0.1,tablas!$S$3:$U$66,2,TRUE),VLOOKUP(X79,tablas!$S$3:$U$66,2,TRUE))&amp;"@"&amp;IF(VLOOKUP(VLOOKUP(X79,tablas!$S$3:$U$66,2,TRUE)&amp;VLOOKUP(X79,tablas!$S$3:$U$66,3,TRUE),tablas!$R$3:$S$66,2,FALSE)&lt;X79,VLOOKUP(X79+0.1,tablas!$S$3:$U$66,3,TRUE),VLOOKUP(X79,tablas!$S$3:$U$66,3,TRUE))&amp;"$",$C$13)</f>
        <v>$\phi8@16$</v>
      </c>
      <c r="Y80" s="131" t="str">
        <f>IF(Y79&gt;$C$12,"$\phi"&amp;IF(VLOOKUP(VLOOKUP(Y79,tablas!$S$3:$U$66,2,TRUE)&amp;VLOOKUP(Y79,tablas!$S$3:$U$66,3,TRUE),tablas!$R$3:$S$66,2,FALSE)&lt;Y79,VLOOKUP(Y79+0.1,tablas!$S$3:$U$66,2,TRUE),VLOOKUP(Y79,tablas!$S$3:$U$66,2,TRUE))&amp;"@"&amp;IF(VLOOKUP(VLOOKUP(Y79,tablas!$S$3:$U$66,2,TRUE)&amp;VLOOKUP(Y79,tablas!$S$3:$U$66,3,TRUE),tablas!$R$3:$S$66,2,FALSE)&lt;Y79,VLOOKUP(Y79+0.1,tablas!$S$3:$U$66,3,TRUE),VLOOKUP(Y79,tablas!$S$3:$U$66,3,TRUE))&amp;"$",$C$13)</f>
        <v>$\phi8@16$</v>
      </c>
      <c r="Z80" s="131" t="str">
        <f>IF(Z79&gt;$C$12,"$\phi"&amp;IF(VLOOKUP(VLOOKUP(Z79,tablas!$S$3:$U$66,2,TRUE)&amp;VLOOKUP(Z79,tablas!$S$3:$U$66,3,TRUE),tablas!$R$3:$S$66,2,FALSE)&lt;Z79,VLOOKUP(Z79+0.1,tablas!$S$3:$U$66,2,TRUE),VLOOKUP(Z79,tablas!$S$3:$U$66,2,TRUE))&amp;"@"&amp;IF(VLOOKUP(VLOOKUP(Z79,tablas!$S$3:$U$66,2,TRUE)&amp;VLOOKUP(Z79,tablas!$S$3:$U$66,3,TRUE),tablas!$R$3:$S$66,2,FALSE)&lt;Z79,VLOOKUP(Z79+0.1,tablas!$S$3:$U$66,3,TRUE),VLOOKUP(Z79,tablas!$S$3:$U$66,3,TRUE))&amp;"$",$C$13)</f>
        <v>$\phi8@16$</v>
      </c>
      <c r="AA80" s="131" t="str">
        <f>IF(AA79&gt;$C$12,"$\phi"&amp;IF(VLOOKUP(VLOOKUP(AA79,tablas!$S$3:$U$66,2,TRUE)&amp;VLOOKUP(AA79,tablas!$S$3:$U$66,3,TRUE),tablas!$R$3:$S$66,2,FALSE)&lt;AA79,VLOOKUP(AA79+0.1,tablas!$S$3:$U$66,2,TRUE),VLOOKUP(AA79,tablas!$S$3:$U$66,2,TRUE))&amp;"@"&amp;IF(VLOOKUP(VLOOKUP(AA79,tablas!$S$3:$U$66,2,TRUE)&amp;VLOOKUP(AA79,tablas!$S$3:$U$66,3,TRUE),tablas!$R$3:$S$66,2,FALSE)&lt;AA79,VLOOKUP(AA79+0.1,tablas!$S$3:$U$66,3,TRUE),VLOOKUP(AA79,tablas!$S$3:$U$66,3,TRUE))&amp;"$",$C$13)</f>
        <v>$\phi8@16$</v>
      </c>
      <c r="AB80" s="131" t="str">
        <f>IF(AB79&gt;$C$12,"$\phi"&amp;IF(VLOOKUP(VLOOKUP(AB79,tablas!$S$3:$U$66,2,TRUE)&amp;VLOOKUP(AB79,tablas!$S$3:$U$66,3,TRUE),tablas!$R$3:$S$66,2,FALSE)&lt;AB79,VLOOKUP(AB79+0.1,tablas!$S$3:$U$66,2,TRUE),VLOOKUP(AB79,tablas!$S$3:$U$66,2,TRUE))&amp;"@"&amp;IF(VLOOKUP(VLOOKUP(AB79,tablas!$S$3:$U$66,2,TRUE)&amp;VLOOKUP(AB79,tablas!$S$3:$U$66,3,TRUE),tablas!$R$3:$S$66,2,FALSE)&lt;AB79,VLOOKUP(AB79+0.1,tablas!$S$3:$U$66,3,TRUE),VLOOKUP(AB79,tablas!$S$3:$U$66,3,TRUE))&amp;"$",$C$13)</f>
        <v>$\phi8@16$</v>
      </c>
      <c r="AC80" s="131" t="str">
        <f>IF(AC79&gt;$C$12,"$\phi"&amp;IF(VLOOKUP(VLOOKUP(AC79,tablas!$S$3:$U$66,2,TRUE)&amp;VLOOKUP(AC79,tablas!$S$3:$U$66,3,TRUE),tablas!$R$3:$S$66,2,FALSE)&lt;AC79,VLOOKUP(AC79+0.1,tablas!$S$3:$U$66,2,TRUE),VLOOKUP(AC79,tablas!$S$3:$U$66,2,TRUE))&amp;"@"&amp;IF(VLOOKUP(VLOOKUP(AC79,tablas!$S$3:$U$66,2,TRUE)&amp;VLOOKUP(AC79,tablas!$S$3:$U$66,3,TRUE),tablas!$R$3:$S$66,2,FALSE)&lt;AC79,VLOOKUP(AC79+0.1,tablas!$S$3:$U$66,3,TRUE),VLOOKUP(AC79,tablas!$S$3:$U$66,3,TRUE))&amp;"$",$C$13)</f>
        <v>$\phi8@16$</v>
      </c>
      <c r="AD80" s="131" t="str">
        <f>IF(AD79&gt;$C$12,"$\phi"&amp;IF(VLOOKUP(VLOOKUP(AD79,tablas!$S$3:$U$66,2,TRUE)&amp;VLOOKUP(AD79,tablas!$S$3:$U$66,3,TRUE),tablas!$R$3:$S$66,2,FALSE)&lt;AD79,VLOOKUP(AD79+0.1,tablas!$S$3:$U$66,2,TRUE),VLOOKUP(AD79,tablas!$S$3:$U$66,2,TRUE))&amp;"@"&amp;IF(VLOOKUP(VLOOKUP(AD79,tablas!$S$3:$U$66,2,TRUE)&amp;VLOOKUP(AD79,tablas!$S$3:$U$66,3,TRUE),tablas!$R$3:$S$66,2,FALSE)&lt;AD79,VLOOKUP(AD79+0.1,tablas!$S$3:$U$66,3,TRUE),VLOOKUP(AD79,tablas!$S$3:$U$66,3,TRUE))&amp;"$",$C$13)</f>
        <v>$\phi8@16$</v>
      </c>
      <c r="AE80" s="131" t="str">
        <f>IF(AE79&gt;$C$12,"$\phi"&amp;IF(VLOOKUP(VLOOKUP(AE79,tablas!$S$3:$U$66,2,TRUE)&amp;VLOOKUP(AE79,tablas!$S$3:$U$66,3,TRUE),tablas!$R$3:$S$66,2,FALSE)&lt;AE79,VLOOKUP(AE79+0.1,tablas!$S$3:$U$66,2,TRUE),VLOOKUP(AE79,tablas!$S$3:$U$66,2,TRUE))&amp;"@"&amp;IF(VLOOKUP(VLOOKUP(AE79,tablas!$S$3:$U$66,2,TRUE)&amp;VLOOKUP(AE79,tablas!$S$3:$U$66,3,TRUE),tablas!$R$3:$S$66,2,FALSE)&lt;AE79,VLOOKUP(AE79+0.1,tablas!$S$3:$U$66,3,TRUE),VLOOKUP(AE79,tablas!$S$3:$U$66,3,TRUE))&amp;"$",$C$13)</f>
        <v>$\phi8@16$</v>
      </c>
    </row>
    <row r="81" spans="2:32" x14ac:dyDescent="0.25">
      <c r="B81" s="93" t="s">
        <v>103</v>
      </c>
      <c r="C81" s="88">
        <f t="shared" ref="C81:AE81" si="37">IF(C53&lt;=2,C68/C59,IF(OR(C51=6,C51="5a",C51="3a"),C67*C48^2/12,(IF(OR(C51="2a",C51=4,C51="5b"),C67*C48^2/8,"-"))))</f>
        <v>2239.7340425531916</v>
      </c>
      <c r="D81" s="88">
        <f t="shared" si="37"/>
        <v>2872.7272727272725</v>
      </c>
      <c r="E81" s="88">
        <f t="shared" si="37"/>
        <v>2872.7272727272725</v>
      </c>
      <c r="F81" s="88">
        <f t="shared" si="37"/>
        <v>3040.5365853658536</v>
      </c>
      <c r="G81" s="88">
        <f t="shared" si="37"/>
        <v>1890.0537634408602</v>
      </c>
      <c r="H81" s="88">
        <f t="shared" si="37"/>
        <v>1481.25</v>
      </c>
      <c r="I81" s="88">
        <f t="shared" si="37"/>
        <v>2481.6253191489359</v>
      </c>
      <c r="J81" s="88">
        <f t="shared" si="37"/>
        <v>3352.2893617021282</v>
      </c>
      <c r="K81" s="88">
        <f t="shared" si="37"/>
        <v>3352.2893617021282</v>
      </c>
      <c r="L81" s="88">
        <f t="shared" si="37"/>
        <v>4041.0606666666667</v>
      </c>
      <c r="M81" s="88">
        <f t="shared" si="37"/>
        <v>1537.1473170731708</v>
      </c>
      <c r="N81" s="88">
        <f t="shared" si="37"/>
        <v>3914.1434146341467</v>
      </c>
      <c r="O81" s="88">
        <f t="shared" si="37"/>
        <v>1966.8510638297873</v>
      </c>
      <c r="P81" s="88">
        <f t="shared" si="37"/>
        <v>2188.4680851063831</v>
      </c>
      <c r="Q81" s="88">
        <f t="shared" si="37"/>
        <v>4425.1175609756101</v>
      </c>
      <c r="R81" s="88">
        <f t="shared" si="37"/>
        <v>2607.3291666666669</v>
      </c>
      <c r="S81" s="88">
        <f t="shared" si="37"/>
        <v>1706.4000000000003</v>
      </c>
      <c r="T81" s="88">
        <f t="shared" si="37"/>
        <v>5624.1974634146345</v>
      </c>
      <c r="U81" s="88">
        <f t="shared" si="37"/>
        <v>231.93333333333331</v>
      </c>
      <c r="V81" s="88">
        <f t="shared" si="37"/>
        <v>684.50454545454545</v>
      </c>
      <c r="W81" s="88">
        <f t="shared" si="37"/>
        <v>995.18333333333339</v>
      </c>
      <c r="X81" s="88">
        <f t="shared" si="37"/>
        <v>2156.939393939394</v>
      </c>
      <c r="Y81" s="88">
        <f t="shared" si="37"/>
        <v>3947.3156989247309</v>
      </c>
      <c r="Z81" s="88">
        <f t="shared" si="37"/>
        <v>8939.8506666666672</v>
      </c>
      <c r="AA81" s="88">
        <f t="shared" si="37"/>
        <v>3175.4146341463415</v>
      </c>
      <c r="AB81" s="88">
        <f t="shared" si="37"/>
        <v>3629.5951515151514</v>
      </c>
      <c r="AC81" s="88">
        <f t="shared" si="37"/>
        <v>5742.5419191919182</v>
      </c>
      <c r="AD81" s="88">
        <f t="shared" si="37"/>
        <v>1706.4000000000003</v>
      </c>
      <c r="AE81" s="88">
        <f t="shared" si="37"/>
        <v>643.90545454545452</v>
      </c>
    </row>
    <row r="82" spans="2:32" x14ac:dyDescent="0.25">
      <c r="B82" s="94" t="s">
        <v>15</v>
      </c>
      <c r="C82" s="89">
        <f>C81/(0.9*(0.9*($C$7/100))*($L$9*1000))</f>
        <v>4.3070151966331895</v>
      </c>
      <c r="D82" s="90">
        <f>D81/(0.9*(0.9*($C$7/100))*($L$9*1000))</f>
        <v>5.524263052819645</v>
      </c>
      <c r="E82" s="90">
        <f t="shared" ref="E82:R82" si="38">E81/(0.9*(0.9*($C$7/100))*($L$9*1000))</f>
        <v>5.524263052819645</v>
      </c>
      <c r="F82" s="90">
        <f t="shared" si="38"/>
        <v>5.8469608579782566</v>
      </c>
      <c r="G82" s="90">
        <f t="shared" si="38"/>
        <v>3.6345789843484093</v>
      </c>
      <c r="H82" s="90">
        <f t="shared" si="38"/>
        <v>2.8484481366101297</v>
      </c>
      <c r="I82" s="90">
        <f t="shared" si="38"/>
        <v>4.7721728378695731</v>
      </c>
      <c r="J82" s="90">
        <f t="shared" si="38"/>
        <v>6.446462370105241</v>
      </c>
      <c r="K82" s="90">
        <f t="shared" si="38"/>
        <v>6.446462370105241</v>
      </c>
      <c r="L82" s="90">
        <f t="shared" si="38"/>
        <v>7.7709716292963078</v>
      </c>
      <c r="M82" s="90">
        <f t="shared" si="38"/>
        <v>2.9559388428775248</v>
      </c>
      <c r="N82" s="90">
        <f t="shared" si="38"/>
        <v>7.5269093777819043</v>
      </c>
      <c r="O82" s="90">
        <f t="shared" si="38"/>
        <v>3.782260420425728</v>
      </c>
      <c r="P82" s="90">
        <f t="shared" si="38"/>
        <v>4.2084306086427112</v>
      </c>
      <c r="Q82" s="90">
        <f t="shared" si="38"/>
        <v>8.5095141744079257</v>
      </c>
      <c r="R82" s="90">
        <f t="shared" si="38"/>
        <v>5.0139017089086311</v>
      </c>
      <c r="S82" s="90">
        <f t="shared" ref="S82:AE82" si="39">S81/(0.9*(0.9*($C$7/100))*($L$9*1000))</f>
        <v>3.2814122533748704</v>
      </c>
      <c r="T82" s="90">
        <f t="shared" si="39"/>
        <v>10.815348377782842</v>
      </c>
      <c r="U82" s="90">
        <f t="shared" si="39"/>
        <v>0.4460084868530696</v>
      </c>
      <c r="V82" s="90">
        <f t="shared" si="39"/>
        <v>1.3163042680176633</v>
      </c>
      <c r="W82" s="90">
        <f t="shared" si="39"/>
        <v>1.9137404971603653</v>
      </c>
      <c r="X82" s="90">
        <f t="shared" si="39"/>
        <v>4.1478008421587509</v>
      </c>
      <c r="Y82" s="90">
        <f t="shared" si="39"/>
        <v>7.5906997787099151</v>
      </c>
      <c r="Z82" s="90">
        <f t="shared" si="39"/>
        <v>17.191359306693329</v>
      </c>
      <c r="AA82" s="90">
        <f t="shared" si="39"/>
        <v>6.1063317452143009</v>
      </c>
      <c r="AB82" s="90">
        <f t="shared" si="39"/>
        <v>6.9797222251358617</v>
      </c>
      <c r="AC82" s="90">
        <f t="shared" si="39"/>
        <v>11.042925116710736</v>
      </c>
      <c r="AD82" s="90">
        <f t="shared" si="39"/>
        <v>3.2814122533748704</v>
      </c>
      <c r="AE82" s="90">
        <f t="shared" si="39"/>
        <v>1.2382320959683366</v>
      </c>
    </row>
    <row r="83" spans="2:32" x14ac:dyDescent="0.25">
      <c r="B83" s="94" t="s">
        <v>98</v>
      </c>
      <c r="C83" s="91">
        <f>(C82*($L$9))/(0.85*$L$6*100)</f>
        <v>6.0748146454407813E-2</v>
      </c>
      <c r="D83" s="92">
        <f>(D82*($L$9))/(0.85*$L$6*100)</f>
        <v>7.791677662240265E-2</v>
      </c>
      <c r="E83" s="92">
        <f t="shared" ref="E83:R83" si="40">(E82*($L$9))/(0.85*$L$6*100)</f>
        <v>7.791677662240265E-2</v>
      </c>
      <c r="F83" s="92">
        <f t="shared" si="40"/>
        <v>8.2468256622662522E-2</v>
      </c>
      <c r="G83" s="92">
        <f t="shared" si="40"/>
        <v>5.1263793221325404E-2</v>
      </c>
      <c r="H83" s="92">
        <f t="shared" si="40"/>
        <v>4.0175837945926371E-2</v>
      </c>
      <c r="I83" s="92">
        <f t="shared" si="40"/>
        <v>6.7308946271483858E-2</v>
      </c>
      <c r="J83" s="92">
        <f t="shared" si="40"/>
        <v>9.0923904907070141E-2</v>
      </c>
      <c r="K83" s="92">
        <f t="shared" si="40"/>
        <v>9.0923904907070141E-2</v>
      </c>
      <c r="L83" s="92">
        <f t="shared" si="40"/>
        <v>0.10960539981343945</v>
      </c>
      <c r="M83" s="92">
        <f t="shared" si="40"/>
        <v>4.1691936884217524E-2</v>
      </c>
      <c r="N83" s="92">
        <f t="shared" si="40"/>
        <v>0.10616303225212244</v>
      </c>
      <c r="O83" s="92">
        <f t="shared" si="40"/>
        <v>5.3346760914226778E-2</v>
      </c>
      <c r="P83" s="92">
        <f t="shared" si="40"/>
        <v>5.9357663552449522E-2</v>
      </c>
      <c r="Q83" s="92">
        <f t="shared" si="40"/>
        <v>0.12002214752501542</v>
      </c>
      <c r="R83" s="92">
        <f t="shared" si="40"/>
        <v>7.0718402748818396E-2</v>
      </c>
      <c r="S83" s="92">
        <f t="shared" ref="S83:AE83" si="41">(S82*($L$9))/(0.85*$L$6*100)</f>
        <v>4.628256531370719E-2</v>
      </c>
      <c r="T83" s="92">
        <f t="shared" si="41"/>
        <v>0.15254470606989806</v>
      </c>
      <c r="U83" s="92">
        <f t="shared" si="41"/>
        <v>6.2907112332546977E-3</v>
      </c>
      <c r="V83" s="92">
        <f t="shared" si="41"/>
        <v>1.8565767892949742E-2</v>
      </c>
      <c r="W83" s="92">
        <f t="shared" si="41"/>
        <v>2.6992286465138782E-2</v>
      </c>
      <c r="X83" s="92">
        <f t="shared" si="41"/>
        <v>5.8502513113987333E-2</v>
      </c>
      <c r="Y83" s="92">
        <f t="shared" si="41"/>
        <v>0.10706276174947582</v>
      </c>
      <c r="Z83" s="92">
        <f t="shared" si="41"/>
        <v>0.24247493106820714</v>
      </c>
      <c r="AA83" s="92">
        <f t="shared" si="41"/>
        <v>8.6126544305543618E-2</v>
      </c>
      <c r="AB83" s="92">
        <f t="shared" si="41"/>
        <v>9.8445250036518342E-2</v>
      </c>
      <c r="AC83" s="92">
        <f t="shared" si="41"/>
        <v>0.15575455429072979</v>
      </c>
      <c r="AD83" s="92">
        <f t="shared" si="41"/>
        <v>4.628256531370719E-2</v>
      </c>
      <c r="AE83" s="92">
        <f t="shared" si="41"/>
        <v>1.7464601650171302E-2</v>
      </c>
    </row>
    <row r="84" spans="2:32" ht="15.75" thickBot="1" x14ac:dyDescent="0.3">
      <c r="B84" s="94" t="s">
        <v>15</v>
      </c>
      <c r="C84" s="76">
        <f>ROUNDUP(C81/(0.9*(($C$7-C83/2)/100)*($L$9*1000)),2)</f>
        <v>3.8899999999999997</v>
      </c>
      <c r="D84" s="77">
        <f>ROUNDUP(D81/(0.9*(($C$7-D83/2)/100)*($L$9*1000)),2)</f>
        <v>4.99</v>
      </c>
      <c r="E84" s="77">
        <f t="shared" ref="E84:R84" si="42">ROUNDUP(E81/(0.9*(($C$7-E83/2)/100)*($L$9*1000)),2)</f>
        <v>4.99</v>
      </c>
      <c r="F84" s="77">
        <f t="shared" si="42"/>
        <v>5.2799999999999994</v>
      </c>
      <c r="G84" s="77">
        <f t="shared" si="42"/>
        <v>3.28</v>
      </c>
      <c r="H84" s="77">
        <f t="shared" si="42"/>
        <v>2.57</v>
      </c>
      <c r="I84" s="77">
        <f t="shared" si="42"/>
        <v>4.3099999999999996</v>
      </c>
      <c r="J84" s="77">
        <f t="shared" si="42"/>
        <v>5.8199999999999994</v>
      </c>
      <c r="K84" s="77">
        <f t="shared" si="42"/>
        <v>5.8199999999999994</v>
      </c>
      <c r="L84" s="77">
        <f t="shared" si="42"/>
        <v>7.02</v>
      </c>
      <c r="M84" s="77">
        <f t="shared" si="42"/>
        <v>2.67</v>
      </c>
      <c r="N84" s="77">
        <f t="shared" si="42"/>
        <v>6.8</v>
      </c>
      <c r="O84" s="77">
        <f t="shared" si="42"/>
        <v>3.42</v>
      </c>
      <c r="P84" s="77">
        <f t="shared" si="42"/>
        <v>3.8</v>
      </c>
      <c r="Q84" s="77">
        <f t="shared" si="42"/>
        <v>7.6899999999999995</v>
      </c>
      <c r="R84" s="77">
        <f t="shared" si="42"/>
        <v>4.5299999999999994</v>
      </c>
      <c r="S84" s="77">
        <f t="shared" ref="S84:AE84" si="43">ROUNDUP(S81/(0.9*(($C$7-S83/2)/100)*($L$9*1000)),2)</f>
        <v>2.96</v>
      </c>
      <c r="T84" s="77">
        <f t="shared" si="43"/>
        <v>9.7899999999999991</v>
      </c>
      <c r="U84" s="77">
        <f t="shared" si="43"/>
        <v>0.41000000000000003</v>
      </c>
      <c r="V84" s="77">
        <f t="shared" si="43"/>
        <v>1.19</v>
      </c>
      <c r="W84" s="77">
        <f t="shared" si="43"/>
        <v>1.73</v>
      </c>
      <c r="X84" s="77">
        <f t="shared" si="43"/>
        <v>3.75</v>
      </c>
      <c r="Y84" s="77">
        <f t="shared" si="43"/>
        <v>6.8599999999999994</v>
      </c>
      <c r="Z84" s="77">
        <f t="shared" si="43"/>
        <v>15.6</v>
      </c>
      <c r="AA84" s="77">
        <f t="shared" si="43"/>
        <v>5.52</v>
      </c>
      <c r="AB84" s="77">
        <f t="shared" si="43"/>
        <v>6.31</v>
      </c>
      <c r="AC84" s="77">
        <f t="shared" si="43"/>
        <v>10</v>
      </c>
      <c r="AD84" s="77">
        <f t="shared" si="43"/>
        <v>2.96</v>
      </c>
      <c r="AE84" s="77">
        <f t="shared" si="43"/>
        <v>1.1200000000000001</v>
      </c>
    </row>
    <row r="85" spans="2:32" ht="16.5" thickBot="1" x14ac:dyDescent="0.3">
      <c r="B85" s="61" t="s">
        <v>105</v>
      </c>
      <c r="C85" s="131" t="str">
        <f>IF(C84&gt;$C$12,"$\phi"&amp;IF(VLOOKUP(VLOOKUP(C84,tablas!$S$3:$U$66,2,TRUE)&amp;VLOOKUP(C84,tablas!$S$3:$U$66,3,TRUE),tablas!$R$3:$S$66,2,FALSE)&lt;C84,VLOOKUP(C84+0.1,tablas!$S$3:$U$66,2,TRUE),VLOOKUP(C84,tablas!$S$3:$U$66,2,TRUE))&amp;"@"&amp;IF(VLOOKUP(VLOOKUP(C84,tablas!$S$3:$U$66,2,TRUE)&amp;VLOOKUP(C84,tablas!$S$3:$U$66,3,TRUE),tablas!$R$3:$S$66,2,FALSE)&lt;C84,VLOOKUP(C84+0.1,tablas!$S$3:$U$66,3,TRUE),VLOOKUP(C84,tablas!$S$3:$U$66,3,TRUE))&amp;"$",$C$13)</f>
        <v>$\phi10@20$</v>
      </c>
      <c r="D85" s="131" t="str">
        <f>IF(D84&gt;$C$12,"$\phi"&amp;IF(VLOOKUP(VLOOKUP(D84,tablas!$S$3:$U$66,2,TRUE)&amp;VLOOKUP(D84,tablas!$S$3:$U$66,3,TRUE),tablas!$R$3:$S$66,2,FALSE)&lt;D84,VLOOKUP(D84+0.1,tablas!$S$3:$U$66,2,TRUE),VLOOKUP(D84,tablas!$S$3:$U$66,2,TRUE))&amp;"@"&amp;IF(VLOOKUP(VLOOKUP(D84,tablas!$S$3:$U$66,2,TRUE)&amp;VLOOKUP(D84,tablas!$S$3:$U$66,3,TRUE),tablas!$R$3:$S$66,2,FALSE)&lt;D84,VLOOKUP(D84+0.1,tablas!$S$3:$U$66,3,TRUE),VLOOKUP(D84,tablas!$S$3:$U$66,3,TRUE))&amp;"$",$C$13)</f>
        <v>$\phi8@10$</v>
      </c>
      <c r="E85" s="131" t="str">
        <f>IF(E84&gt;$C$12,"$\phi"&amp;IF(VLOOKUP(VLOOKUP(E84,tablas!$S$3:$U$66,2,TRUE)&amp;VLOOKUP(E84,tablas!$S$3:$U$66,3,TRUE),tablas!$R$3:$S$66,2,FALSE)&lt;E84,VLOOKUP(E84+0.1,tablas!$S$3:$U$66,2,TRUE),VLOOKUP(E84,tablas!$S$3:$U$66,2,TRUE))&amp;"@"&amp;IF(VLOOKUP(VLOOKUP(E84,tablas!$S$3:$U$66,2,TRUE)&amp;VLOOKUP(E84,tablas!$S$3:$U$66,3,TRUE),tablas!$R$3:$S$66,2,FALSE)&lt;E84,VLOOKUP(E84+0.1,tablas!$S$3:$U$66,3,TRUE),VLOOKUP(E84,tablas!$S$3:$U$66,3,TRUE))&amp;"$",$C$13)</f>
        <v>$\phi8@10$</v>
      </c>
      <c r="F85" s="131" t="str">
        <f>IF(F84&gt;$C$12,"$\phi"&amp;IF(VLOOKUP(VLOOKUP(F84,tablas!$S$3:$U$66,2,TRUE)&amp;VLOOKUP(F84,tablas!$S$3:$U$66,3,TRUE),tablas!$R$3:$S$66,2,FALSE)&lt;F84,VLOOKUP(F84+0.1,tablas!$S$3:$U$66,2,TRUE),VLOOKUP(F84,tablas!$S$3:$U$66,2,TRUE))&amp;"@"&amp;IF(VLOOKUP(VLOOKUP(F84,tablas!$S$3:$U$66,2,TRUE)&amp;VLOOKUP(F84,tablas!$S$3:$U$66,3,TRUE),tablas!$R$3:$S$66,2,FALSE)&lt;F84,VLOOKUP(F84+0.1,tablas!$S$3:$U$66,3,TRUE),VLOOKUP(F84,tablas!$S$3:$U$66,3,TRUE))&amp;"$",$C$13)</f>
        <v>$\phi10@15$</v>
      </c>
      <c r="G85" s="131" t="str">
        <f>IF(G84&gt;$C$12,"$\phi"&amp;IF(VLOOKUP(VLOOKUP(G84,tablas!$S$3:$U$66,2,TRUE)&amp;VLOOKUP(G84,tablas!$S$3:$U$66,3,TRUE),tablas!$R$3:$S$66,2,FALSE)&lt;G84,VLOOKUP(G84+0.1,tablas!$S$3:$U$66,2,TRUE),VLOOKUP(G84,tablas!$S$3:$U$66,2,TRUE))&amp;"@"&amp;IF(VLOOKUP(VLOOKUP(G84,tablas!$S$3:$U$66,2,TRUE)&amp;VLOOKUP(G84,tablas!$S$3:$U$66,3,TRUE),tablas!$R$3:$S$66,2,FALSE)&lt;G84,VLOOKUP(G84+0.1,tablas!$S$3:$U$66,3,TRUE),VLOOKUP(G84,tablas!$S$3:$U$66,3,TRUE))&amp;"$",$C$13)</f>
        <v>$\phi8@15$</v>
      </c>
      <c r="H85" s="131" t="str">
        <f>IF(H84&gt;$C$12,"$\phi"&amp;IF(VLOOKUP(VLOOKUP(H84,tablas!$S$3:$U$66,2,TRUE)&amp;VLOOKUP(H84,tablas!$S$3:$U$66,3,TRUE),tablas!$R$3:$S$66,2,FALSE)&lt;H84,VLOOKUP(H84+0.1,tablas!$S$3:$U$66,2,TRUE),VLOOKUP(H84,tablas!$S$3:$U$66,2,TRUE))&amp;"@"&amp;IF(VLOOKUP(VLOOKUP(H84,tablas!$S$3:$U$66,2,TRUE)&amp;VLOOKUP(H84,tablas!$S$3:$U$66,3,TRUE),tablas!$R$3:$S$66,2,FALSE)&lt;H84,VLOOKUP(H84+0.1,tablas!$S$3:$U$66,3,TRUE),VLOOKUP(H84,tablas!$S$3:$U$66,3,TRUE))&amp;"$",$C$13)</f>
        <v>$\phi8@16$</v>
      </c>
      <c r="I85" s="131" t="str">
        <f>IF(I84&gt;$C$12,"$\phi"&amp;IF(VLOOKUP(VLOOKUP(I84,tablas!$S$3:$U$66,2,TRUE)&amp;VLOOKUP(I84,tablas!$S$3:$U$66,3,TRUE),tablas!$R$3:$S$66,2,FALSE)&lt;I84,VLOOKUP(I84+0.1,tablas!$S$3:$U$66,2,TRUE),VLOOKUP(I84,tablas!$S$3:$U$66,2,TRUE))&amp;"@"&amp;IF(VLOOKUP(VLOOKUP(I84,tablas!$S$3:$U$66,2,TRUE)&amp;VLOOKUP(I84,tablas!$S$3:$U$66,3,TRUE),tablas!$R$3:$S$66,2,FALSE)&lt;I84,VLOOKUP(I84+0.1,tablas!$S$3:$U$66,3,TRUE),VLOOKUP(I84,tablas!$S$3:$U$66,3,TRUE))&amp;"$",$C$13)</f>
        <v>$\phi10@18$</v>
      </c>
      <c r="J85" s="131" t="str">
        <f>IF(J84&gt;$C$12,"$\phi"&amp;IF(VLOOKUP(VLOOKUP(J84,tablas!$S$3:$U$66,2,TRUE)&amp;VLOOKUP(J84,tablas!$S$3:$U$66,3,TRUE),tablas!$R$3:$S$66,2,FALSE)&lt;J84,VLOOKUP(J84+0.1,tablas!$S$3:$U$66,2,TRUE),VLOOKUP(J84,tablas!$S$3:$U$66,2,TRUE))&amp;"@"&amp;IF(VLOOKUP(VLOOKUP(J84,tablas!$S$3:$U$66,2,TRUE)&amp;VLOOKUP(J84,tablas!$S$3:$U$66,3,TRUE),tablas!$R$3:$S$66,2,FALSE)&lt;J84,VLOOKUP(J84+0.1,tablas!$S$3:$U$66,3,TRUE),VLOOKUP(J84,tablas!$S$3:$U$66,3,TRUE))&amp;"$",$C$13)</f>
        <v>$\phi12@20$</v>
      </c>
      <c r="K85" s="131" t="str">
        <f>IF(K84&gt;$C$12,"$\phi"&amp;IF(VLOOKUP(VLOOKUP(K84,tablas!$S$3:$U$66,2,TRUE)&amp;VLOOKUP(K84,tablas!$S$3:$U$66,3,TRUE),tablas!$R$3:$S$66,2,FALSE)&lt;K84,VLOOKUP(K84+0.1,tablas!$S$3:$U$66,2,TRUE),VLOOKUP(K84,tablas!$S$3:$U$66,2,TRUE))&amp;"@"&amp;IF(VLOOKUP(VLOOKUP(K84,tablas!$S$3:$U$66,2,TRUE)&amp;VLOOKUP(K84,tablas!$S$3:$U$66,3,TRUE),tablas!$R$3:$S$66,2,FALSE)&lt;K84,VLOOKUP(K84+0.1,tablas!$S$3:$U$66,3,TRUE),VLOOKUP(K84,tablas!$S$3:$U$66,3,TRUE))&amp;"$",$C$13)</f>
        <v>$\phi12@20$</v>
      </c>
      <c r="L85" s="131" t="str">
        <f>IF(L84&gt;$C$12,"$\phi"&amp;IF(VLOOKUP(VLOOKUP(L84,tablas!$S$3:$U$66,2,TRUE)&amp;VLOOKUP(L84,tablas!$S$3:$U$66,3,TRUE),tablas!$R$3:$S$66,2,FALSE)&lt;L84,VLOOKUP(L84+0.1,tablas!$S$3:$U$66,2,TRUE),VLOOKUP(L84,tablas!$S$3:$U$66,2,TRUE))&amp;"@"&amp;IF(VLOOKUP(VLOOKUP(L84,tablas!$S$3:$U$66,2,TRUE)&amp;VLOOKUP(L84,tablas!$S$3:$U$66,3,TRUE),tablas!$R$3:$S$66,2,FALSE)&lt;L84,VLOOKUP(L84+0.1,tablas!$S$3:$U$66,3,TRUE),VLOOKUP(L84,tablas!$S$3:$U$66,3,TRUE))&amp;"$",$C$13)</f>
        <v>$\phi12@16$</v>
      </c>
      <c r="M85" s="131" t="str">
        <f>IF(M84&gt;$C$12,"$\phi"&amp;IF(VLOOKUP(VLOOKUP(M84,tablas!$S$3:$U$66,2,TRUE)&amp;VLOOKUP(M84,tablas!$S$3:$U$66,3,TRUE),tablas!$R$3:$S$66,2,FALSE)&lt;M84,VLOOKUP(M84+0.1,tablas!$S$3:$U$66,2,TRUE),VLOOKUP(M84,tablas!$S$3:$U$66,2,TRUE))&amp;"@"&amp;IF(VLOOKUP(VLOOKUP(M84,tablas!$S$3:$U$66,2,TRUE)&amp;VLOOKUP(M84,tablas!$S$3:$U$66,3,TRUE),tablas!$R$3:$S$66,2,FALSE)&lt;M84,VLOOKUP(M84+0.1,tablas!$S$3:$U$66,3,TRUE),VLOOKUP(M84,tablas!$S$3:$U$66,3,TRUE))&amp;"$",$C$13)</f>
        <v>$\phi8@16$</v>
      </c>
      <c r="N85" s="131" t="str">
        <f>IF(N84&gt;$C$12,"$\phi"&amp;IF(VLOOKUP(VLOOKUP(N84,tablas!$S$3:$U$66,2,TRUE)&amp;VLOOKUP(N84,tablas!$S$3:$U$66,3,TRUE),tablas!$R$3:$S$66,2,FALSE)&lt;N84,VLOOKUP(N84+0.1,tablas!$S$3:$U$66,2,TRUE),VLOOKUP(N84,tablas!$S$3:$U$66,2,TRUE))&amp;"@"&amp;IF(VLOOKUP(VLOOKUP(N84,tablas!$S$3:$U$66,2,TRUE)&amp;VLOOKUP(N84,tablas!$S$3:$U$66,3,TRUE),tablas!$R$3:$S$66,2,FALSE)&lt;N84,VLOOKUP(N84+0.1,tablas!$S$3:$U$66,3,TRUE),VLOOKUP(N84,tablas!$S$3:$U$66,3,TRUE))&amp;"$",$C$13)</f>
        <v>$\phi12@17$</v>
      </c>
      <c r="O85" s="131" t="str">
        <f>IF(O84&gt;$C$12,"$\phi"&amp;IF(VLOOKUP(VLOOKUP(O84,tablas!$S$3:$U$66,2,TRUE)&amp;VLOOKUP(O84,tablas!$S$3:$U$66,3,TRUE),tablas!$R$3:$S$66,2,FALSE)&lt;O84,VLOOKUP(O84+0.1,tablas!$S$3:$U$66,2,TRUE),VLOOKUP(O84,tablas!$S$3:$U$66,2,TRUE))&amp;"@"&amp;IF(VLOOKUP(VLOOKUP(O84,tablas!$S$3:$U$66,2,TRUE)&amp;VLOOKUP(O84,tablas!$S$3:$U$66,3,TRUE),tablas!$R$3:$S$66,2,FALSE)&lt;O84,VLOOKUP(O84+0.1,tablas!$S$3:$U$66,3,TRUE),VLOOKUP(O84,tablas!$S$3:$U$66,3,TRUE))&amp;"$",$C$13)</f>
        <v>$\phi10@23$</v>
      </c>
      <c r="P85" s="131" t="str">
        <f>IF(P84&gt;$C$12,"$\phi"&amp;IF(VLOOKUP(VLOOKUP(P84,tablas!$S$3:$U$66,2,TRUE)&amp;VLOOKUP(P84,tablas!$S$3:$U$66,3,TRUE),tablas!$R$3:$S$66,2,FALSE)&lt;P84,VLOOKUP(P84+0.1,tablas!$S$3:$U$66,2,TRUE),VLOOKUP(P84,tablas!$S$3:$U$66,2,TRUE))&amp;"@"&amp;IF(VLOOKUP(VLOOKUP(P84,tablas!$S$3:$U$66,2,TRUE)&amp;VLOOKUP(P84,tablas!$S$3:$U$66,3,TRUE),tablas!$R$3:$S$66,2,FALSE)&lt;P84,VLOOKUP(P84+0.1,tablas!$S$3:$U$66,3,TRUE),VLOOKUP(P84,tablas!$S$3:$U$66,3,TRUE))&amp;"$",$C$13)</f>
        <v>$\phi8@13$</v>
      </c>
      <c r="Q85" s="131" t="str">
        <f>IF(Q84&gt;$C$12,"$\phi"&amp;IF(VLOOKUP(VLOOKUP(Q84,tablas!$S$3:$U$66,2,TRUE)&amp;VLOOKUP(Q84,tablas!$S$3:$U$66,3,TRUE),tablas!$R$3:$S$66,2,FALSE)&lt;Q84,VLOOKUP(Q84+0.1,tablas!$S$3:$U$66,2,TRUE),VLOOKUP(Q84,tablas!$S$3:$U$66,2,TRUE))&amp;"@"&amp;IF(VLOOKUP(VLOOKUP(Q84,tablas!$S$3:$U$66,2,TRUE)&amp;VLOOKUP(Q84,tablas!$S$3:$U$66,3,TRUE),tablas!$R$3:$S$66,2,FALSE)&lt;Q84,VLOOKUP(Q84+0.1,tablas!$S$3:$U$66,3,TRUE),VLOOKUP(Q84,tablas!$S$3:$U$66,3,TRUE))&amp;"$",$C$13)</f>
        <v>$\phi12@15$</v>
      </c>
      <c r="R85" s="131" t="str">
        <f>IF(R84&gt;$C$12,"$\phi"&amp;IF(VLOOKUP(VLOOKUP(R84,tablas!$S$3:$U$66,2,TRUE)&amp;VLOOKUP(R84,tablas!$S$3:$U$66,3,TRUE),tablas!$R$3:$S$66,2,FALSE)&lt;R84,VLOOKUP(R84+0.1,tablas!$S$3:$U$66,2,TRUE),VLOOKUP(R84,tablas!$S$3:$U$66,2,TRUE))&amp;"@"&amp;IF(VLOOKUP(VLOOKUP(R84,tablas!$S$3:$U$66,2,TRUE)&amp;VLOOKUP(R84,tablas!$S$3:$U$66,3,TRUE),tablas!$R$3:$S$66,2,FALSE)&lt;R84,VLOOKUP(R84+0.1,tablas!$S$3:$U$66,3,TRUE),VLOOKUP(R84,tablas!$S$3:$U$66,3,TRUE))&amp;"$",$C$13)</f>
        <v>$\phi10@17$</v>
      </c>
      <c r="S85" s="131" t="str">
        <f>IF(S84&gt;$C$12,"$\phi"&amp;IF(VLOOKUP(VLOOKUP(S84,tablas!$S$3:$U$66,2,TRUE)&amp;VLOOKUP(S84,tablas!$S$3:$U$66,3,TRUE),tablas!$R$3:$S$66,2,FALSE)&lt;S84,VLOOKUP(S84+0.1,tablas!$S$3:$U$66,2,TRUE),VLOOKUP(S84,tablas!$S$3:$U$66,2,TRUE))&amp;"@"&amp;IF(VLOOKUP(VLOOKUP(S84,tablas!$S$3:$U$66,2,TRUE)&amp;VLOOKUP(S84,tablas!$S$3:$U$66,3,TRUE),tablas!$R$3:$S$66,2,FALSE)&lt;S84,VLOOKUP(S84+0.1,tablas!$S$3:$U$66,3,TRUE),VLOOKUP(S84,tablas!$S$3:$U$66,3,TRUE))&amp;"$",$C$13)</f>
        <v>$\phi8@16$</v>
      </c>
      <c r="T85" s="131" t="str">
        <f>IF(T84&gt;$C$12,"$\phi"&amp;IF(VLOOKUP(VLOOKUP(T84,tablas!$S$3:$U$66,2,TRUE)&amp;VLOOKUP(T84,tablas!$S$3:$U$66,3,TRUE),tablas!$R$3:$S$66,2,FALSE)&lt;T84,VLOOKUP(T84+0.1,tablas!$S$3:$U$66,2,TRUE),VLOOKUP(T84,tablas!$S$3:$U$66,2,TRUE))&amp;"@"&amp;IF(VLOOKUP(VLOOKUP(T84,tablas!$S$3:$U$66,2,TRUE)&amp;VLOOKUP(T84,tablas!$S$3:$U$66,3,TRUE),tablas!$R$3:$S$66,2,FALSE)&lt;T84,VLOOKUP(T84+0.1,tablas!$S$3:$U$66,3,TRUE),VLOOKUP(T84,tablas!$S$3:$U$66,3,TRUE))&amp;"$",$C$13)</f>
        <v>$\phi16@21$</v>
      </c>
      <c r="U85" s="131" t="str">
        <f>IF(U84&gt;$C$12,"$\phi"&amp;IF(VLOOKUP(VLOOKUP(U84,tablas!$S$3:$U$66,2,TRUE)&amp;VLOOKUP(U84,tablas!$S$3:$U$66,3,TRUE),tablas!$R$3:$S$66,2,FALSE)&lt;U84,VLOOKUP(U84+0.1,tablas!$S$3:$U$66,2,TRUE),VLOOKUP(U84,tablas!$S$3:$U$66,2,TRUE))&amp;"@"&amp;IF(VLOOKUP(VLOOKUP(U84,tablas!$S$3:$U$66,2,TRUE)&amp;VLOOKUP(U84,tablas!$S$3:$U$66,3,TRUE),tablas!$R$3:$S$66,2,FALSE)&lt;U84,VLOOKUP(U84+0.1,tablas!$S$3:$U$66,3,TRUE),VLOOKUP(U84,tablas!$S$3:$U$66,3,TRUE))&amp;"$",$C$13)</f>
        <v>$\phi8@16$</v>
      </c>
      <c r="V85" s="131" t="str">
        <f>IF(V84&gt;$C$12,"$\phi"&amp;IF(VLOOKUP(VLOOKUP(V84,tablas!$S$3:$U$66,2,TRUE)&amp;VLOOKUP(V84,tablas!$S$3:$U$66,3,TRUE),tablas!$R$3:$S$66,2,FALSE)&lt;V84,VLOOKUP(V84+0.1,tablas!$S$3:$U$66,2,TRUE),VLOOKUP(V84,tablas!$S$3:$U$66,2,TRUE))&amp;"@"&amp;IF(VLOOKUP(VLOOKUP(V84,tablas!$S$3:$U$66,2,TRUE)&amp;VLOOKUP(V84,tablas!$S$3:$U$66,3,TRUE),tablas!$R$3:$S$66,2,FALSE)&lt;V84,VLOOKUP(V84+0.1,tablas!$S$3:$U$66,3,TRUE),VLOOKUP(V84,tablas!$S$3:$U$66,3,TRUE))&amp;"$",$C$13)</f>
        <v>$\phi8@16$</v>
      </c>
      <c r="W85" s="131" t="str">
        <f>IF(W84&gt;$C$12,"$\phi"&amp;IF(VLOOKUP(VLOOKUP(W84,tablas!$S$3:$U$66,2,TRUE)&amp;VLOOKUP(W84,tablas!$S$3:$U$66,3,TRUE),tablas!$R$3:$S$66,2,FALSE)&lt;W84,VLOOKUP(W84+0.1,tablas!$S$3:$U$66,2,TRUE),VLOOKUP(W84,tablas!$S$3:$U$66,2,TRUE))&amp;"@"&amp;IF(VLOOKUP(VLOOKUP(W84,tablas!$S$3:$U$66,2,TRUE)&amp;VLOOKUP(W84,tablas!$S$3:$U$66,3,TRUE),tablas!$R$3:$S$66,2,FALSE)&lt;W84,VLOOKUP(W84+0.1,tablas!$S$3:$U$66,3,TRUE),VLOOKUP(W84,tablas!$S$3:$U$66,3,TRUE))&amp;"$",$C$13)</f>
        <v>$\phi8@16$</v>
      </c>
      <c r="X85" s="131" t="str">
        <f>IF(X84&gt;$C$12,"$\phi"&amp;IF(VLOOKUP(VLOOKUP(X84,tablas!$S$3:$U$66,2,TRUE)&amp;VLOOKUP(X84,tablas!$S$3:$U$66,3,TRUE),tablas!$R$3:$S$66,2,FALSE)&lt;X84,VLOOKUP(X84+0.1,tablas!$S$3:$U$66,2,TRUE),VLOOKUP(X84,tablas!$S$3:$U$66,2,TRUE))&amp;"@"&amp;IF(VLOOKUP(VLOOKUP(X84,tablas!$S$3:$U$66,2,TRUE)&amp;VLOOKUP(X84,tablas!$S$3:$U$66,3,TRUE),tablas!$R$3:$S$66,2,FALSE)&lt;X84,VLOOKUP(X84+0.1,tablas!$S$3:$U$66,3,TRUE),VLOOKUP(X84,tablas!$S$3:$U$66,3,TRUE))&amp;"$",$C$13)</f>
        <v>$\phi10@21$</v>
      </c>
      <c r="Y85" s="131" t="str">
        <f>IF(Y84&gt;$C$12,"$\phi"&amp;IF(VLOOKUP(VLOOKUP(Y84,tablas!$S$3:$U$66,2,TRUE)&amp;VLOOKUP(Y84,tablas!$S$3:$U$66,3,TRUE),tablas!$R$3:$S$66,2,FALSE)&lt;Y84,VLOOKUP(Y84+0.1,tablas!$S$3:$U$66,2,TRUE),VLOOKUP(Y84,tablas!$S$3:$U$66,2,TRUE))&amp;"@"&amp;IF(VLOOKUP(VLOOKUP(Y84,tablas!$S$3:$U$66,2,TRUE)&amp;VLOOKUP(Y84,tablas!$S$3:$U$66,3,TRUE),tablas!$R$3:$S$66,2,FALSE)&lt;Y84,VLOOKUP(Y84+0.1,tablas!$S$3:$U$66,3,TRUE),VLOOKUP(Y84,tablas!$S$3:$U$66,3,TRUE))&amp;"$",$C$13)</f>
        <v>$\phi12@17$</v>
      </c>
      <c r="Z85" s="131" t="str">
        <f>IF(Z84&gt;$C$12,"$\phi"&amp;IF(VLOOKUP(VLOOKUP(Z84,tablas!$S$3:$U$66,2,TRUE)&amp;VLOOKUP(Z84,tablas!$S$3:$U$66,3,TRUE),tablas!$R$3:$S$66,2,FALSE)&lt;Z84,VLOOKUP(Z84+0.1,tablas!$S$3:$U$66,2,TRUE),VLOOKUP(Z84,tablas!$S$3:$U$66,2,TRUE))&amp;"@"&amp;IF(VLOOKUP(VLOOKUP(Z84,tablas!$S$3:$U$66,2,TRUE)&amp;VLOOKUP(Z84,tablas!$S$3:$U$66,3,TRUE),tablas!$R$3:$S$66,2,FALSE)&lt;Z84,VLOOKUP(Z84+0.1,tablas!$S$3:$U$66,3,TRUE),VLOOKUP(Z84,tablas!$S$3:$U$66,3,TRUE))&amp;"$",$C$13)</f>
        <v>$\phi16@13$</v>
      </c>
      <c r="AA85" s="131" t="str">
        <f>IF(AA84&gt;$C$12,"$\phi"&amp;IF(VLOOKUP(VLOOKUP(AA84,tablas!$S$3:$U$66,2,TRUE)&amp;VLOOKUP(AA84,tablas!$S$3:$U$66,3,TRUE),tablas!$R$3:$S$66,2,FALSE)&lt;AA84,VLOOKUP(AA84+0.1,tablas!$S$3:$U$66,2,TRUE),VLOOKUP(AA84,tablas!$S$3:$U$66,2,TRUE))&amp;"@"&amp;IF(VLOOKUP(VLOOKUP(AA84,tablas!$S$3:$U$66,2,TRUE)&amp;VLOOKUP(AA84,tablas!$S$3:$U$66,3,TRUE),tablas!$R$3:$S$66,2,FALSE)&lt;AA84,VLOOKUP(AA84+0.1,tablas!$S$3:$U$66,3,TRUE),VLOOKUP(AA84,tablas!$S$3:$U$66,3,TRUE))&amp;"$",$C$13)</f>
        <v>$\phi10@14$</v>
      </c>
      <c r="AB85" s="131" t="str">
        <f>IF(AB84&gt;$C$12,"$\phi"&amp;IF(VLOOKUP(VLOOKUP(AB84,tablas!$S$3:$U$66,2,TRUE)&amp;VLOOKUP(AB84,tablas!$S$3:$U$66,3,TRUE),tablas!$R$3:$S$66,2,FALSE)&lt;AB84,VLOOKUP(AB84+0.1,tablas!$S$3:$U$66,2,TRUE),VLOOKUP(AB84,tablas!$S$3:$U$66,2,TRUE))&amp;"@"&amp;IF(VLOOKUP(VLOOKUP(AB84,tablas!$S$3:$U$66,2,TRUE)&amp;VLOOKUP(AB84,tablas!$S$3:$U$66,3,TRUE),tablas!$R$3:$S$66,2,FALSE)&lt;AB84,VLOOKUP(AB84+0.1,tablas!$S$3:$U$66,3,TRUE),VLOOKUP(AB84,tablas!$S$3:$U$66,3,TRUE))&amp;"$",$C$13)</f>
        <v>$\phi12@18$</v>
      </c>
      <c r="AC85" s="131" t="str">
        <f>IF(AC84&gt;$C$12,"$\phi"&amp;IF(VLOOKUP(VLOOKUP(AC84,tablas!$S$3:$U$66,2,TRUE)&amp;VLOOKUP(AC84,tablas!$S$3:$U$66,3,TRUE),tablas!$R$3:$S$66,2,FALSE)&lt;AC84,VLOOKUP(AC84+0.1,tablas!$S$3:$U$66,2,TRUE),VLOOKUP(AC84,tablas!$S$3:$U$66,2,TRUE))&amp;"@"&amp;IF(VLOOKUP(VLOOKUP(AC84,tablas!$S$3:$U$66,2,TRUE)&amp;VLOOKUP(AC84,tablas!$S$3:$U$66,3,TRUE),tablas!$R$3:$S$66,2,FALSE)&lt;AC84,VLOOKUP(AC84+0.1,tablas!$S$3:$U$66,3,TRUE),VLOOKUP(AC84,tablas!$S$3:$U$66,3,TRUE))&amp;"$",$C$13)</f>
        <v>$\phi16@20$</v>
      </c>
      <c r="AD85" s="131" t="str">
        <f>IF(AD84&gt;$C$12,"$\phi"&amp;IF(VLOOKUP(VLOOKUP(AD84,tablas!$S$3:$U$66,2,TRUE)&amp;VLOOKUP(AD84,tablas!$S$3:$U$66,3,TRUE),tablas!$R$3:$S$66,2,FALSE)&lt;AD84,VLOOKUP(AD84+0.1,tablas!$S$3:$U$66,2,TRUE),VLOOKUP(AD84,tablas!$S$3:$U$66,2,TRUE))&amp;"@"&amp;IF(VLOOKUP(VLOOKUP(AD84,tablas!$S$3:$U$66,2,TRUE)&amp;VLOOKUP(AD84,tablas!$S$3:$U$66,3,TRUE),tablas!$R$3:$S$66,2,FALSE)&lt;AD84,VLOOKUP(AD84+0.1,tablas!$S$3:$U$66,3,TRUE),VLOOKUP(AD84,tablas!$S$3:$U$66,3,TRUE))&amp;"$",$C$13)</f>
        <v>$\phi8@16$</v>
      </c>
      <c r="AE85" s="131" t="str">
        <f>IF(AE84&gt;$C$12,"$\phi"&amp;IF(VLOOKUP(VLOOKUP(AE84,tablas!$S$3:$U$66,2,TRUE)&amp;VLOOKUP(AE84,tablas!$S$3:$U$66,3,TRUE),tablas!$R$3:$S$66,2,FALSE)&lt;AE84,VLOOKUP(AE84+0.1,tablas!$S$3:$U$66,2,TRUE),VLOOKUP(AE84,tablas!$S$3:$U$66,2,TRUE))&amp;"@"&amp;IF(VLOOKUP(VLOOKUP(AE84,tablas!$S$3:$U$66,2,TRUE)&amp;VLOOKUP(AE84,tablas!$S$3:$U$66,3,TRUE),tablas!$R$3:$S$66,2,FALSE)&lt;AE84,VLOOKUP(AE84+0.1,tablas!$S$3:$U$66,3,TRUE),VLOOKUP(AE84,tablas!$S$3:$U$66,3,TRUE))&amp;"$",$C$13)</f>
        <v>$\phi8@16$</v>
      </c>
    </row>
    <row r="86" spans="2:32" x14ac:dyDescent="0.25">
      <c r="B86" s="93" t="s">
        <v>104</v>
      </c>
      <c r="C86" s="88">
        <f t="shared" ref="C86:AE86" si="44">IF(C53&lt;=2,C68/C60,IF(OR(C51=6,C51="5a",C51="3a"),C67*C48^2/17.5,(IF(OR(C51="2a",C51=4,C51="5b"),C67*C48^2/11.25,IF(OR(C51=1,C51="2b",C51="3b"),C67*C48^2/8)))))</f>
        <v>2074.2364532019706</v>
      </c>
      <c r="D86" s="88">
        <f t="shared" si="44"/>
        <v>2170.9923664122139</v>
      </c>
      <c r="E86" s="88">
        <f t="shared" si="44"/>
        <v>2170.9923664122139</v>
      </c>
      <c r="F86" s="88">
        <f t="shared" si="44"/>
        <v>2234.0860215053763</v>
      </c>
      <c r="G86" s="88">
        <f t="shared" si="44"/>
        <v>1635.1162790697674</v>
      </c>
      <c r="H86" s="88">
        <f t="shared" si="44"/>
        <v>1160.8163265306123</v>
      </c>
      <c r="I86" s="88">
        <f t="shared" si="44"/>
        <v>2298.253990147783</v>
      </c>
      <c r="J86" s="88">
        <f t="shared" si="44"/>
        <v>2752.0978165938868</v>
      </c>
      <c r="K86" s="88">
        <f t="shared" si="44"/>
        <v>2752.0978165938868</v>
      </c>
      <c r="L86" s="88">
        <f t="shared" si="44"/>
        <v>2771.0130285714285</v>
      </c>
      <c r="M86" s="88">
        <f t="shared" si="44"/>
        <v>1129.4451612903226</v>
      </c>
      <c r="N86" s="88">
        <f t="shared" si="44"/>
        <v>2875.983512544803</v>
      </c>
      <c r="O86" s="88">
        <f t="shared" si="44"/>
        <v>1614.7074235807863</v>
      </c>
      <c r="P86" s="88">
        <f t="shared" si="44"/>
        <v>1796.6462882096073</v>
      </c>
      <c r="Q86" s="88">
        <f t="shared" si="44"/>
        <v>3251.4304659498212</v>
      </c>
      <c r="R86" s="88">
        <f t="shared" si="44"/>
        <v>1787.8828571428573</v>
      </c>
      <c r="S86" s="88">
        <f t="shared" si="44"/>
        <v>1170.1028571428574</v>
      </c>
      <c r="T86" s="88">
        <f t="shared" si="44"/>
        <v>4132.4748387096779</v>
      </c>
      <c r="U86" s="88">
        <f t="shared" si="44"/>
        <v>159.04</v>
      </c>
      <c r="V86" s="88">
        <f t="shared" si="44"/>
        <v>489.7268292682927</v>
      </c>
      <c r="W86" s="88">
        <f t="shared" si="44"/>
        <v>682.41142857142859</v>
      </c>
      <c r="X86" s="88">
        <f t="shared" si="44"/>
        <v>1630.0534351145038</v>
      </c>
      <c r="Y86" s="88">
        <f t="shared" si="44"/>
        <v>3414.887069767442</v>
      </c>
      <c r="Z86" s="88">
        <f t="shared" si="44"/>
        <v>6130.183314285714</v>
      </c>
      <c r="AA86" s="88">
        <f t="shared" si="44"/>
        <v>2333.1899641577061</v>
      </c>
      <c r="AB86" s="88">
        <f t="shared" si="44"/>
        <v>2742.9764885496184</v>
      </c>
      <c r="AC86" s="88">
        <f t="shared" si="44"/>
        <v>4339.783587786259</v>
      </c>
      <c r="AD86" s="88">
        <f t="shared" si="44"/>
        <v>1170.1028571428574</v>
      </c>
      <c r="AE86" s="88">
        <f t="shared" si="44"/>
        <v>451.14394904458595</v>
      </c>
    </row>
    <row r="87" spans="2:32" x14ac:dyDescent="0.25">
      <c r="B87" s="94" t="s">
        <v>15</v>
      </c>
      <c r="C87" s="89">
        <f>C86/(0.9*(0.9*($C$7/100))*($L$9*1000))</f>
        <v>3.9887628422021657</v>
      </c>
      <c r="D87" s="90">
        <f>D86/(0.9*(0.9*($C$7/100))*($L$9*1000))</f>
        <v>4.1748247498408011</v>
      </c>
      <c r="E87" s="90">
        <f t="shared" ref="E87:R87" si="45">E86/(0.9*(0.9*($C$7/100))*($L$9*1000))</f>
        <v>4.1748247498408011</v>
      </c>
      <c r="F87" s="90">
        <f t="shared" si="45"/>
        <v>4.2961540354320524</v>
      </c>
      <c r="G87" s="90">
        <f t="shared" si="45"/>
        <v>3.1443334469246702</v>
      </c>
      <c r="H87" s="90">
        <f t="shared" si="45"/>
        <v>2.2322532335883469</v>
      </c>
      <c r="I87" s="90">
        <f t="shared" si="45"/>
        <v>4.4195492291599985</v>
      </c>
      <c r="J87" s="90">
        <f t="shared" si="45"/>
        <v>5.2922922514401103</v>
      </c>
      <c r="K87" s="90">
        <f t="shared" si="45"/>
        <v>5.2922922514401103</v>
      </c>
      <c r="L87" s="90">
        <f t="shared" si="45"/>
        <v>5.3286662600888963</v>
      </c>
      <c r="M87" s="90">
        <f t="shared" si="45"/>
        <v>2.1719263899279304</v>
      </c>
      <c r="N87" s="90">
        <f t="shared" si="45"/>
        <v>5.5305248116318655</v>
      </c>
      <c r="O87" s="90">
        <f t="shared" si="45"/>
        <v>3.105087157380074</v>
      </c>
      <c r="P87" s="90">
        <f t="shared" si="45"/>
        <v>3.4549561328595186</v>
      </c>
      <c r="Q87" s="90">
        <f t="shared" si="45"/>
        <v>6.2525104148875439</v>
      </c>
      <c r="R87" s="90">
        <f t="shared" si="45"/>
        <v>3.4381040289659186</v>
      </c>
      <c r="S87" s="90">
        <f t="shared" ref="S87:AE87" si="46">S86/(0.9*(0.9*($C$7/100))*($L$9*1000))</f>
        <v>2.250111259457054</v>
      </c>
      <c r="T87" s="90">
        <f t="shared" si="46"/>
        <v>7.9467613528511922</v>
      </c>
      <c r="U87" s="90">
        <f t="shared" si="46"/>
        <v>0.30583439098496207</v>
      </c>
      <c r="V87" s="90">
        <f t="shared" si="46"/>
        <v>0.94174614297198689</v>
      </c>
      <c r="W87" s="90">
        <f t="shared" si="46"/>
        <v>1.3122791980528219</v>
      </c>
      <c r="X87" s="90">
        <f t="shared" si="46"/>
        <v>3.1345975830054682</v>
      </c>
      <c r="Y87" s="90">
        <f t="shared" si="46"/>
        <v>6.5668379480932302</v>
      </c>
      <c r="Z87" s="90">
        <f t="shared" si="46"/>
        <v>11.788360667446854</v>
      </c>
      <c r="AA87" s="90">
        <f t="shared" si="46"/>
        <v>4.4867312106413326</v>
      </c>
      <c r="AB87" s="90">
        <f t="shared" si="46"/>
        <v>5.2747519105988578</v>
      </c>
      <c r="AC87" s="90">
        <f t="shared" si="46"/>
        <v>8.3454166912546786</v>
      </c>
      <c r="AD87" s="90">
        <f t="shared" si="46"/>
        <v>2.250111259457054</v>
      </c>
      <c r="AE87" s="90">
        <f t="shared" si="46"/>
        <v>0.86755115004150973</v>
      </c>
    </row>
    <row r="88" spans="2:32" x14ac:dyDescent="0.25">
      <c r="B88" s="94" t="s">
        <v>98</v>
      </c>
      <c r="C88" s="91">
        <f>(C87*($L$9))/(0.85*$L$6*100)</f>
        <v>5.6259367159747137E-2</v>
      </c>
      <c r="D88" s="92">
        <f>(D87*($L$9))/(0.85*$L$6*100)</f>
        <v>5.8883670882579106E-2</v>
      </c>
      <c r="E88" s="92">
        <f t="shared" ref="E88:R88" si="47">(E87*($L$9))/(0.85*$L$6*100)</f>
        <v>5.8883670882579106E-2</v>
      </c>
      <c r="F88" s="92">
        <f t="shared" si="47"/>
        <v>6.0594955582959915E-2</v>
      </c>
      <c r="G88" s="92">
        <f t="shared" si="47"/>
        <v>4.4349142042634994E-2</v>
      </c>
      <c r="H88" s="92">
        <f t="shared" si="47"/>
        <v>3.1484738308644344E-2</v>
      </c>
      <c r="I88" s="92">
        <f t="shared" si="47"/>
        <v>6.2335378812999824E-2</v>
      </c>
      <c r="J88" s="92">
        <f t="shared" si="47"/>
        <v>7.4644952500127454E-2</v>
      </c>
      <c r="K88" s="92">
        <f t="shared" si="47"/>
        <v>7.4644952500127454E-2</v>
      </c>
      <c r="L88" s="92">
        <f t="shared" si="47"/>
        <v>7.5157988443501328E-2</v>
      </c>
      <c r="M88" s="92">
        <f t="shared" si="47"/>
        <v>3.0633860434640114E-2</v>
      </c>
      <c r="N88" s="92">
        <f t="shared" si="47"/>
        <v>7.8005095382383871E-2</v>
      </c>
      <c r="O88" s="92">
        <f t="shared" si="47"/>
        <v>4.379559411298968E-2</v>
      </c>
      <c r="P88" s="92">
        <f t="shared" si="47"/>
        <v>4.8730308942622313E-2</v>
      </c>
      <c r="Q88" s="92">
        <f t="shared" si="47"/>
        <v>8.8188316281821361E-2</v>
      </c>
      <c r="R88" s="92">
        <f t="shared" si="47"/>
        <v>4.849261902776119E-2</v>
      </c>
      <c r="S88" s="92">
        <f t="shared" ref="S88:AE88" si="48">(S87*($L$9))/(0.85*$L$6*100)</f>
        <v>3.1736616215113499E-2</v>
      </c>
      <c r="T88" s="92">
        <f t="shared" si="48"/>
        <v>0.11208481987214734</v>
      </c>
      <c r="U88" s="92">
        <f t="shared" si="48"/>
        <v>4.3136305599460797E-3</v>
      </c>
      <c r="V88" s="92">
        <f t="shared" si="48"/>
        <v>1.3282825809590061E-2</v>
      </c>
      <c r="W88" s="92">
        <f t="shared" si="48"/>
        <v>1.8508996433238022E-2</v>
      </c>
      <c r="X88" s="92">
        <f t="shared" si="48"/>
        <v>4.4211822887669811E-2</v>
      </c>
      <c r="Y88" s="92">
        <f t="shared" si="48"/>
        <v>9.2621738071639578E-2</v>
      </c>
      <c r="Z88" s="92">
        <f t="shared" si="48"/>
        <v>0.16626852416105634</v>
      </c>
      <c r="AA88" s="92">
        <f t="shared" si="48"/>
        <v>6.328294474063241E-2</v>
      </c>
      <c r="AB88" s="92">
        <f t="shared" si="48"/>
        <v>7.4397555371109286E-2</v>
      </c>
      <c r="AC88" s="92">
        <f t="shared" si="48"/>
        <v>0.11770764026551336</v>
      </c>
      <c r="AD88" s="92">
        <f t="shared" si="48"/>
        <v>3.1736616215113499E-2</v>
      </c>
      <c r="AE88" s="92">
        <f t="shared" si="48"/>
        <v>1.2236345105215561E-2</v>
      </c>
    </row>
    <row r="89" spans="2:32" ht="15.75" thickBot="1" x14ac:dyDescent="0.3">
      <c r="B89" s="94" t="s">
        <v>15</v>
      </c>
      <c r="C89" s="76">
        <f>ROUNDUP(C86/(0.9*(($C$7-C88/2)/100)*($L$9*1000)),2)</f>
        <v>3.5999999999999996</v>
      </c>
      <c r="D89" s="77">
        <f>ROUNDUP(D86/(0.9*(($C$7-D88/2)/100)*($L$9*1000)),2)</f>
        <v>3.7699999999999996</v>
      </c>
      <c r="E89" s="77">
        <f t="shared" ref="E89:R89" si="49">ROUNDUP(E86/(0.9*(($C$7-E88/2)/100)*($L$9*1000)),2)</f>
        <v>3.7699999999999996</v>
      </c>
      <c r="F89" s="77">
        <f t="shared" si="49"/>
        <v>3.88</v>
      </c>
      <c r="G89" s="77">
        <f t="shared" si="49"/>
        <v>2.84</v>
      </c>
      <c r="H89" s="77">
        <f t="shared" si="49"/>
        <v>2.0199999999999996</v>
      </c>
      <c r="I89" s="77">
        <f t="shared" si="49"/>
        <v>3.9899999999999998</v>
      </c>
      <c r="J89" s="77">
        <f t="shared" si="49"/>
        <v>4.7799999999999994</v>
      </c>
      <c r="K89" s="77">
        <f t="shared" si="49"/>
        <v>4.7799999999999994</v>
      </c>
      <c r="L89" s="77">
        <f t="shared" si="49"/>
        <v>4.8099999999999996</v>
      </c>
      <c r="M89" s="77">
        <f t="shared" si="49"/>
        <v>1.96</v>
      </c>
      <c r="N89" s="77">
        <f t="shared" si="49"/>
        <v>5</v>
      </c>
      <c r="O89" s="77">
        <f t="shared" si="49"/>
        <v>2.8</v>
      </c>
      <c r="P89" s="77">
        <f t="shared" si="49"/>
        <v>3.1199999999999997</v>
      </c>
      <c r="Q89" s="77">
        <f t="shared" si="49"/>
        <v>5.6499999999999995</v>
      </c>
      <c r="R89" s="77">
        <f t="shared" si="49"/>
        <v>3.0999999999999996</v>
      </c>
      <c r="S89" s="77">
        <f t="shared" ref="S89:AE89" si="50">ROUNDUP(S86/(0.9*(($C$7-S88/2)/100)*($L$9*1000)),2)</f>
        <v>2.0299999999999998</v>
      </c>
      <c r="T89" s="77">
        <f t="shared" si="50"/>
        <v>7.18</v>
      </c>
      <c r="U89" s="77">
        <f t="shared" si="50"/>
        <v>0.28000000000000003</v>
      </c>
      <c r="V89" s="77">
        <f t="shared" si="50"/>
        <v>0.85</v>
      </c>
      <c r="W89" s="77">
        <f t="shared" si="50"/>
        <v>1.19</v>
      </c>
      <c r="X89" s="77">
        <f t="shared" si="50"/>
        <v>2.8299999999999996</v>
      </c>
      <c r="Y89" s="77">
        <f t="shared" si="50"/>
        <v>5.93</v>
      </c>
      <c r="Z89" s="77">
        <f t="shared" si="50"/>
        <v>10.67</v>
      </c>
      <c r="AA89" s="77">
        <f t="shared" si="50"/>
        <v>4.05</v>
      </c>
      <c r="AB89" s="77">
        <f t="shared" si="50"/>
        <v>4.76</v>
      </c>
      <c r="AC89" s="77">
        <f t="shared" si="50"/>
        <v>7.55</v>
      </c>
      <c r="AD89" s="77">
        <f t="shared" si="50"/>
        <v>2.0299999999999998</v>
      </c>
      <c r="AE89" s="77">
        <f t="shared" si="50"/>
        <v>0.79</v>
      </c>
    </row>
    <row r="90" spans="2:32" ht="16.5" thickBot="1" x14ac:dyDescent="0.3">
      <c r="B90" s="61" t="s">
        <v>106</v>
      </c>
      <c r="C90" s="131" t="str">
        <f>IF(C89&gt;$C$12,"$\phi"&amp;IF(VLOOKUP(VLOOKUP(C89,tablas!$S$3:$U$66,2,TRUE)&amp;VLOOKUP(C89,tablas!$S$3:$U$66,3,TRUE),tablas!$R$3:$S$66,2,FALSE)&lt;C89,VLOOKUP(C89+0.1,tablas!$S$3:$U$66,2,TRUE),VLOOKUP(C89,tablas!$S$3:$U$66,2,TRUE))&amp;"@"&amp;IF(VLOOKUP(VLOOKUP(C89,tablas!$S$3:$U$66,2,TRUE)&amp;VLOOKUP(C89,tablas!$S$3:$U$66,3,TRUE),tablas!$R$3:$S$66,2,FALSE)&lt;C89,VLOOKUP(C89+0.1,tablas!$S$3:$U$66,3,TRUE),VLOOKUP(C89,tablas!$S$3:$U$66,3,TRUE))&amp;"$",$C$13)</f>
        <v>$\phi8@14$</v>
      </c>
      <c r="D90" s="131" t="str">
        <f>IF(D89&gt;$C$12,"$\phi"&amp;IF(VLOOKUP(VLOOKUP(D89,tablas!$S$3:$U$66,2,TRUE)&amp;VLOOKUP(D89,tablas!$S$3:$U$66,3,TRUE),tablas!$R$3:$S$66,2,FALSE)&lt;D89,VLOOKUP(D89+0.1,tablas!$S$3:$U$66,2,TRUE),VLOOKUP(D89,tablas!$S$3:$U$66,2,TRUE))&amp;"@"&amp;IF(VLOOKUP(VLOOKUP(D89,tablas!$S$3:$U$66,2,TRUE)&amp;VLOOKUP(D89,tablas!$S$3:$U$66,3,TRUE),tablas!$R$3:$S$66,2,FALSE)&lt;D89,VLOOKUP(D89+0.1,tablas!$S$3:$U$66,3,TRUE),VLOOKUP(D89,tablas!$S$3:$U$66,3,TRUE))&amp;"$",$C$13)</f>
        <v>$\phi10@21$</v>
      </c>
      <c r="E90" s="131" t="str">
        <f>IF(E89&gt;$C$12,"$\phi"&amp;IF(VLOOKUP(VLOOKUP(E89,tablas!$S$3:$U$66,2,TRUE)&amp;VLOOKUP(E89,tablas!$S$3:$U$66,3,TRUE),tablas!$R$3:$S$66,2,FALSE)&lt;E89,VLOOKUP(E89+0.1,tablas!$S$3:$U$66,2,TRUE),VLOOKUP(E89,tablas!$S$3:$U$66,2,TRUE))&amp;"@"&amp;IF(VLOOKUP(VLOOKUP(E89,tablas!$S$3:$U$66,2,TRUE)&amp;VLOOKUP(E89,tablas!$S$3:$U$66,3,TRUE),tablas!$R$3:$S$66,2,FALSE)&lt;E89,VLOOKUP(E89+0.1,tablas!$S$3:$U$66,3,TRUE),VLOOKUP(E89,tablas!$S$3:$U$66,3,TRUE))&amp;"$",$C$13)</f>
        <v>$\phi10@21$</v>
      </c>
      <c r="F90" s="131" t="str">
        <f>IF(F89&gt;$C$12,"$\phi"&amp;IF(VLOOKUP(VLOOKUP(F89,tablas!$S$3:$U$66,2,TRUE)&amp;VLOOKUP(F89,tablas!$S$3:$U$66,3,TRUE),tablas!$R$3:$S$66,2,FALSE)&lt;F89,VLOOKUP(F89+0.1,tablas!$S$3:$U$66,2,TRUE),VLOOKUP(F89,tablas!$S$3:$U$66,2,TRUE))&amp;"@"&amp;IF(VLOOKUP(VLOOKUP(F89,tablas!$S$3:$U$66,2,TRUE)&amp;VLOOKUP(F89,tablas!$S$3:$U$66,3,TRUE),tablas!$R$3:$S$66,2,FALSE)&lt;F89,VLOOKUP(F89+0.1,tablas!$S$3:$U$66,3,TRUE),VLOOKUP(F89,tablas!$S$3:$U$66,3,TRUE))&amp;"$",$C$13)</f>
        <v>$\phi10@20$</v>
      </c>
      <c r="G90" s="131" t="str">
        <f>IF(G89&gt;$C$12,"$\phi"&amp;IF(VLOOKUP(VLOOKUP(G89,tablas!$S$3:$U$66,2,TRUE)&amp;VLOOKUP(G89,tablas!$S$3:$U$66,3,TRUE),tablas!$R$3:$S$66,2,FALSE)&lt;G89,VLOOKUP(G89+0.1,tablas!$S$3:$U$66,2,TRUE),VLOOKUP(G89,tablas!$S$3:$U$66,2,TRUE))&amp;"@"&amp;IF(VLOOKUP(VLOOKUP(G89,tablas!$S$3:$U$66,2,TRUE)&amp;VLOOKUP(G89,tablas!$S$3:$U$66,3,TRUE),tablas!$R$3:$S$66,2,FALSE)&lt;G89,VLOOKUP(G89+0.1,tablas!$S$3:$U$66,3,TRUE),VLOOKUP(G89,tablas!$S$3:$U$66,3,TRUE))&amp;"$",$C$13)</f>
        <v>$\phi8@16$</v>
      </c>
      <c r="H90" s="131" t="str">
        <f>IF(H89&gt;$C$12,"$\phi"&amp;IF(VLOOKUP(VLOOKUP(H89,tablas!$S$3:$U$66,2,TRUE)&amp;VLOOKUP(H89,tablas!$S$3:$U$66,3,TRUE),tablas!$R$3:$S$66,2,FALSE)&lt;H89,VLOOKUP(H89+0.1,tablas!$S$3:$U$66,2,TRUE),VLOOKUP(H89,tablas!$S$3:$U$66,2,TRUE))&amp;"@"&amp;IF(VLOOKUP(VLOOKUP(H89,tablas!$S$3:$U$66,2,TRUE)&amp;VLOOKUP(H89,tablas!$S$3:$U$66,3,TRUE),tablas!$R$3:$S$66,2,FALSE)&lt;H89,VLOOKUP(H89+0.1,tablas!$S$3:$U$66,3,TRUE),VLOOKUP(H89,tablas!$S$3:$U$66,3,TRUE))&amp;"$",$C$13)</f>
        <v>$\phi8@16$</v>
      </c>
      <c r="I90" s="131" t="str">
        <f>IF(I89&gt;$C$12,"$\phi"&amp;IF(VLOOKUP(VLOOKUP(I89,tablas!$S$3:$U$66,2,TRUE)&amp;VLOOKUP(I89,tablas!$S$3:$U$66,3,TRUE),tablas!$R$3:$S$66,2,FALSE)&lt;I89,VLOOKUP(I89+0.1,tablas!$S$3:$U$66,2,TRUE),VLOOKUP(I89,tablas!$S$3:$U$66,2,TRUE))&amp;"@"&amp;IF(VLOOKUP(VLOOKUP(I89,tablas!$S$3:$U$66,2,TRUE)&amp;VLOOKUP(I89,tablas!$S$3:$U$66,3,TRUE),tablas!$R$3:$S$66,2,FALSE)&lt;I89,VLOOKUP(I89+0.1,tablas!$S$3:$U$66,3,TRUE),VLOOKUP(I89,tablas!$S$3:$U$66,3,TRUE))&amp;"$",$C$13)</f>
        <v>$\phi10@20$</v>
      </c>
      <c r="J90" s="131" t="str">
        <f>IF(J89&gt;$C$12,"$\phi"&amp;IF(VLOOKUP(VLOOKUP(J89,tablas!$S$3:$U$66,2,TRUE)&amp;VLOOKUP(J89,tablas!$S$3:$U$66,3,TRUE),tablas!$R$3:$S$66,2,FALSE)&lt;J89,VLOOKUP(J89+0.1,tablas!$S$3:$U$66,2,TRUE),VLOOKUP(J89,tablas!$S$3:$U$66,2,TRUE))&amp;"@"&amp;IF(VLOOKUP(VLOOKUP(J89,tablas!$S$3:$U$66,2,TRUE)&amp;VLOOKUP(J89,tablas!$S$3:$U$66,3,TRUE),tablas!$R$3:$S$66,2,FALSE)&lt;J89,VLOOKUP(J89+0.1,tablas!$S$3:$U$66,3,TRUE),VLOOKUP(J89,tablas!$S$3:$U$66,3,TRUE))&amp;"$",$C$13)</f>
        <v>$\phi12@24$</v>
      </c>
      <c r="K90" s="131" t="str">
        <f>IF(K89&gt;$C$12,"$\phi"&amp;IF(VLOOKUP(VLOOKUP(K89,tablas!$S$3:$U$66,2,TRUE)&amp;VLOOKUP(K89,tablas!$S$3:$U$66,3,TRUE),tablas!$R$3:$S$66,2,FALSE)&lt;K89,VLOOKUP(K89+0.1,tablas!$S$3:$U$66,2,TRUE),VLOOKUP(K89,tablas!$S$3:$U$66,2,TRUE))&amp;"@"&amp;IF(VLOOKUP(VLOOKUP(K89,tablas!$S$3:$U$66,2,TRUE)&amp;VLOOKUP(K89,tablas!$S$3:$U$66,3,TRUE),tablas!$R$3:$S$66,2,FALSE)&lt;K89,VLOOKUP(K89+0.1,tablas!$S$3:$U$66,3,TRUE),VLOOKUP(K89,tablas!$S$3:$U$66,3,TRUE))&amp;"$",$C$13)</f>
        <v>$\phi12@24$</v>
      </c>
      <c r="L90" s="131" t="str">
        <f>IF(L89&gt;$C$12,"$\phi"&amp;IF(VLOOKUP(VLOOKUP(L89,tablas!$S$3:$U$66,2,TRUE)&amp;VLOOKUP(L89,tablas!$S$3:$U$66,3,TRUE),tablas!$R$3:$S$66,2,FALSE)&lt;L89,VLOOKUP(L89+0.1,tablas!$S$3:$U$66,2,TRUE),VLOOKUP(L89,tablas!$S$3:$U$66,2,TRUE))&amp;"@"&amp;IF(VLOOKUP(VLOOKUP(L89,tablas!$S$3:$U$66,2,TRUE)&amp;VLOOKUP(L89,tablas!$S$3:$U$66,3,TRUE),tablas!$R$3:$S$66,2,FALSE)&lt;L89,VLOOKUP(L89+0.1,tablas!$S$3:$U$66,3,TRUE),VLOOKUP(L89,tablas!$S$3:$U$66,3,TRUE))&amp;"$",$C$13)</f>
        <v>$\phi12@24$</v>
      </c>
      <c r="M90" s="131" t="str">
        <f>IF(M89&gt;$C$12,"$\phi"&amp;IF(VLOOKUP(VLOOKUP(M89,tablas!$S$3:$U$66,2,TRUE)&amp;VLOOKUP(M89,tablas!$S$3:$U$66,3,TRUE),tablas!$R$3:$S$66,2,FALSE)&lt;M89,VLOOKUP(M89+0.1,tablas!$S$3:$U$66,2,TRUE),VLOOKUP(M89,tablas!$S$3:$U$66,2,TRUE))&amp;"@"&amp;IF(VLOOKUP(VLOOKUP(M89,tablas!$S$3:$U$66,2,TRUE)&amp;VLOOKUP(M89,tablas!$S$3:$U$66,3,TRUE),tablas!$R$3:$S$66,2,FALSE)&lt;M89,VLOOKUP(M89+0.1,tablas!$S$3:$U$66,3,TRUE),VLOOKUP(M89,tablas!$S$3:$U$66,3,TRUE))&amp;"$",$C$13)</f>
        <v>$\phi8@16$</v>
      </c>
      <c r="N90" s="131" t="str">
        <f>IF(N89&gt;$C$12,"$\phi"&amp;IF(VLOOKUP(VLOOKUP(N89,tablas!$S$3:$U$66,2,TRUE)&amp;VLOOKUP(N89,tablas!$S$3:$U$66,3,TRUE),tablas!$R$3:$S$66,2,FALSE)&lt;N89,VLOOKUP(N89+0.1,tablas!$S$3:$U$66,2,TRUE),VLOOKUP(N89,tablas!$S$3:$U$66,2,TRUE))&amp;"@"&amp;IF(VLOOKUP(VLOOKUP(N89,tablas!$S$3:$U$66,2,TRUE)&amp;VLOOKUP(N89,tablas!$S$3:$U$66,3,TRUE),tablas!$R$3:$S$66,2,FALSE)&lt;N89,VLOOKUP(N89+0.1,tablas!$S$3:$U$66,3,TRUE),VLOOKUP(N89,tablas!$S$3:$U$66,3,TRUE))&amp;"$",$C$13)</f>
        <v>$\phi8@10$</v>
      </c>
      <c r="O90" s="131" t="str">
        <f>IF(O89&gt;$C$12,"$\phi"&amp;IF(VLOOKUP(VLOOKUP(O89,tablas!$S$3:$U$66,2,TRUE)&amp;VLOOKUP(O89,tablas!$S$3:$U$66,3,TRUE),tablas!$R$3:$S$66,2,FALSE)&lt;O89,VLOOKUP(O89+0.1,tablas!$S$3:$U$66,2,TRUE),VLOOKUP(O89,tablas!$S$3:$U$66,2,TRUE))&amp;"@"&amp;IF(VLOOKUP(VLOOKUP(O89,tablas!$S$3:$U$66,2,TRUE)&amp;VLOOKUP(O89,tablas!$S$3:$U$66,3,TRUE),tablas!$R$3:$S$66,2,FALSE)&lt;O89,VLOOKUP(O89+0.1,tablas!$S$3:$U$66,3,TRUE),VLOOKUP(O89,tablas!$S$3:$U$66,3,TRUE))&amp;"$",$C$13)</f>
        <v>$\phi8@16$</v>
      </c>
      <c r="P90" s="131" t="str">
        <f>IF(P89&gt;$C$12,"$\phi"&amp;IF(VLOOKUP(VLOOKUP(P89,tablas!$S$3:$U$66,2,TRUE)&amp;VLOOKUP(P89,tablas!$S$3:$U$66,3,TRUE),tablas!$R$3:$S$66,2,FALSE)&lt;P89,VLOOKUP(P89+0.1,tablas!$S$3:$U$66,2,TRUE),VLOOKUP(P89,tablas!$S$3:$U$66,2,TRUE))&amp;"@"&amp;IF(VLOOKUP(VLOOKUP(P89,tablas!$S$3:$U$66,2,TRUE)&amp;VLOOKUP(P89,tablas!$S$3:$U$66,3,TRUE),tablas!$R$3:$S$66,2,FALSE)&lt;P89,VLOOKUP(P89+0.1,tablas!$S$3:$U$66,3,TRUE),VLOOKUP(P89,tablas!$S$3:$U$66,3,TRUE))&amp;"$",$C$13)</f>
        <v>$\phi10@25$</v>
      </c>
      <c r="Q90" s="131" t="str">
        <f>IF(Q89&gt;$C$12,"$\phi"&amp;IF(VLOOKUP(VLOOKUP(Q89,tablas!$S$3:$U$66,2,TRUE)&amp;VLOOKUP(Q89,tablas!$S$3:$U$66,3,TRUE),tablas!$R$3:$S$66,2,FALSE)&lt;Q89,VLOOKUP(Q89+0.1,tablas!$S$3:$U$66,2,TRUE),VLOOKUP(Q89,tablas!$S$3:$U$66,2,TRUE))&amp;"@"&amp;IF(VLOOKUP(VLOOKUP(Q89,tablas!$S$3:$U$66,2,TRUE)&amp;VLOOKUP(Q89,tablas!$S$3:$U$66,3,TRUE),tablas!$R$3:$S$66,2,FALSE)&lt;Q89,VLOOKUP(Q89+0.1,tablas!$S$3:$U$66,3,TRUE),VLOOKUP(Q89,tablas!$S$3:$U$66,3,TRUE))&amp;"$",$C$13)</f>
        <v>$\phi12@20$</v>
      </c>
      <c r="R90" s="131" t="str">
        <f>IF(R89&gt;$C$12,"$\phi"&amp;IF(VLOOKUP(VLOOKUP(R89,tablas!$S$3:$U$66,2,TRUE)&amp;VLOOKUP(R89,tablas!$S$3:$U$66,3,TRUE),tablas!$R$3:$S$66,2,FALSE)&lt;R89,VLOOKUP(R89+0.1,tablas!$S$3:$U$66,2,TRUE),VLOOKUP(R89,tablas!$S$3:$U$66,2,TRUE))&amp;"@"&amp;IF(VLOOKUP(VLOOKUP(R89,tablas!$S$3:$U$66,2,TRUE)&amp;VLOOKUP(R89,tablas!$S$3:$U$66,3,TRUE),tablas!$R$3:$S$66,2,FALSE)&lt;R89,VLOOKUP(R89+0.1,tablas!$S$3:$U$66,3,TRUE),VLOOKUP(R89,tablas!$S$3:$U$66,3,TRUE))&amp;"$",$C$13)</f>
        <v>$\phi10@25$</v>
      </c>
      <c r="S90" s="131" t="str">
        <f>IF(S89&gt;$C$12,"$\phi"&amp;IF(VLOOKUP(VLOOKUP(S89,tablas!$S$3:$U$66,2,TRUE)&amp;VLOOKUP(S89,tablas!$S$3:$U$66,3,TRUE),tablas!$R$3:$S$66,2,FALSE)&lt;S89,VLOOKUP(S89+0.1,tablas!$S$3:$U$66,2,TRUE),VLOOKUP(S89,tablas!$S$3:$U$66,2,TRUE))&amp;"@"&amp;IF(VLOOKUP(VLOOKUP(S89,tablas!$S$3:$U$66,2,TRUE)&amp;VLOOKUP(S89,tablas!$S$3:$U$66,3,TRUE),tablas!$R$3:$S$66,2,FALSE)&lt;S89,VLOOKUP(S89+0.1,tablas!$S$3:$U$66,3,TRUE),VLOOKUP(S89,tablas!$S$3:$U$66,3,TRUE))&amp;"$",$C$13)</f>
        <v>$\phi8@16$</v>
      </c>
      <c r="T90" s="131" t="str">
        <f>IF(T89&gt;$C$12,"$\phi"&amp;IF(VLOOKUP(VLOOKUP(T89,tablas!$S$3:$U$66,2,TRUE)&amp;VLOOKUP(T89,tablas!$S$3:$U$66,3,TRUE),tablas!$R$3:$S$66,2,FALSE)&lt;T89,VLOOKUP(T89+0.1,tablas!$S$3:$U$66,2,TRUE),VLOOKUP(T89,tablas!$S$3:$U$66,2,TRUE))&amp;"@"&amp;IF(VLOOKUP(VLOOKUP(T89,tablas!$S$3:$U$66,2,TRUE)&amp;VLOOKUP(T89,tablas!$S$3:$U$66,3,TRUE),tablas!$R$3:$S$66,2,FALSE)&lt;T89,VLOOKUP(T89+0.1,tablas!$S$3:$U$66,3,TRUE),VLOOKUP(T89,tablas!$S$3:$U$66,3,TRUE))&amp;"$",$C$13)</f>
        <v>$\phi10@11$</v>
      </c>
      <c r="U90" s="131" t="str">
        <f>IF(U89&gt;$C$12,"$\phi"&amp;IF(VLOOKUP(VLOOKUP(U89,tablas!$S$3:$U$66,2,TRUE)&amp;VLOOKUP(U89,tablas!$S$3:$U$66,3,TRUE),tablas!$R$3:$S$66,2,FALSE)&lt;U89,VLOOKUP(U89+0.1,tablas!$S$3:$U$66,2,TRUE),VLOOKUP(U89,tablas!$S$3:$U$66,2,TRUE))&amp;"@"&amp;IF(VLOOKUP(VLOOKUP(U89,tablas!$S$3:$U$66,2,TRUE)&amp;VLOOKUP(U89,tablas!$S$3:$U$66,3,TRUE),tablas!$R$3:$S$66,2,FALSE)&lt;U89,VLOOKUP(U89+0.1,tablas!$S$3:$U$66,3,TRUE),VLOOKUP(U89,tablas!$S$3:$U$66,3,TRUE))&amp;"$",$C$13)</f>
        <v>$\phi8@16$</v>
      </c>
      <c r="V90" s="131" t="str">
        <f>IF(V89&gt;$C$12,"$\phi"&amp;IF(VLOOKUP(VLOOKUP(V89,tablas!$S$3:$U$66,2,TRUE)&amp;VLOOKUP(V89,tablas!$S$3:$U$66,3,TRUE),tablas!$R$3:$S$66,2,FALSE)&lt;V89,VLOOKUP(V89+0.1,tablas!$S$3:$U$66,2,TRUE),VLOOKUP(V89,tablas!$S$3:$U$66,2,TRUE))&amp;"@"&amp;IF(VLOOKUP(VLOOKUP(V89,tablas!$S$3:$U$66,2,TRUE)&amp;VLOOKUP(V89,tablas!$S$3:$U$66,3,TRUE),tablas!$R$3:$S$66,2,FALSE)&lt;V89,VLOOKUP(V89+0.1,tablas!$S$3:$U$66,3,TRUE),VLOOKUP(V89,tablas!$S$3:$U$66,3,TRUE))&amp;"$",$C$13)</f>
        <v>$\phi8@16$</v>
      </c>
      <c r="W90" s="131" t="str">
        <f>IF(W89&gt;$C$12,"$\phi"&amp;IF(VLOOKUP(VLOOKUP(W89,tablas!$S$3:$U$66,2,TRUE)&amp;VLOOKUP(W89,tablas!$S$3:$U$66,3,TRUE),tablas!$R$3:$S$66,2,FALSE)&lt;W89,VLOOKUP(W89+0.1,tablas!$S$3:$U$66,2,TRUE),VLOOKUP(W89,tablas!$S$3:$U$66,2,TRUE))&amp;"@"&amp;IF(VLOOKUP(VLOOKUP(W89,tablas!$S$3:$U$66,2,TRUE)&amp;VLOOKUP(W89,tablas!$S$3:$U$66,3,TRUE),tablas!$R$3:$S$66,2,FALSE)&lt;W89,VLOOKUP(W89+0.1,tablas!$S$3:$U$66,3,TRUE),VLOOKUP(W89,tablas!$S$3:$U$66,3,TRUE))&amp;"$",$C$13)</f>
        <v>$\phi8@16$</v>
      </c>
      <c r="X90" s="131" t="str">
        <f>IF(X89&gt;$C$12,"$\phi"&amp;IF(VLOOKUP(VLOOKUP(X89,tablas!$S$3:$U$66,2,TRUE)&amp;VLOOKUP(X89,tablas!$S$3:$U$66,3,TRUE),tablas!$R$3:$S$66,2,FALSE)&lt;X89,VLOOKUP(X89+0.1,tablas!$S$3:$U$66,2,TRUE),VLOOKUP(X89,tablas!$S$3:$U$66,2,TRUE))&amp;"@"&amp;IF(VLOOKUP(VLOOKUP(X89,tablas!$S$3:$U$66,2,TRUE)&amp;VLOOKUP(X89,tablas!$S$3:$U$66,3,TRUE),tablas!$R$3:$S$66,2,FALSE)&lt;X89,VLOOKUP(X89+0.1,tablas!$S$3:$U$66,3,TRUE),VLOOKUP(X89,tablas!$S$3:$U$66,3,TRUE))&amp;"$",$C$13)</f>
        <v>$\phi8@16$</v>
      </c>
      <c r="Y90" s="131" t="str">
        <f>IF(Y89&gt;$C$12,"$\phi"&amp;IF(VLOOKUP(VLOOKUP(Y89,tablas!$S$3:$U$66,2,TRUE)&amp;VLOOKUP(Y89,tablas!$S$3:$U$66,3,TRUE),tablas!$R$3:$S$66,2,FALSE)&lt;Y89,VLOOKUP(Y89+0.1,tablas!$S$3:$U$66,2,TRUE),VLOOKUP(Y89,tablas!$S$3:$U$66,2,TRUE))&amp;"@"&amp;IF(VLOOKUP(VLOOKUP(Y89,tablas!$S$3:$U$66,2,TRUE)&amp;VLOOKUP(Y89,tablas!$S$3:$U$66,3,TRUE),tablas!$R$3:$S$66,2,FALSE)&lt;Y89,VLOOKUP(Y89+0.1,tablas!$S$3:$U$66,3,TRUE),VLOOKUP(Y89,tablas!$S$3:$U$66,3,TRUE))&amp;"$",$C$13)</f>
        <v>$\phi12@19$</v>
      </c>
      <c r="Z90" s="131" t="str">
        <f>IF(Z89&gt;$C$12,"$\phi"&amp;IF(VLOOKUP(VLOOKUP(Z89,tablas!$S$3:$U$66,2,TRUE)&amp;VLOOKUP(Z89,tablas!$S$3:$U$66,3,TRUE),tablas!$R$3:$S$66,2,FALSE)&lt;Z89,VLOOKUP(Z89+0.1,tablas!$S$3:$U$66,2,TRUE),VLOOKUP(Z89,tablas!$S$3:$U$66,2,TRUE))&amp;"@"&amp;IF(VLOOKUP(VLOOKUP(Z89,tablas!$S$3:$U$66,2,TRUE)&amp;VLOOKUP(Z89,tablas!$S$3:$U$66,3,TRUE),tablas!$R$3:$S$66,2,FALSE)&lt;Z89,VLOOKUP(Z89+0.1,tablas!$S$3:$U$66,3,TRUE),VLOOKUP(Z89,tablas!$S$3:$U$66,3,TRUE))&amp;"$",$C$13)</f>
        <v>$\phi16@19$</v>
      </c>
      <c r="AA90" s="131" t="str">
        <f>IF(AA89&gt;$C$12,"$\phi"&amp;IF(VLOOKUP(VLOOKUP(AA89,tablas!$S$3:$U$66,2,TRUE)&amp;VLOOKUP(AA89,tablas!$S$3:$U$66,3,TRUE),tablas!$R$3:$S$66,2,FALSE)&lt;AA89,VLOOKUP(AA89+0.1,tablas!$S$3:$U$66,2,TRUE),VLOOKUP(AA89,tablas!$S$3:$U$66,2,TRUE))&amp;"@"&amp;IF(VLOOKUP(VLOOKUP(AA89,tablas!$S$3:$U$66,2,TRUE)&amp;VLOOKUP(AA89,tablas!$S$3:$U$66,3,TRUE),tablas!$R$3:$S$66,2,FALSE)&lt;AA89,VLOOKUP(AA89+0.1,tablas!$S$3:$U$66,3,TRUE),VLOOKUP(AA89,tablas!$S$3:$U$66,3,TRUE))&amp;"$",$C$13)</f>
        <v>$\phi10@19$</v>
      </c>
      <c r="AB90" s="131" t="str">
        <f>IF(AB89&gt;$C$12,"$\phi"&amp;IF(VLOOKUP(VLOOKUP(AB89,tablas!$S$3:$U$66,2,TRUE)&amp;VLOOKUP(AB89,tablas!$S$3:$U$66,3,TRUE),tablas!$R$3:$S$66,2,FALSE)&lt;AB89,VLOOKUP(AB89+0.1,tablas!$S$3:$U$66,2,TRUE),VLOOKUP(AB89,tablas!$S$3:$U$66,2,TRUE))&amp;"@"&amp;IF(VLOOKUP(VLOOKUP(AB89,tablas!$S$3:$U$66,2,TRUE)&amp;VLOOKUP(AB89,tablas!$S$3:$U$66,3,TRUE),tablas!$R$3:$S$66,2,FALSE)&lt;AB89,VLOOKUP(AB89+0.1,tablas!$S$3:$U$66,3,TRUE),VLOOKUP(AB89,tablas!$S$3:$U$66,3,TRUE))&amp;"$",$C$13)</f>
        <v>$\phi12@24$</v>
      </c>
      <c r="AC90" s="131" t="str">
        <f>IF(AC89&gt;$C$12,"$\phi"&amp;IF(VLOOKUP(VLOOKUP(AC89,tablas!$S$3:$U$66,2,TRUE)&amp;VLOOKUP(AC89,tablas!$S$3:$U$66,3,TRUE),tablas!$R$3:$S$66,2,FALSE)&lt;AC89,VLOOKUP(AC89+0.1,tablas!$S$3:$U$66,2,TRUE),VLOOKUP(AC89,tablas!$S$3:$U$66,2,TRUE))&amp;"@"&amp;IF(VLOOKUP(VLOOKUP(AC89,tablas!$S$3:$U$66,2,TRUE)&amp;VLOOKUP(AC89,tablas!$S$3:$U$66,3,TRUE),tablas!$R$3:$S$66,2,FALSE)&lt;AC89,VLOOKUP(AC89+0.1,tablas!$S$3:$U$66,3,TRUE),VLOOKUP(AC89,tablas!$S$3:$U$66,3,TRUE))&amp;"$",$C$13)</f>
        <v>$\phi12@15$</v>
      </c>
      <c r="AD90" s="131" t="str">
        <f>IF(AD89&gt;$C$12,"$\phi"&amp;IF(VLOOKUP(VLOOKUP(AD89,tablas!$S$3:$U$66,2,TRUE)&amp;VLOOKUP(AD89,tablas!$S$3:$U$66,3,TRUE),tablas!$R$3:$S$66,2,FALSE)&lt;AD89,VLOOKUP(AD89+0.1,tablas!$S$3:$U$66,2,TRUE),VLOOKUP(AD89,tablas!$S$3:$U$66,2,TRUE))&amp;"@"&amp;IF(VLOOKUP(VLOOKUP(AD89,tablas!$S$3:$U$66,2,TRUE)&amp;VLOOKUP(AD89,tablas!$S$3:$U$66,3,TRUE),tablas!$R$3:$S$66,2,FALSE)&lt;AD89,VLOOKUP(AD89+0.1,tablas!$S$3:$U$66,3,TRUE),VLOOKUP(AD89,tablas!$S$3:$U$66,3,TRUE))&amp;"$",$C$13)</f>
        <v>$\phi8@16$</v>
      </c>
      <c r="AE90" s="131" t="str">
        <f>IF(AE89&gt;$C$12,"$\phi"&amp;IF(VLOOKUP(VLOOKUP(AE89,tablas!$S$3:$U$66,2,TRUE)&amp;VLOOKUP(AE89,tablas!$S$3:$U$66,3,TRUE),tablas!$R$3:$S$66,2,FALSE)&lt;AE89,VLOOKUP(AE89+0.1,tablas!$S$3:$U$66,2,TRUE),VLOOKUP(AE89,tablas!$S$3:$U$66,2,TRUE))&amp;"@"&amp;IF(VLOOKUP(VLOOKUP(AE89,tablas!$S$3:$U$66,2,TRUE)&amp;VLOOKUP(AE89,tablas!$S$3:$U$66,3,TRUE),tablas!$R$3:$S$66,2,FALSE)&lt;AE89,VLOOKUP(AE89+0.1,tablas!$S$3:$U$66,3,TRUE),VLOOKUP(AE89,tablas!$S$3:$U$66,3,TRUE))&amp;"$",$C$13)</f>
        <v>$\phi8@16$</v>
      </c>
    </row>
    <row r="92" spans="2:32" ht="15.75" thickBot="1" x14ac:dyDescent="0.3">
      <c r="B92" s="299" t="s">
        <v>107</v>
      </c>
      <c r="C92" s="299"/>
    </row>
    <row r="93" spans="2:32" ht="15.75" thickBot="1" x14ac:dyDescent="0.3">
      <c r="B93" s="73" t="s">
        <v>43</v>
      </c>
      <c r="C93" s="74" t="s">
        <v>49</v>
      </c>
      <c r="D93" s="75" t="s">
        <v>50</v>
      </c>
      <c r="E93" s="74" t="s">
        <v>49</v>
      </c>
      <c r="F93" s="75" t="s">
        <v>55</v>
      </c>
      <c r="G93" s="74" t="s">
        <v>50</v>
      </c>
      <c r="H93" s="75" t="s">
        <v>51</v>
      </c>
      <c r="I93" s="74" t="s">
        <v>50</v>
      </c>
      <c r="J93" s="75" t="s">
        <v>56</v>
      </c>
      <c r="K93" s="74" t="s">
        <v>51</v>
      </c>
      <c r="L93" s="75" t="s">
        <v>52</v>
      </c>
      <c r="M93" s="74" t="s">
        <v>51</v>
      </c>
      <c r="N93" s="75" t="s">
        <v>57</v>
      </c>
      <c r="O93" s="74" t="s">
        <v>52</v>
      </c>
      <c r="P93" s="75" t="s">
        <v>58</v>
      </c>
      <c r="Q93" s="74" t="s">
        <v>52</v>
      </c>
      <c r="R93" s="75" t="s">
        <v>53</v>
      </c>
      <c r="S93" s="74" t="s">
        <v>53</v>
      </c>
      <c r="T93" s="75" t="s">
        <v>54</v>
      </c>
      <c r="U93" s="74" t="s">
        <v>53</v>
      </c>
      <c r="V93" s="75" t="s">
        <v>58</v>
      </c>
      <c r="W93" s="74" t="s">
        <v>54</v>
      </c>
      <c r="X93" s="75" t="s">
        <v>59</v>
      </c>
      <c r="Y93" s="74" t="s">
        <v>55</v>
      </c>
      <c r="Z93" s="75" t="s">
        <v>56</v>
      </c>
      <c r="AA93" s="74" t="s">
        <v>55</v>
      </c>
      <c r="AB93" s="75" t="s">
        <v>60</v>
      </c>
      <c r="AC93" s="74" t="s">
        <v>56</v>
      </c>
      <c r="AD93" s="75" t="s">
        <v>60</v>
      </c>
      <c r="AE93" s="74" t="s">
        <v>56</v>
      </c>
      <c r="AF93" s="75" t="s">
        <v>57</v>
      </c>
    </row>
    <row r="94" spans="2:32" ht="15.75" hidden="1" thickBot="1" x14ac:dyDescent="0.3">
      <c r="B94" s="141"/>
      <c r="C94" s="143" t="str">
        <f>C93&amp;"-"&amp;D93</f>
        <v>0101-0102</v>
      </c>
      <c r="D94" s="143"/>
      <c r="E94" s="143" t="str">
        <f>E93&amp;"-"&amp;F93</f>
        <v>0101-0107</v>
      </c>
      <c r="F94" s="142"/>
      <c r="G94" s="143" t="str">
        <f>G93&amp;"-"&amp;H93</f>
        <v>0102-0103</v>
      </c>
      <c r="H94" s="142"/>
      <c r="I94" s="143" t="str">
        <f>I93&amp;"-"&amp;J93</f>
        <v>0102-0108</v>
      </c>
      <c r="J94" s="142"/>
      <c r="K94" s="143" t="str">
        <f>K93&amp;"-"&amp;L93</f>
        <v>0103-0104</v>
      </c>
      <c r="L94" s="142"/>
      <c r="M94" s="143" t="str">
        <f>M93&amp;"-"&amp;N93</f>
        <v>0103-0109</v>
      </c>
      <c r="N94" s="142"/>
      <c r="O94" s="143" t="str">
        <f>O93&amp;"-"&amp;P93</f>
        <v>0104-0110</v>
      </c>
      <c r="P94" s="142"/>
      <c r="Q94" s="143" t="str">
        <f>Q93&amp;"-"&amp;R93</f>
        <v>0104-0105</v>
      </c>
      <c r="R94" s="142"/>
      <c r="S94" s="143" t="str">
        <f>S93&amp;"-"&amp;T93</f>
        <v>0105-0106</v>
      </c>
      <c r="T94" s="142"/>
      <c r="U94" s="143" t="str">
        <f>U93&amp;"-"&amp;V93</f>
        <v>0105-0110</v>
      </c>
      <c r="V94" s="142"/>
      <c r="W94" s="143" t="str">
        <f>W93&amp;"-"&amp;X93</f>
        <v>0106-0111</v>
      </c>
      <c r="X94" s="142"/>
      <c r="Y94" s="143" t="str">
        <f>Y93&amp;"-"&amp;Z93</f>
        <v>0107-0108</v>
      </c>
      <c r="Z94" s="142"/>
      <c r="AA94" s="143" t="str">
        <f>AA93&amp;"-"&amp;AB93</f>
        <v>0107-0112</v>
      </c>
      <c r="AB94" s="142"/>
      <c r="AC94" s="143" t="str">
        <f>AC93&amp;"-"&amp;AD93</f>
        <v>0108-0112</v>
      </c>
      <c r="AD94" s="142"/>
      <c r="AE94" s="143" t="str">
        <f>AE93&amp;"-"&amp;AF93</f>
        <v>0108-0109</v>
      </c>
      <c r="AF94" s="142"/>
    </row>
    <row r="95" spans="2:32" x14ac:dyDescent="0.25">
      <c r="B95" s="102" t="s">
        <v>114</v>
      </c>
      <c r="C95" s="99" t="s">
        <v>109</v>
      </c>
      <c r="D95" s="100" t="s">
        <v>109</v>
      </c>
      <c r="E95" s="99" t="s">
        <v>108</v>
      </c>
      <c r="F95" s="100" t="s">
        <v>109</v>
      </c>
      <c r="G95" s="99" t="s">
        <v>109</v>
      </c>
      <c r="H95" s="100" t="s">
        <v>109</v>
      </c>
      <c r="I95" s="99" t="s">
        <v>108</v>
      </c>
      <c r="J95" s="100" t="s">
        <v>108</v>
      </c>
      <c r="K95" s="99" t="s">
        <v>109</v>
      </c>
      <c r="L95" s="100" t="s">
        <v>109</v>
      </c>
      <c r="M95" s="99" t="s">
        <v>108</v>
      </c>
      <c r="N95" s="100" t="s">
        <v>108</v>
      </c>
      <c r="O95" s="99" t="s">
        <v>108</v>
      </c>
      <c r="P95" s="100" t="s">
        <v>108</v>
      </c>
      <c r="Q95" s="99" t="s">
        <v>109</v>
      </c>
      <c r="R95" s="100" t="s">
        <v>108</v>
      </c>
      <c r="S95" s="99" t="s">
        <v>108</v>
      </c>
      <c r="T95" s="100" t="s">
        <v>108</v>
      </c>
      <c r="U95" s="99" t="s">
        <v>109</v>
      </c>
      <c r="V95" s="100" t="s">
        <v>108</v>
      </c>
      <c r="W95" s="99" t="s">
        <v>109</v>
      </c>
      <c r="X95" s="100" t="s">
        <v>109</v>
      </c>
      <c r="Y95" s="99" t="s">
        <v>108</v>
      </c>
      <c r="Z95" s="100" t="s">
        <v>109</v>
      </c>
      <c r="AA95" s="99" t="s">
        <v>109</v>
      </c>
      <c r="AB95" s="100" t="s">
        <v>108</v>
      </c>
      <c r="AC95" s="99" t="s">
        <v>108</v>
      </c>
      <c r="AD95" s="100" t="s">
        <v>108</v>
      </c>
      <c r="AE95" s="99" t="s">
        <v>109</v>
      </c>
      <c r="AF95" s="100" t="s">
        <v>109</v>
      </c>
    </row>
    <row r="96" spans="2:32" x14ac:dyDescent="0.25">
      <c r="B96" s="103" t="s">
        <v>110</v>
      </c>
      <c r="C96" s="101">
        <f>HLOOKUP(C93,$B$46:$AE$90,IF(C95="x",36,41),FALSE)</f>
        <v>2074.2364532019706</v>
      </c>
      <c r="D96" s="85">
        <f>HLOOKUP(D93,$B$46:$AE$90,IF(D95="x",36,41),FALSE)</f>
        <v>2170.9923664122139</v>
      </c>
      <c r="E96" s="195">
        <f t="shared" ref="E96:AF96" si="51">HLOOKUP(E93,$B$46:$AE$90,IF(E95="x",36,41),FALSE)</f>
        <v>2239.7340425531916</v>
      </c>
      <c r="F96" s="196">
        <f t="shared" si="51"/>
        <v>2298.253990147783</v>
      </c>
      <c r="G96" s="101">
        <f t="shared" si="51"/>
        <v>2170.9923664122139</v>
      </c>
      <c r="H96" s="85">
        <f t="shared" si="51"/>
        <v>2170.9923664122139</v>
      </c>
      <c r="I96" s="101">
        <f t="shared" si="51"/>
        <v>2872.7272727272725</v>
      </c>
      <c r="J96" s="85">
        <f t="shared" si="51"/>
        <v>3352.2893617021282</v>
      </c>
      <c r="K96" s="101">
        <f t="shared" si="51"/>
        <v>2170.9923664122139</v>
      </c>
      <c r="L96" s="85">
        <f t="shared" si="51"/>
        <v>2234.0860215053763</v>
      </c>
      <c r="M96" s="101">
        <f t="shared" si="51"/>
        <v>2872.7272727272725</v>
      </c>
      <c r="N96" s="85">
        <f t="shared" si="51"/>
        <v>3352.2893617021282</v>
      </c>
      <c r="O96" s="101">
        <f t="shared" si="51"/>
        <v>3040.5365853658536</v>
      </c>
      <c r="P96" s="85">
        <f t="shared" si="51"/>
        <v>4041.0606666666667</v>
      </c>
      <c r="Q96" s="101">
        <f t="shared" si="51"/>
        <v>2234.0860215053763</v>
      </c>
      <c r="R96" s="85">
        <f t="shared" si="51"/>
        <v>1890.0537634408602</v>
      </c>
      <c r="S96" s="101">
        <f t="shared" si="51"/>
        <v>1890.0537634408602</v>
      </c>
      <c r="T96" s="85">
        <f t="shared" si="51"/>
        <v>1481.25</v>
      </c>
      <c r="U96" s="101">
        <f t="shared" si="51"/>
        <v>1635.1162790697674</v>
      </c>
      <c r="V96" s="85">
        <f t="shared" si="51"/>
        <v>4041.0606666666667</v>
      </c>
      <c r="W96" s="101">
        <f t="shared" si="51"/>
        <v>1160.8163265306123</v>
      </c>
      <c r="X96" s="85">
        <f t="shared" si="51"/>
        <v>1129.4451612903226</v>
      </c>
      <c r="Y96" s="101">
        <f t="shared" si="51"/>
        <v>2481.6253191489359</v>
      </c>
      <c r="Z96" s="85">
        <f t="shared" si="51"/>
        <v>2752.0978165938868</v>
      </c>
      <c r="AA96" s="101">
        <f t="shared" si="51"/>
        <v>2298.253990147783</v>
      </c>
      <c r="AB96" s="85">
        <f t="shared" si="51"/>
        <v>3914.1434146341467</v>
      </c>
      <c r="AC96" s="101">
        <f t="shared" si="51"/>
        <v>3352.2893617021282</v>
      </c>
      <c r="AD96" s="85">
        <f t="shared" si="51"/>
        <v>3914.1434146341467</v>
      </c>
      <c r="AE96" s="101">
        <f t="shared" si="51"/>
        <v>2752.0978165938868</v>
      </c>
      <c r="AF96" s="85">
        <f t="shared" si="51"/>
        <v>2752.0978165938868</v>
      </c>
    </row>
    <row r="97" spans="2:32" x14ac:dyDescent="0.25">
      <c r="B97" s="103" t="s">
        <v>111</v>
      </c>
      <c r="C97" s="283">
        <f>(MAX(C96:D96)-MIN(C96:D96))/(MAX(C96:D96))</f>
        <v>4.4567597153804053E-2</v>
      </c>
      <c r="D97" s="284"/>
      <c r="E97" s="283">
        <f>(MAX(E96:F96)-MIN(E96:F96))/(MAX(E96:F96))</f>
        <v>2.5462785160150433E-2</v>
      </c>
      <c r="F97" s="284"/>
      <c r="G97" s="283">
        <f>(MAX(G96:H96)-MIN(G96:H96))/(MAX(G96:H96))</f>
        <v>0</v>
      </c>
      <c r="H97" s="284"/>
      <c r="I97" s="283">
        <f>(MAX(I96:J96)-MIN(I96:J96))/(MAX(I96:J96))</f>
        <v>0.14305509973380029</v>
      </c>
      <c r="J97" s="284"/>
      <c r="K97" s="283">
        <f>(MAX(K96:L96)-MIN(K96:L96))/(MAX(K96:L96))</f>
        <v>2.8241372304298518E-2</v>
      </c>
      <c r="L97" s="284"/>
      <c r="M97" s="283">
        <f>(MAX(M96:N96)-MIN(M96:N96))/(MAX(M96:N96))</f>
        <v>0.14305509973380029</v>
      </c>
      <c r="N97" s="284"/>
      <c r="O97" s="283">
        <f>(MAX(O96:P96)-MIN(O96:P96))/(MAX(O96:P96))</f>
        <v>0.24758947311872737</v>
      </c>
      <c r="P97" s="284"/>
      <c r="Q97" s="283">
        <f>(MAX(Q96:R96)-MIN(Q96:R96))/(MAX(Q96:R96))</f>
        <v>0.15399239543726234</v>
      </c>
      <c r="R97" s="284"/>
      <c r="S97" s="283">
        <f>(MAX(S96:T96)-MIN(S96:T96))/(MAX(S96:T96))</f>
        <v>0.21629213483146065</v>
      </c>
      <c r="T97" s="284"/>
      <c r="U97" s="283">
        <f>(MAX(U96:V96)-MIN(U96:V96))/(MAX(U96:V96))</f>
        <v>0.59537447864683524</v>
      </c>
      <c r="V97" s="284"/>
      <c r="W97" s="283">
        <f>(MAX(W96:X96)-MIN(W96:X96))/(MAX(W96:X96))</f>
        <v>2.702508960573476E-2</v>
      </c>
      <c r="X97" s="284"/>
      <c r="Y97" s="283">
        <f>(MAX(Y96:Z96)-MIN(Y96:Z96))/(MAX(Y96:Z96))</f>
        <v>9.8278664302600696E-2</v>
      </c>
      <c r="Z97" s="284"/>
      <c r="AA97" s="283">
        <f>(MAX(AA96:AB96)-MIN(AA96:AB96))/(MAX(AA96:AB96))</f>
        <v>0.41283347422705513</v>
      </c>
      <c r="AB97" s="284"/>
      <c r="AC97" s="283">
        <f>(MAX(AC96:AD96)-MIN(AC96:AD96))/(MAX(AC96:AD96))</f>
        <v>0.14354457499726916</v>
      </c>
      <c r="AD97" s="284"/>
      <c r="AE97" s="291">
        <f>(MAX(AE96:AF96)-MIN(AE96:AF96))/(MAX(AE96:AF96))</f>
        <v>0</v>
      </c>
      <c r="AF97" s="284"/>
    </row>
    <row r="98" spans="2:32" x14ac:dyDescent="0.25">
      <c r="B98" s="103" t="s">
        <v>279</v>
      </c>
      <c r="C98" s="285">
        <f>IF(C97&lt;25%,(C96*0.5+D96*0.5)*0.9,IF(C97&lt;50%,(MAX(C96:D96)*0.6+MIN(C96:D96)*0.4)*0.9,IF(C97&lt;70%,(MAX(C96:D96)*0.65+MIN(C96:D96)*0.35)*0.9,IF(C97&lt;100%,(MAX(C96:D96)*0.7+MIN(C96:D96)*0.3)*0.9,0.7*MAX(C96:D96)))))</f>
        <v>1910.3529688263829</v>
      </c>
      <c r="D98" s="286"/>
      <c r="E98" s="285">
        <f>IF(E97&lt;25%,(E96*0.5+F96*0.5)*0.9,IF(E97&lt;50%,(MAX(E96:F96)*0.6+MIN(E96:F96)*0.4)*0.9,IF(E97&lt;70%,(MAX(E96:F96)*0.65+MIN(E96:F96)*0.35)*0.9,IF(E97&lt;100%,(MAX(E96:F96)*0.7+MIN(E96:F96)*0.3)*0.9,0.7*MAX(E96:F96)))))</f>
        <v>2042.0946147154384</v>
      </c>
      <c r="F98" s="286"/>
      <c r="G98" s="285">
        <f>IF(G97&lt;25%,(G96*0.5+H96*0.5)*0.9,IF(G97&lt;50%,(MAX(G96:H96)*0.6+MIN(G96:H96)*0.4)*0.9,IF(G97&lt;70%,(MAX(G96:H96)*0.65+MIN(G96:H96)*0.35)*0.9,IF(G97&lt;100%,(MAX(G96:H96)*0.7+MIN(G96:H96)*0.3)*0.9,0.7*MAX(G96:H96)))))</f>
        <v>1953.8931297709926</v>
      </c>
      <c r="H98" s="286"/>
      <c r="I98" s="285">
        <f>IF(I97&lt;25%,(I96*0.5+J96*0.5)*0.9,IF(I97&lt;50%,(MAX(I96:J96)*0.6+MIN(I96:J96)*0.4)*0.9,IF(I97&lt;70%,(MAX(I96:J96)*0.65+MIN(I96:J96)*0.35)*0.9,IF(I97&lt;100%,(MAX(I96:J96)*0.7+MIN(I96:J96)*0.3)*0.9,0.7*MAX(I96:J96)))))</f>
        <v>2801.2574854932304</v>
      </c>
      <c r="J98" s="286"/>
      <c r="K98" s="285">
        <f>IF(K97&lt;25%,(K96*0.5+L96*0.5)*0.9,IF(K97&lt;50%,(MAX(K96:L96)*0.6+MIN(K96:L96)*0.4)*0.9,IF(K97&lt;70%,(MAX(K96:L96)*0.65+MIN(K96:L96)*0.35)*0.9,IF(K97&lt;100%,(MAX(K96:L96)*0.7+MIN(K96:L96)*0.3)*0.9,0.7*MAX(K96:L96)))))</f>
        <v>1982.2852745629159</v>
      </c>
      <c r="L98" s="286"/>
      <c r="M98" s="285">
        <f>IF(M97&lt;25%,(M96*0.5+N96*0.5)*0.9,IF(M97&lt;50%,(MAX(M96:N96)*0.6+MIN(M96:N96)*0.4)*0.9,IF(M97&lt;70%,(MAX(M96:N96)*0.65+MIN(M96:N96)*0.35)*0.9,IF(M97&lt;100%,(MAX(M96:N96)*0.7+MIN(M96:N96)*0.3)*0.9,0.7*MAX(M96:N96)))))</f>
        <v>2801.2574854932304</v>
      </c>
      <c r="N98" s="286"/>
      <c r="O98" s="285">
        <f>IF(O97&lt;25%,(O96*0.5+P96*0.5)*0.9,IF(O97&lt;50%,(MAX(O96:P96)*0.6+MIN(O96:P96)*0.4)*0.9,IF(O97&lt;70%,(MAX(O96:P96)*0.65+MIN(O96:P96)*0.35)*0.9,IF(O97&lt;100%,(MAX(O96:P96)*0.7+MIN(O96:P96)*0.3)*0.9,0.7*MAX(O96:P96)))))</f>
        <v>3186.7187634146344</v>
      </c>
      <c r="P98" s="286"/>
      <c r="Q98" s="285">
        <f>IF(Q97&lt;25%,(Q96*0.5+R96*0.5)*0.9,IF(Q97&lt;50%,(MAX(Q96:R96)*0.6+MIN(Q96:R96)*0.4)*0.9,IF(Q97&lt;70%,(MAX(Q96:R96)*0.65+MIN(Q96:R96)*0.35)*0.9,IF(Q97&lt;100%,(MAX(Q96:R96)*0.7+MIN(Q96:R96)*0.3)*0.9,0.7*MAX(Q96:R96)))))</f>
        <v>1855.8629032258063</v>
      </c>
      <c r="R98" s="286"/>
      <c r="S98" s="285">
        <f>IF(S97&lt;25%,(S96*0.5+T96*0.5)*0.9,IF(S97&lt;50%,(MAX(S96:T96)*0.6+MIN(S96:T96)*0.4)*0.9,IF(S97&lt;70%,(MAX(S96:T96)*0.65+MIN(S96:T96)*0.35)*0.9,IF(S97&lt;100%,(MAX(S96:T96)*0.7+MIN(S96:T96)*0.3)*0.9,0.7*MAX(S96:T96)))))</f>
        <v>1517.0866935483871</v>
      </c>
      <c r="T98" s="286"/>
      <c r="U98" s="285">
        <f>IF(U97&lt;25%,(U96*0.5+V96*0.5)*0.9,IF(U97&lt;50%,(MAX(U96:V96)*0.6+MIN(U96:V96)*0.4)*0.9,IF(U97&lt;70%,(MAX(U96:V96)*0.65+MIN(U96:V96)*0.35)*0.9,IF(U97&lt;100%,(MAX(U96:V96)*0.7+MIN(U96:V96)*0.3)*0.9,0.7*MAX(U96:V96)))))</f>
        <v>2879.0821179069767</v>
      </c>
      <c r="V98" s="286"/>
      <c r="W98" s="285">
        <f>IF(W97&lt;25%,(W96*0.5+X96*0.5)*0.9,IF(W97&lt;50%,(MAX(W96:X96)*0.6+MIN(W96:X96)*0.4)*0.9,IF(W97&lt;70%,(MAX(W96:X96)*0.65+MIN(W96:X96)*0.35)*0.9,IF(W97&lt;100%,(MAX(W96:X96)*0.7+MIN(W96:X96)*0.3)*0.9,0.7*MAX(W96:X96)))))</f>
        <v>1030.6176695194208</v>
      </c>
      <c r="X98" s="286"/>
      <c r="Y98" s="285">
        <f>IF(Y97&lt;25%,(Y96*0.5+Z96*0.5)*0.9,IF(Y97&lt;50%,(MAX(Y96:Z96)*0.6+MIN(Y96:Z96)*0.4)*0.9,IF(Y97&lt;70%,(MAX(Y96:Z96)*0.65+MIN(Y96:Z96)*0.35)*0.9,IF(Y97&lt;100%,(MAX(Y96:Z96)*0.7+MIN(Y96:Z96)*0.3)*0.9,0.7*MAX(Y96:Z96)))))</f>
        <v>2355.1754110842703</v>
      </c>
      <c r="Z98" s="286"/>
      <c r="AA98" s="285">
        <f>IF(AA97&lt;25%,(AA96*0.5+AB96*0.5)*0.9,IF(AA97&lt;50%,(MAX(AA96:AB96)*0.6+MIN(AA96:AB96)*0.4)*0.9,IF(AA97&lt;70%,(MAX(AA96:AB96)*0.65+MIN(AA96:AB96)*0.35)*0.9,IF(AA97&lt;100%,(MAX(AA96:AB96)*0.7+MIN(AA96:AB96)*0.3)*0.9,0.7*MAX(AA96:AB96)))))</f>
        <v>2941.0088803556414</v>
      </c>
      <c r="AB98" s="286"/>
      <c r="AC98" s="285">
        <f>IF(AC97&lt;25%,(AC96*0.5+AD96*0.5)*0.9,IF(AC97&lt;50%,(MAX(AC96:AD96)*0.6+MIN(AC96:AD96)*0.4)*0.9,IF(AC97&lt;70%,(MAX(AC96:AD96)*0.65+MIN(AC96:AD96)*0.35)*0.9,IF(AC97&lt;100%,(MAX(AC96:AD96)*0.7+MIN(AC96:AD96)*0.3)*0.9,0.7*MAX(AC96:AD96)))))</f>
        <v>3269.8947493513238</v>
      </c>
      <c r="AD98" s="286"/>
      <c r="AE98" s="292">
        <f>IF(AE97&lt;25%,(AE96*0.5+AF96*0.5)*0.9,IF(AE97&lt;50%,(MAX(AE96:AF96)*0.6+MIN(AE96:AF96)*0.4)*0.9,IF(AE97&lt;70%,(MAX(AE96:AF96)*0.65+MIN(AE96:AF96)*0.35)*0.9,IF(AE97&lt;100%,(MAX(AE96:AF96)*0.7+MIN(AE96:AF96)*0.3)*0.9,0.7*MAX(AE96:AF96)))))</f>
        <v>2476.8880349344981</v>
      </c>
      <c r="AF98" s="286"/>
    </row>
    <row r="99" spans="2:32" x14ac:dyDescent="0.25">
      <c r="B99" s="104" t="s">
        <v>280</v>
      </c>
      <c r="C99" s="287">
        <f>C98/(0.9*(0.9*($C$7/100))*($L$9*1000))</f>
        <v>3.6736144164193352</v>
      </c>
      <c r="D99" s="288"/>
      <c r="E99" s="287">
        <f>E98/(0.9*(0.9*($C$7/100))*($L$9*1000))</f>
        <v>3.9269539916069345</v>
      </c>
      <c r="F99" s="288"/>
      <c r="G99" s="287">
        <f>G98/(0.9*(0.9*($C$7/100))*($L$9*1000))</f>
        <v>3.7573422748567213</v>
      </c>
      <c r="H99" s="288"/>
      <c r="I99" s="287">
        <f>I98/(0.9*(0.9*($C$7/100))*($L$9*1000))</f>
        <v>5.3868264403161996</v>
      </c>
      <c r="J99" s="288"/>
      <c r="K99" s="287">
        <f>K98/(0.9*(0.9*($C$7/100))*($L$9*1000))</f>
        <v>3.811940453372785</v>
      </c>
      <c r="L99" s="288"/>
      <c r="M99" s="287">
        <f>M98/(0.9*(0.9*($C$7/100))*($L$9*1000))</f>
        <v>5.3868264403161996</v>
      </c>
      <c r="N99" s="288"/>
      <c r="O99" s="287">
        <f>O98/(0.9*(0.9*($C$7/100))*($L$9*1000))</f>
        <v>6.1280696192735542</v>
      </c>
      <c r="P99" s="288"/>
      <c r="Q99" s="287">
        <f>Q98/(0.9*(0.9*($C$7/100))*($L$9*1000))</f>
        <v>3.5688298589012075</v>
      </c>
      <c r="R99" s="288"/>
      <c r="S99" s="287">
        <f>S98/(0.9*(0.9*($C$7/100))*($L$9*1000))</f>
        <v>2.9173622044313428</v>
      </c>
      <c r="T99" s="288"/>
      <c r="U99" s="287">
        <f>U98/(0.9*(0.9*($C$7/100))*($L$9*1000))</f>
        <v>5.5364834389196114</v>
      </c>
      <c r="V99" s="288"/>
      <c r="W99" s="287">
        <f>W98/(0.9*(0.9*($C$7/100))*($L$9*1000))</f>
        <v>1.981880830582325</v>
      </c>
      <c r="X99" s="288"/>
      <c r="Y99" s="287">
        <f>Y98/(0.9*(0.9*($C$7/100))*($L$9*1000))</f>
        <v>4.5290092901893582</v>
      </c>
      <c r="Z99" s="288"/>
      <c r="AA99" s="287">
        <f>AA98/(0.9*(0.9*($C$7/100))*($L$9*1000))</f>
        <v>5.6555687864998285</v>
      </c>
      <c r="AB99" s="288"/>
      <c r="AC99" s="287">
        <f>AC98/(0.9*(0.9*($C$7/100))*($L$9*1000))</f>
        <v>6.2880172865492154</v>
      </c>
      <c r="AD99" s="288"/>
      <c r="AE99" s="293">
        <f>AE98/(0.9*(0.9*($C$7/100))*($L$9*1000))</f>
        <v>4.7630630262960993</v>
      </c>
      <c r="AF99" s="288"/>
    </row>
    <row r="100" spans="2:32" x14ac:dyDescent="0.25">
      <c r="B100" s="104" t="s">
        <v>98</v>
      </c>
      <c r="C100" s="281">
        <f>(C99*($L$9))/(0.85*$L$6*100)</f>
        <v>5.1814367119046821E-2</v>
      </c>
      <c r="D100" s="282"/>
      <c r="E100" s="281">
        <f>(E99*($L$9))/(0.85*$L$6*100)</f>
        <v>5.538758637033344E-2</v>
      </c>
      <c r="F100" s="282"/>
      <c r="G100" s="281">
        <f>(G99*($L$9))/(0.85*$L$6*100)</f>
        <v>5.29953037943212E-2</v>
      </c>
      <c r="H100" s="282"/>
      <c r="I100" s="281">
        <f>(I99*($L$9))/(0.85*$L$6*100)</f>
        <v>7.5978306688262762E-2</v>
      </c>
      <c r="J100" s="282"/>
      <c r="K100" s="281">
        <f>(K99*($L$9))/(0.85*$L$6*100)</f>
        <v>5.3765381909492573E-2</v>
      </c>
      <c r="L100" s="282"/>
      <c r="M100" s="281">
        <f>(M99*($L$9))/(0.85*$L$6*100)</f>
        <v>7.5978306688262762E-2</v>
      </c>
      <c r="N100" s="282"/>
      <c r="O100" s="281">
        <f>(O99*($L$9))/(0.85*$L$6*100)</f>
        <v>8.6433145396245886E-2</v>
      </c>
      <c r="P100" s="282"/>
      <c r="Q100" s="281">
        <f>(Q99*($L$9))/(0.85*$L$6*100)</f>
        <v>5.0336436961928389E-2</v>
      </c>
      <c r="R100" s="282"/>
      <c r="S100" s="281">
        <f>(S99*($L$9))/(0.85*$L$6*100)</f>
        <v>4.11478340252633E-2</v>
      </c>
      <c r="T100" s="282"/>
      <c r="U100" s="281">
        <f>(U99*($L$9))/(0.85*$L$6*100)</f>
        <v>7.8089138634292107E-2</v>
      </c>
      <c r="V100" s="282"/>
      <c r="W100" s="281">
        <f>(W99*($L$9))/(0.85*$L$6*100)</f>
        <v>2.7953369434478008E-2</v>
      </c>
      <c r="X100" s="282"/>
      <c r="Y100" s="281">
        <f>(Y99*($L$9))/(0.85*$L$6*100)</f>
        <v>6.3879254447225101E-2</v>
      </c>
      <c r="Z100" s="282"/>
      <c r="AA100" s="281">
        <f>(AA99*($L$9))/(0.85*$L$6*100)</f>
        <v>7.9768773788826061E-2</v>
      </c>
      <c r="AB100" s="282"/>
      <c r="AC100" s="281">
        <f>(AC99*($L$9))/(0.85*$L$6*100)</f>
        <v>8.8689121721636649E-2</v>
      </c>
      <c r="AD100" s="282"/>
      <c r="AE100" s="294">
        <f>(AE99*($L$9))/(0.85*$L$6*100)</f>
        <v>6.7180457250114706E-2</v>
      </c>
      <c r="AF100" s="282"/>
    </row>
    <row r="101" spans="2:32" ht="15.75" thickBot="1" x14ac:dyDescent="0.3">
      <c r="B101" s="104" t="s">
        <v>280</v>
      </c>
      <c r="C101" s="289">
        <f>ROUNDUP(C98/(0.9*(($C$7-C100/2)/100)*($L$9*1000)),2)</f>
        <v>3.32</v>
      </c>
      <c r="D101" s="290"/>
      <c r="E101" s="289">
        <f>ROUNDUP(E98/(0.9*(($C$7-E100/2)/100)*($L$9*1000)),2)</f>
        <v>3.55</v>
      </c>
      <c r="F101" s="290"/>
      <c r="G101" s="289">
        <f>ROUNDUP(G98/(0.9*(($C$7-G100/2)/100)*($L$9*1000)),2)</f>
        <v>3.3899999999999997</v>
      </c>
      <c r="H101" s="290"/>
      <c r="I101" s="289">
        <f>ROUNDUP(I98/(0.9*(($C$7-I100/2)/100)*($L$9*1000)),2)</f>
        <v>4.87</v>
      </c>
      <c r="J101" s="290"/>
      <c r="K101" s="289">
        <f>ROUNDUP(K98/(0.9*(($C$7-K100/2)/100)*($L$9*1000)),2)</f>
        <v>3.44</v>
      </c>
      <c r="L101" s="290"/>
      <c r="M101" s="289">
        <f>ROUNDUP(M98/(0.9*(($C$7-M100/2)/100)*($L$9*1000)),2)</f>
        <v>4.87</v>
      </c>
      <c r="N101" s="290"/>
      <c r="O101" s="289">
        <f>ROUNDUP(O98/(0.9*(($C$7-O100/2)/100)*($L$9*1000)),2)</f>
        <v>5.54</v>
      </c>
      <c r="P101" s="290"/>
      <c r="Q101" s="289">
        <f>ROUNDUP(Q98/(0.9*(($C$7-Q100/2)/100)*($L$9*1000)),2)</f>
        <v>3.2199999999999998</v>
      </c>
      <c r="R101" s="290"/>
      <c r="S101" s="289">
        <f>ROUNDUP(S98/(0.9*(($C$7-S100/2)/100)*($L$9*1000)),2)</f>
        <v>2.63</v>
      </c>
      <c r="T101" s="290"/>
      <c r="U101" s="289">
        <f>ROUNDUP(U98/(0.9*(($C$7-U100/2)/100)*($L$9*1000)),2)</f>
        <v>5</v>
      </c>
      <c r="V101" s="290"/>
      <c r="W101" s="289">
        <f>ROUNDUP(W98/(0.9*(($C$7-W100/2)/100)*($L$9*1000)),2)</f>
        <v>1.79</v>
      </c>
      <c r="X101" s="290"/>
      <c r="Y101" s="289">
        <f>ROUNDUP(Y98/(0.9*(($C$7-Y100/2)/100)*($L$9*1000)),2)</f>
        <v>4.09</v>
      </c>
      <c r="Z101" s="290"/>
      <c r="AA101" s="289">
        <f>ROUNDUP(AA98/(0.9*(($C$7-AA100/2)/100)*($L$9*1000)),2)</f>
        <v>5.1099999999999994</v>
      </c>
      <c r="AB101" s="290"/>
      <c r="AC101" s="289">
        <f>ROUNDUP(AC98/(0.9*(($C$7-AC100/2)/100)*($L$9*1000)),2)</f>
        <v>5.68</v>
      </c>
      <c r="AD101" s="290"/>
      <c r="AE101" s="295">
        <f>ROUNDUP(AE98/(0.9*(($C$7-AE100/2)/100)*($L$9*1000)),2)</f>
        <v>4.3</v>
      </c>
      <c r="AF101" s="296"/>
    </row>
    <row r="102" spans="2:32" ht="16.5" thickBot="1" x14ac:dyDescent="0.3">
      <c r="B102" s="61" t="s">
        <v>113</v>
      </c>
      <c r="C102" s="279" t="str">
        <f>IF(C101&gt;$C$12,"$\phi"&amp;IF(VLOOKUP(VLOOKUP(C101,tablas!$S$3:$U$66,2,TRUE)&amp;VLOOKUP(C101,tablas!$S$3:$U$66,3,TRUE),tablas!$R$3:$S$66,2,FALSE)&lt;C101,VLOOKUP(C101+0.1,tablas!$S$3:$U$66,2,TRUE),VLOOKUP(C101,tablas!$S$3:$U$66,2,TRUE))&amp;"@"&amp;IF(VLOOKUP(VLOOKUP(C101,tablas!$S$3:$U$66,2,TRUE)&amp;VLOOKUP(C101,tablas!$S$3:$U$66,3,TRUE),tablas!$R$3:$S$66,2,FALSE)&lt;C101,VLOOKUP(C101+0.1,tablas!$S$3:$U$66,3,TRUE)&amp;"$",VLOOKUP(C101,tablas!$S$3:$U$66,3,TRUE)&amp;"$"),$C$13)</f>
        <v>$\phi10@23$</v>
      </c>
      <c r="D102" s="280"/>
      <c r="E102" s="279" t="str">
        <f>IF(E101&gt;$C$12,"$\phi"&amp;IF(VLOOKUP(VLOOKUP(E101,tablas!$S$3:$U$66,2,TRUE)&amp;VLOOKUP(E101,tablas!$S$3:$U$66,3,TRUE),tablas!$R$3:$S$66,2,FALSE)&lt;E101,VLOOKUP(E101+0.1,tablas!$S$3:$U$66,2,TRUE),VLOOKUP(E101,tablas!$S$3:$U$66,2,TRUE))&amp;"@"&amp;IF(VLOOKUP(VLOOKUP(E101,tablas!$S$3:$U$66,2,TRUE)&amp;VLOOKUP(E101,tablas!$S$3:$U$66,3,TRUE),tablas!$R$3:$S$66,2,FALSE)&lt;E101,VLOOKUP(E101+0.1,tablas!$S$3:$U$66,3,TRUE)&amp;"$",VLOOKUP(E101,tablas!$S$3:$U$66,3,TRUE)&amp;"$"),$C$13)</f>
        <v>$\phi8@14$</v>
      </c>
      <c r="F102" s="280"/>
      <c r="G102" s="279" t="str">
        <f>IF(G101&gt;$C$12,"$\phi"&amp;IF(VLOOKUP(VLOOKUP(G101,tablas!$S$3:$U$66,2,TRUE)&amp;VLOOKUP(G101,tablas!$S$3:$U$66,3,TRUE),tablas!$R$3:$S$66,2,FALSE)&lt;G101,VLOOKUP(G101+0.1,tablas!$S$3:$U$66,2,TRUE),VLOOKUP(G101,tablas!$S$3:$U$66,2,TRUE))&amp;"@"&amp;IF(VLOOKUP(VLOOKUP(G101,tablas!$S$3:$U$66,2,TRUE)&amp;VLOOKUP(G101,tablas!$S$3:$U$66,3,TRUE),tablas!$R$3:$S$66,2,FALSE)&lt;G101,VLOOKUP(G101+0.1,tablas!$S$3:$U$66,3,TRUE)&amp;"$",VLOOKUP(G101,tablas!$S$3:$U$66,3,TRUE)&amp;"$"),$C$13)</f>
        <v>$\phi10@23$</v>
      </c>
      <c r="H102" s="280"/>
      <c r="I102" s="279" t="str">
        <f>IF(I101&gt;$C$12,"$\phi"&amp;IF(VLOOKUP(VLOOKUP(I101,tablas!$S$3:$U$66,2,TRUE)&amp;VLOOKUP(I101,tablas!$S$3:$U$66,3,TRUE),tablas!$R$3:$S$66,2,FALSE)&lt;I101,VLOOKUP(I101+0.1,tablas!$S$3:$U$66,2,TRUE),VLOOKUP(I101,tablas!$S$3:$U$66,2,TRUE))&amp;"@"&amp;IF(VLOOKUP(VLOOKUP(I101,tablas!$S$3:$U$66,2,TRUE)&amp;VLOOKUP(I101,tablas!$S$3:$U$66,3,TRUE),tablas!$R$3:$S$66,2,FALSE)&lt;I101,VLOOKUP(I101+0.1,tablas!$S$3:$U$66,3,TRUE)&amp;"$",VLOOKUP(I101,tablas!$S$3:$U$66,3,TRUE)&amp;"$"),$C$13)</f>
        <v>$\phi12@23$</v>
      </c>
      <c r="J102" s="280"/>
      <c r="K102" s="279" t="str">
        <f>IF(K101&gt;$C$12,"$\phi"&amp;IF(VLOOKUP(VLOOKUP(K101,tablas!$S$3:$U$66,2,TRUE)&amp;VLOOKUP(K101,tablas!$S$3:$U$66,3,TRUE),tablas!$R$3:$S$66,2,FALSE)&lt;K101,VLOOKUP(K101+0.1,tablas!$S$3:$U$66,2,TRUE),VLOOKUP(K101,tablas!$S$3:$U$66,2,TRUE))&amp;"@"&amp;IF(VLOOKUP(VLOOKUP(K101,tablas!$S$3:$U$66,2,TRUE)&amp;VLOOKUP(K101,tablas!$S$3:$U$66,3,TRUE),tablas!$R$3:$S$66,2,FALSE)&lt;K101,VLOOKUP(K101+0.1,tablas!$S$3:$U$66,3,TRUE)&amp;"$",VLOOKUP(K101,tablas!$S$3:$U$66,3,TRUE)&amp;"$"),$C$13)</f>
        <v>$\phi10@23$</v>
      </c>
      <c r="L102" s="280"/>
      <c r="M102" s="279" t="str">
        <f>IF(M101&gt;$C$12,"$\phi"&amp;IF(VLOOKUP(VLOOKUP(M101,tablas!$S$3:$U$66,2,TRUE)&amp;VLOOKUP(M101,tablas!$S$3:$U$66,3,TRUE),tablas!$R$3:$S$66,2,FALSE)&lt;M101,VLOOKUP(M101+0.1,tablas!$S$3:$U$66,2,TRUE),VLOOKUP(M101,tablas!$S$3:$U$66,2,TRUE))&amp;"@"&amp;IF(VLOOKUP(VLOOKUP(M101,tablas!$S$3:$U$66,2,TRUE)&amp;VLOOKUP(M101,tablas!$S$3:$U$66,3,TRUE),tablas!$R$3:$S$66,2,FALSE)&lt;M101,VLOOKUP(M101+0.1,tablas!$S$3:$U$66,3,TRUE)&amp;"$",VLOOKUP(M101,tablas!$S$3:$U$66,3,TRUE)&amp;"$"),$C$13)</f>
        <v>$\phi12@23$</v>
      </c>
      <c r="N102" s="280"/>
      <c r="O102" s="279" t="str">
        <f>IF(O101&gt;$C$12,"$\phi"&amp;IF(VLOOKUP(VLOOKUP(O101,tablas!$S$3:$U$66,2,TRUE)&amp;VLOOKUP(O101,tablas!$S$3:$U$66,3,TRUE),tablas!$R$3:$S$66,2,FALSE)&lt;O101,VLOOKUP(O101+0.1,tablas!$S$3:$U$66,2,TRUE),VLOOKUP(O101,tablas!$S$3:$U$66,2,TRUE))&amp;"@"&amp;IF(VLOOKUP(VLOOKUP(O101,tablas!$S$3:$U$66,2,TRUE)&amp;VLOOKUP(O101,tablas!$S$3:$U$66,3,TRUE),tablas!$R$3:$S$66,2,FALSE)&lt;O101,VLOOKUP(O101+0.1,tablas!$S$3:$U$66,3,TRUE)&amp;"$",VLOOKUP(O101,tablas!$S$3:$U$66,3,TRUE)&amp;"$"),$C$13)</f>
        <v>$\phi10@14$</v>
      </c>
      <c r="P102" s="280"/>
      <c r="Q102" s="279" t="str">
        <f>IF(Q101&gt;$C$12,"$\phi"&amp;IF(VLOOKUP(VLOOKUP(Q101,tablas!$S$3:$U$66,2,TRUE)&amp;VLOOKUP(Q101,tablas!$S$3:$U$66,3,TRUE),tablas!$R$3:$S$66,2,FALSE)&lt;Q101,VLOOKUP(Q101+0.1,tablas!$S$3:$U$66,2,TRUE),VLOOKUP(Q101,tablas!$S$3:$U$66,2,TRUE))&amp;"@"&amp;IF(VLOOKUP(VLOOKUP(Q101,tablas!$S$3:$U$66,2,TRUE)&amp;VLOOKUP(Q101,tablas!$S$3:$U$66,3,TRUE),tablas!$R$3:$S$66,2,FALSE)&lt;Q101,VLOOKUP(Q101+0.1,tablas!$S$3:$U$66,3,TRUE)&amp;"$",VLOOKUP(Q101,tablas!$S$3:$U$66,3,TRUE)&amp;"$"),$C$13)</f>
        <v>$\phi10@24$</v>
      </c>
      <c r="R102" s="280"/>
      <c r="S102" s="279" t="str">
        <f>IF(S101&gt;$C$12,"$\phi"&amp;IF(VLOOKUP(VLOOKUP(S101,tablas!$S$3:$U$66,2,TRUE)&amp;VLOOKUP(S101,tablas!$S$3:$U$66,3,TRUE),tablas!$R$3:$S$66,2,FALSE)&lt;S101,VLOOKUP(S101+0.1,tablas!$S$3:$U$66,2,TRUE),VLOOKUP(S101,tablas!$S$3:$U$66,2,TRUE))&amp;"@"&amp;IF(VLOOKUP(VLOOKUP(S101,tablas!$S$3:$U$66,2,TRUE)&amp;VLOOKUP(S101,tablas!$S$3:$U$66,3,TRUE),tablas!$R$3:$S$66,2,FALSE)&lt;S101,VLOOKUP(S101+0.1,tablas!$S$3:$U$66,3,TRUE)&amp;"$",VLOOKUP(S101,tablas!$S$3:$U$66,3,TRUE)&amp;"$"),$C$13)</f>
        <v>$\phi8@16$</v>
      </c>
      <c r="T102" s="280"/>
      <c r="U102" s="279" t="str">
        <f>IF(U101&gt;$C$12,"$\phi"&amp;IF(VLOOKUP(VLOOKUP(U101,tablas!$S$3:$U$66,2,TRUE)&amp;VLOOKUP(U101,tablas!$S$3:$U$66,3,TRUE),tablas!$R$3:$S$66,2,FALSE)&lt;U101,VLOOKUP(U101+0.1,tablas!$S$3:$U$66,2,TRUE),VLOOKUP(U101,tablas!$S$3:$U$66,2,TRUE))&amp;"@"&amp;IF(VLOOKUP(VLOOKUP(U101,tablas!$S$3:$U$66,2,TRUE)&amp;VLOOKUP(U101,tablas!$S$3:$U$66,3,TRUE),tablas!$R$3:$S$66,2,FALSE)&lt;U101,VLOOKUP(U101+0.1,tablas!$S$3:$U$66,3,TRUE)&amp;"$",VLOOKUP(U101,tablas!$S$3:$U$66,3,TRUE)&amp;"$"),$C$13)</f>
        <v>$\phi8@10$</v>
      </c>
      <c r="V102" s="280"/>
      <c r="W102" s="279" t="str">
        <f>IF(W101&gt;$C$12,"$\phi"&amp;IF(VLOOKUP(VLOOKUP(W101,tablas!$S$3:$U$66,2,TRUE)&amp;VLOOKUP(W101,tablas!$S$3:$U$66,3,TRUE),tablas!$R$3:$S$66,2,FALSE)&lt;W101,VLOOKUP(W101+0.1,tablas!$S$3:$U$66,2,TRUE),VLOOKUP(W101,tablas!$S$3:$U$66,2,TRUE))&amp;"@"&amp;IF(VLOOKUP(VLOOKUP(W101,tablas!$S$3:$U$66,2,TRUE)&amp;VLOOKUP(W101,tablas!$S$3:$U$66,3,TRUE),tablas!$R$3:$S$66,2,FALSE)&lt;W101,VLOOKUP(W101+0.1,tablas!$S$3:$U$66,3,TRUE)&amp;"$",VLOOKUP(W101,tablas!$S$3:$U$66,3,TRUE)&amp;"$"),$C$13)</f>
        <v>$\phi8@16$</v>
      </c>
      <c r="X102" s="280"/>
      <c r="Y102" s="279" t="str">
        <f>IF(Y101&gt;$C$12,"$\phi"&amp;IF(VLOOKUP(VLOOKUP(Y101,tablas!$S$3:$U$66,2,TRUE)&amp;VLOOKUP(Y101,tablas!$S$3:$U$66,3,TRUE),tablas!$R$3:$S$66,2,FALSE)&lt;Y101,VLOOKUP(Y101+0.1,tablas!$S$3:$U$66,2,TRUE),VLOOKUP(Y101,tablas!$S$3:$U$66,2,TRUE))&amp;"@"&amp;IF(VLOOKUP(VLOOKUP(Y101,tablas!$S$3:$U$66,2,TRUE)&amp;VLOOKUP(Y101,tablas!$S$3:$U$66,3,TRUE),tablas!$R$3:$S$66,2,FALSE)&lt;Y101,VLOOKUP(Y101+0.1,tablas!$S$3:$U$66,3,TRUE)&amp;"$",VLOOKUP(Y101,tablas!$S$3:$U$66,3,TRUE)&amp;"$"),$C$13)</f>
        <v>$\phi10@19$</v>
      </c>
      <c r="Z102" s="280"/>
      <c r="AA102" s="279" t="str">
        <f>IF(AA101&gt;$C$12,"$\phi"&amp;IF(VLOOKUP(VLOOKUP(AA101,tablas!$S$3:$U$66,2,TRUE)&amp;VLOOKUP(AA101,tablas!$S$3:$U$66,3,TRUE),tablas!$R$3:$S$66,2,FALSE)&lt;AA101,VLOOKUP(AA101+0.1,tablas!$S$3:$U$66,2,TRUE),VLOOKUP(AA101,tablas!$S$3:$U$66,2,TRUE))&amp;"@"&amp;IF(VLOOKUP(VLOOKUP(AA101,tablas!$S$3:$U$66,2,TRUE)&amp;VLOOKUP(AA101,tablas!$S$3:$U$66,3,TRUE),tablas!$R$3:$S$66,2,FALSE)&lt;AA101,VLOOKUP(AA101+0.1,tablas!$S$3:$U$66,3,TRUE)&amp;"$",VLOOKUP(AA101,tablas!$S$3:$U$66,3,TRUE)&amp;"$"),$C$13)</f>
        <v>$\phi12@22$</v>
      </c>
      <c r="AB102" s="280"/>
      <c r="AC102" s="279" t="str">
        <f>IF(AC101&gt;$C$12,"$\phi"&amp;IF(VLOOKUP(VLOOKUP(AC101,tablas!$S$3:$U$66,2,TRUE)&amp;VLOOKUP(AC101,tablas!$S$3:$U$66,3,TRUE),tablas!$R$3:$S$66,2,FALSE)&lt;AC101,VLOOKUP(AC101+0.1,tablas!$S$3:$U$66,2,TRUE),VLOOKUP(AC101,tablas!$S$3:$U$66,2,TRUE))&amp;"@"&amp;IF(VLOOKUP(VLOOKUP(AC101,tablas!$S$3:$U$66,2,TRUE)&amp;VLOOKUP(AC101,tablas!$S$3:$U$66,3,TRUE),tablas!$R$3:$S$66,2,FALSE)&lt;AC101,VLOOKUP(AC101+0.1,tablas!$S$3:$U$66,3,TRUE)&amp;"$",VLOOKUP(AC101,tablas!$S$3:$U$66,3,TRUE)&amp;"$"),$C$13)</f>
        <v>$\phi12@20$</v>
      </c>
      <c r="AD102" s="280"/>
      <c r="AE102" s="279" t="str">
        <f>IF(AE101&gt;$C$12,"$\phi"&amp;IF(VLOOKUP(VLOOKUP(AE101,tablas!$S$3:$U$66,2,TRUE)&amp;VLOOKUP(AE101,tablas!$S$3:$U$66,3,TRUE),tablas!$R$3:$S$66,2,FALSE)&lt;AE101,VLOOKUP(AE101+0.1,tablas!$S$3:$U$66,2,TRUE),VLOOKUP(AE101,tablas!$S$3:$U$66,2,TRUE))&amp;"@"&amp;IF(VLOOKUP(VLOOKUP(AE101,tablas!$S$3:$U$66,2,TRUE)&amp;VLOOKUP(AE101,tablas!$S$3:$U$66,3,TRUE),tablas!$R$3:$S$66,2,FALSE)&lt;AE101,VLOOKUP(AE101+0.1,tablas!$S$3:$U$66,3,TRUE)&amp;"$",VLOOKUP(AE101,tablas!$S$3:$U$66,3,TRUE)&amp;"$"),$C$13)</f>
        <v>$\phi10@18$</v>
      </c>
      <c r="AF102" s="280"/>
    </row>
    <row r="103" spans="2:32" ht="15.75" thickBot="1" x14ac:dyDescent="0.3"/>
    <row r="104" spans="2:32" ht="15.75" thickBot="1" x14ac:dyDescent="0.3">
      <c r="B104" s="73" t="s">
        <v>43</v>
      </c>
      <c r="C104" s="74" t="s">
        <v>56</v>
      </c>
      <c r="D104" s="75" t="s">
        <v>61</v>
      </c>
      <c r="E104" s="74" t="s">
        <v>57</v>
      </c>
      <c r="F104" s="75" t="s">
        <v>58</v>
      </c>
      <c r="G104" s="74" t="s">
        <v>57</v>
      </c>
      <c r="H104" s="75" t="s">
        <v>62</v>
      </c>
      <c r="I104" s="74" t="s">
        <v>57</v>
      </c>
      <c r="J104" s="75" t="s">
        <v>63</v>
      </c>
      <c r="K104" s="74" t="s">
        <v>58</v>
      </c>
      <c r="L104" s="75" t="s">
        <v>59</v>
      </c>
      <c r="M104" s="74" t="s">
        <v>58</v>
      </c>
      <c r="N104" s="75" t="s">
        <v>63</v>
      </c>
      <c r="O104" s="74" t="s">
        <v>58</v>
      </c>
      <c r="P104" s="75" t="s">
        <v>64</v>
      </c>
      <c r="Q104" s="74" t="s">
        <v>59</v>
      </c>
      <c r="R104" s="75" t="s">
        <v>65</v>
      </c>
      <c r="S104" s="74" t="s">
        <v>60</v>
      </c>
      <c r="T104" s="75" t="s">
        <v>66</v>
      </c>
      <c r="U104" s="74" t="s">
        <v>60</v>
      </c>
      <c r="V104" s="75" t="s">
        <v>61</v>
      </c>
      <c r="W104" s="74" t="s">
        <v>60</v>
      </c>
      <c r="X104" s="75" t="s">
        <v>67</v>
      </c>
      <c r="Y104" s="74" t="s">
        <v>61</v>
      </c>
      <c r="Z104" s="75" t="s">
        <v>62</v>
      </c>
      <c r="AA104" s="74" t="s">
        <v>61</v>
      </c>
      <c r="AB104" s="75" t="s">
        <v>67</v>
      </c>
      <c r="AC104" s="74" t="s">
        <v>62</v>
      </c>
      <c r="AD104" s="75" t="s">
        <v>63</v>
      </c>
      <c r="AE104" s="74" t="s">
        <v>62</v>
      </c>
      <c r="AF104" s="75" t="s">
        <v>67</v>
      </c>
    </row>
    <row r="105" spans="2:32" ht="15.75" hidden="1" thickBot="1" x14ac:dyDescent="0.3">
      <c r="B105" s="141"/>
      <c r="C105" s="143" t="str">
        <f>C104&amp;"-"&amp;D104</f>
        <v>0108-0113</v>
      </c>
      <c r="D105" s="143"/>
      <c r="E105" s="143" t="str">
        <f>E104&amp;"-"&amp;F104</f>
        <v>0109-0110</v>
      </c>
      <c r="F105" s="142"/>
      <c r="G105" s="143" t="str">
        <f>G104&amp;"-"&amp;H104</f>
        <v>0109-0114</v>
      </c>
      <c r="H105" s="142"/>
      <c r="I105" s="143" t="str">
        <f>I104&amp;"-"&amp;J104</f>
        <v>0109-0115</v>
      </c>
      <c r="J105" s="142"/>
      <c r="K105" s="143" t="str">
        <f>K104&amp;"-"&amp;L104</f>
        <v>0110-0111</v>
      </c>
      <c r="L105" s="142"/>
      <c r="M105" s="143" t="str">
        <f>M104&amp;"-"&amp;N104</f>
        <v>0110-0115</v>
      </c>
      <c r="N105" s="142"/>
      <c r="O105" s="143" t="str">
        <f>O104&amp;"-"&amp;P104</f>
        <v>0110-0116</v>
      </c>
      <c r="P105" s="142"/>
      <c r="Q105" s="143" t="str">
        <f>Q104&amp;"-"&amp;R104</f>
        <v>0111-0117</v>
      </c>
      <c r="R105" s="142"/>
      <c r="S105" s="143" t="str">
        <f>S104&amp;"-"&amp;T104</f>
        <v>0112-0118</v>
      </c>
      <c r="T105" s="142"/>
      <c r="U105" s="143" t="str">
        <f>U104&amp;"-"&amp;V104</f>
        <v>0112-0113</v>
      </c>
      <c r="V105" s="142"/>
      <c r="W105" s="143" t="str">
        <f>W104&amp;"-"&amp;X104</f>
        <v>0112-0119</v>
      </c>
      <c r="X105" s="142"/>
      <c r="Y105" s="143" t="str">
        <f>Y104&amp;"-"&amp;Z104</f>
        <v>0113-0114</v>
      </c>
      <c r="Z105" s="142"/>
      <c r="AA105" s="143" t="str">
        <f>AA104&amp;"-"&amp;AB104</f>
        <v>0113-0119</v>
      </c>
      <c r="AB105" s="142"/>
      <c r="AC105" s="143" t="str">
        <f>AC104&amp;"-"&amp;AD104</f>
        <v>0114-0115</v>
      </c>
      <c r="AD105" s="142"/>
      <c r="AE105" s="143" t="str">
        <f>AE104&amp;"-"&amp;AF104</f>
        <v>0114-0119</v>
      </c>
      <c r="AF105" s="142"/>
    </row>
    <row r="106" spans="2:32" x14ac:dyDescent="0.25">
      <c r="B106" s="102" t="s">
        <v>114</v>
      </c>
      <c r="C106" s="99" t="s">
        <v>108</v>
      </c>
      <c r="D106" s="100" t="s">
        <v>108</v>
      </c>
      <c r="E106" s="99" t="s">
        <v>109</v>
      </c>
      <c r="F106" s="100" t="s">
        <v>109</v>
      </c>
      <c r="G106" s="99" t="s">
        <v>108</v>
      </c>
      <c r="H106" s="100" t="s">
        <v>108</v>
      </c>
      <c r="I106" s="99" t="s">
        <v>108</v>
      </c>
      <c r="J106" s="100" t="s">
        <v>108</v>
      </c>
      <c r="K106" s="99" t="s">
        <v>109</v>
      </c>
      <c r="L106" s="100" t="s">
        <v>108</v>
      </c>
      <c r="M106" s="99" t="s">
        <v>108</v>
      </c>
      <c r="N106" s="100" t="s">
        <v>108</v>
      </c>
      <c r="O106" s="99" t="s">
        <v>108</v>
      </c>
      <c r="P106" s="100" t="s">
        <v>109</v>
      </c>
      <c r="Q106" s="99" t="s">
        <v>109</v>
      </c>
      <c r="R106" s="100" t="s">
        <v>109</v>
      </c>
      <c r="S106" s="99" t="s">
        <v>108</v>
      </c>
      <c r="T106" s="100" t="s">
        <v>108</v>
      </c>
      <c r="U106" s="99" t="s">
        <v>109</v>
      </c>
      <c r="V106" s="100" t="s">
        <v>109</v>
      </c>
      <c r="W106" s="99" t="s">
        <v>109</v>
      </c>
      <c r="X106" s="100" t="s">
        <v>109</v>
      </c>
      <c r="Y106" s="99" t="s">
        <v>109</v>
      </c>
      <c r="Z106" s="100" t="s">
        <v>109</v>
      </c>
      <c r="AA106" s="99" t="s">
        <v>108</v>
      </c>
      <c r="AB106" s="100" t="s">
        <v>108</v>
      </c>
      <c r="AC106" s="99" t="s">
        <v>109</v>
      </c>
      <c r="AD106" s="100" t="s">
        <v>109</v>
      </c>
      <c r="AE106" s="99" t="s">
        <v>108</v>
      </c>
      <c r="AF106" s="100" t="s">
        <v>108</v>
      </c>
    </row>
    <row r="107" spans="2:32" x14ac:dyDescent="0.25">
      <c r="B107" s="103" t="s">
        <v>110</v>
      </c>
      <c r="C107" s="101">
        <f t="shared" ref="C107:AF107" si="52">HLOOKUP(C104,$B$46:$AE$90,IF(C106="x",36,41),FALSE)</f>
        <v>3352.2893617021282</v>
      </c>
      <c r="D107" s="85">
        <f t="shared" si="52"/>
        <v>1966.8510638297873</v>
      </c>
      <c r="E107" s="101">
        <f t="shared" si="52"/>
        <v>2752.0978165938868</v>
      </c>
      <c r="F107" s="85">
        <f t="shared" si="52"/>
        <v>2771.0130285714285</v>
      </c>
      <c r="G107" s="101">
        <f t="shared" si="52"/>
        <v>3352.2893617021282</v>
      </c>
      <c r="H107" s="85">
        <f t="shared" si="52"/>
        <v>2188.4680851063831</v>
      </c>
      <c r="I107" s="101">
        <f t="shared" si="52"/>
        <v>3352.2893617021282</v>
      </c>
      <c r="J107" s="85">
        <f t="shared" si="52"/>
        <v>4425.1175609756101</v>
      </c>
      <c r="K107" s="101">
        <f t="shared" si="52"/>
        <v>2771.0130285714285</v>
      </c>
      <c r="L107" s="85">
        <f t="shared" si="52"/>
        <v>1537.1473170731708</v>
      </c>
      <c r="M107" s="101">
        <f t="shared" si="52"/>
        <v>4041.0606666666667</v>
      </c>
      <c r="N107" s="85">
        <f t="shared" si="52"/>
        <v>4425.1175609756101</v>
      </c>
      <c r="O107" s="101">
        <f t="shared" si="52"/>
        <v>4041.0606666666667</v>
      </c>
      <c r="P107" s="85">
        <f t="shared" si="52"/>
        <v>1787.8828571428573</v>
      </c>
      <c r="Q107" s="101">
        <f t="shared" si="52"/>
        <v>1129.4451612903226</v>
      </c>
      <c r="R107" s="85">
        <f t="shared" si="52"/>
        <v>1170.1028571428574</v>
      </c>
      <c r="S107" s="101">
        <f t="shared" si="52"/>
        <v>3914.1434146341467</v>
      </c>
      <c r="T107" s="85">
        <f t="shared" si="52"/>
        <v>5624.1974634146345</v>
      </c>
      <c r="U107" s="101">
        <f t="shared" si="52"/>
        <v>2875.983512544803</v>
      </c>
      <c r="V107" s="85">
        <f t="shared" si="52"/>
        <v>1614.7074235807863</v>
      </c>
      <c r="W107" s="101">
        <f t="shared" si="52"/>
        <v>2875.983512544803</v>
      </c>
      <c r="X107" s="85">
        <f t="shared" si="52"/>
        <v>159.04</v>
      </c>
      <c r="Y107" s="101">
        <f t="shared" si="52"/>
        <v>1614.7074235807863</v>
      </c>
      <c r="Z107" s="85">
        <f t="shared" si="52"/>
        <v>1796.6462882096073</v>
      </c>
      <c r="AA107" s="101">
        <f t="shared" si="52"/>
        <v>1966.8510638297873</v>
      </c>
      <c r="AB107" s="85">
        <f t="shared" si="52"/>
        <v>231.93333333333331</v>
      </c>
      <c r="AC107" s="101">
        <f t="shared" si="52"/>
        <v>1796.6462882096073</v>
      </c>
      <c r="AD107" s="85">
        <f t="shared" si="52"/>
        <v>3251.4304659498212</v>
      </c>
      <c r="AE107" s="101">
        <f t="shared" si="52"/>
        <v>2188.4680851063831</v>
      </c>
      <c r="AF107" s="85">
        <f t="shared" si="52"/>
        <v>231.93333333333331</v>
      </c>
    </row>
    <row r="108" spans="2:32" x14ac:dyDescent="0.25">
      <c r="B108" s="103" t="s">
        <v>111</v>
      </c>
      <c r="C108" s="283">
        <f>(MAX(C107:D107)-MIN(C107:D107))/(MAX(C107:D107))</f>
        <v>0.41328123809959033</v>
      </c>
      <c r="D108" s="284"/>
      <c r="E108" s="283">
        <f>(MAX(E107:F107)-MIN(E107:F107))/(MAX(E107:F107))</f>
        <v>6.8260999795057989E-3</v>
      </c>
      <c r="F108" s="284"/>
      <c r="G108" s="283">
        <f>(MAX(G107:H107)-MIN(G107:H107))/(MAX(G107:H107))</f>
        <v>0.34717208182912163</v>
      </c>
      <c r="H108" s="284"/>
      <c r="I108" s="283">
        <f>(MAX(I107:J107)-MIN(I107:J107))/(MAX(I107:J107))</f>
        <v>0.24244060965398498</v>
      </c>
      <c r="J108" s="284"/>
      <c r="K108" s="283">
        <f>(MAX(K107:L107)-MIN(K107:L107))/(MAX(K107:L107))</f>
        <v>0.44527604120806547</v>
      </c>
      <c r="L108" s="284"/>
      <c r="M108" s="283">
        <f>(MAX(M107:N107)-MIN(M107:N107))/(MAX(M107:N107))</f>
        <v>8.6790212693077004E-2</v>
      </c>
      <c r="N108" s="284"/>
      <c r="O108" s="283">
        <f>(MAX(O107:P107)-MIN(O107:P107))/(MAX(O107:P107))</f>
        <v>0.55757089422326822</v>
      </c>
      <c r="P108" s="284"/>
      <c r="Q108" s="283">
        <f>(MAX(Q107:R107)-MIN(Q107:R107))/(MAX(Q107:R107))</f>
        <v>3.47471127041021E-2</v>
      </c>
      <c r="R108" s="284"/>
      <c r="S108" s="283">
        <f>(MAX(S107:T107)-MIN(S107:T107))/(MAX(S107:T107))</f>
        <v>0.30405298887608012</v>
      </c>
      <c r="T108" s="284"/>
      <c r="U108" s="283">
        <f>(MAX(U107:V107)-MIN(U107:V107))/(MAX(U107:V107))</f>
        <v>0.43855470083970732</v>
      </c>
      <c r="V108" s="284"/>
      <c r="W108" s="283">
        <f>(MAX(W107:X107)-MIN(W107:X107))/(MAX(W107:X107))</f>
        <v>0.94470065655582491</v>
      </c>
      <c r="X108" s="284"/>
      <c r="Y108" s="283">
        <f>(MAX(Y107:Z107)-MIN(Y107:Z107))/(MAX(Y107:Z107))</f>
        <v>0.10126582278481011</v>
      </c>
      <c r="Z108" s="284"/>
      <c r="AA108" s="283">
        <f>(MAX(AA107:AB107)-MIN(AA107:AB107))/(MAX(AA107:AB107))</f>
        <v>0.88207885304659495</v>
      </c>
      <c r="AB108" s="284"/>
      <c r="AC108" s="283">
        <f>(MAX(AC107:AD107)-MIN(AC107:AD107))/(MAX(AC107:AD107))</f>
        <v>0.44742896794972253</v>
      </c>
      <c r="AD108" s="284"/>
      <c r="AE108" s="283">
        <f>(MAX(AE107:AF107)-MIN(AE107:AF107))/(MAX(AE107:AF107))</f>
        <v>0.89402023501656003</v>
      </c>
      <c r="AF108" s="284"/>
    </row>
    <row r="109" spans="2:32" x14ac:dyDescent="0.25">
      <c r="B109" s="103" t="s">
        <v>112</v>
      </c>
      <c r="C109" s="285">
        <f>IF(C108&lt;25%,(C107*0.5+D107*0.5)*0.9,IF(C108&lt;50%,(MAX(C107:D107)*0.6+MIN(C107:D107)*0.4)*0.9,IF(C108&lt;70%,(MAX(C107:D107)*0.65+MIN(C107:D107)*0.35)*0.9,IF(C108&lt;100%,(MAX(C107:D107)*0.7+MIN(C107:D107)*0.3)*0.9,0.7*MAX(C107:D107)))))</f>
        <v>2518.3026382978728</v>
      </c>
      <c r="D109" s="286"/>
      <c r="E109" s="285">
        <f>IF(E108&lt;25%,(E107*0.5+F107*0.5)*0.9,IF(E108&lt;50%,(MAX(E107:F107)*0.6+MIN(E107:F107)*0.4)*0.9,IF(E108&lt;70%,(MAX(E107:F107)*0.65+MIN(E107:F107)*0.35)*0.9,IF(E108&lt;100%,(MAX(E107:F107)*0.7+MIN(E107:F107)*0.3)*0.9,0.7*MAX(E107:F107)))))</f>
        <v>2485.3998803243921</v>
      </c>
      <c r="F109" s="286"/>
      <c r="G109" s="285">
        <f>IF(G108&lt;25%,(G107*0.5+H107*0.5)*0.9,IF(G108&lt;50%,(MAX(G107:H107)*0.6+MIN(G107:H107)*0.4)*0.9,IF(G108&lt;70%,(MAX(G107:H107)*0.65+MIN(G107:H107)*0.35)*0.9,IF(G108&lt;100%,(MAX(G107:H107)*0.7+MIN(G107:H107)*0.3)*0.9,0.7*MAX(G107:H107)))))</f>
        <v>2598.0847659574474</v>
      </c>
      <c r="H109" s="286"/>
      <c r="I109" s="285">
        <f>IF(I108&lt;25%,(I107*0.5+J107*0.5)*0.9,IF(I108&lt;50%,(MAX(I107:J107)*0.6+MIN(I107:J107)*0.4)*0.9,IF(I108&lt;70%,(MAX(I107:J107)*0.65+MIN(I107:J107)*0.35)*0.9,IF(I108&lt;100%,(MAX(I107:J107)*0.7+MIN(I107:J107)*0.3)*0.9,0.7*MAX(I107:J107)))))</f>
        <v>3499.8331152049823</v>
      </c>
      <c r="J109" s="286"/>
      <c r="K109" s="285">
        <f>IF(K108&lt;25%,(K107*0.5+L107*0.5)*0.9,IF(K108&lt;50%,(MAX(K107:L107)*0.6+MIN(K107:L107)*0.4)*0.9,IF(K108&lt;70%,(MAX(K107:L107)*0.65+MIN(K107:L107)*0.35)*0.9,IF(K108&lt;100%,(MAX(K107:L107)*0.7+MIN(K107:L107)*0.3)*0.9,0.7*MAX(K107:L107)))))</f>
        <v>2049.7200695749129</v>
      </c>
      <c r="L109" s="286"/>
      <c r="M109" s="285">
        <f>IF(M108&lt;25%,(M107*0.5+N107*0.5)*0.9,IF(M108&lt;50%,(MAX(M107:N107)*0.6+MIN(M107:N107)*0.4)*0.9,IF(M108&lt;70%,(MAX(M107:N107)*0.65+MIN(M107:N107)*0.35)*0.9,IF(M108&lt;100%,(MAX(M107:N107)*0.7+MIN(M107:N107)*0.3)*0.9,0.7*MAX(M107:N107)))))</f>
        <v>3809.7802024390244</v>
      </c>
      <c r="N109" s="286"/>
      <c r="O109" s="285">
        <f>IF(O108&lt;25%,(O107*0.5+P107*0.5)*0.9,IF(O108&lt;50%,(MAX(O107:P107)*0.6+MIN(O107:P107)*0.4)*0.9,IF(O108&lt;70%,(MAX(O107:P107)*0.65+MIN(O107:P107)*0.35)*0.9,IF(O108&lt;100%,(MAX(O107:P107)*0.7+MIN(O107:P107)*0.3)*0.9,0.7*MAX(O107:P107)))))</f>
        <v>2927.2035900000001</v>
      </c>
      <c r="P109" s="286"/>
      <c r="Q109" s="285">
        <f>IF(Q108&lt;25%,(Q107*0.5+R107*0.5)*0.9,IF(Q108&lt;50%,(MAX(Q107:R107)*0.6+MIN(Q107:R107)*0.4)*0.9,IF(Q108&lt;70%,(MAX(Q107:R107)*0.65+MIN(Q107:R107)*0.35)*0.9,IF(Q108&lt;100%,(MAX(Q107:R107)*0.7+MIN(Q107:R107)*0.3)*0.9,0.7*MAX(Q107:R107)))))</f>
        <v>1034.796608294931</v>
      </c>
      <c r="R109" s="286"/>
      <c r="S109" s="285">
        <f>IF(S108&lt;25%,(S107*0.5+T107*0.5)*0.9,IF(S108&lt;50%,(MAX(S107:T107)*0.6+MIN(S107:T107)*0.4)*0.9,IF(S108&lt;70%,(MAX(S107:T107)*0.65+MIN(S107:T107)*0.35)*0.9,IF(S108&lt;100%,(MAX(S107:T107)*0.7+MIN(S107:T107)*0.3)*0.9,0.7*MAX(S107:T107)))))</f>
        <v>4446.1582595121963</v>
      </c>
      <c r="T109" s="286"/>
      <c r="U109" s="285">
        <f>IF(U108&lt;25%,(U107*0.5+V107*0.5)*0.9,IF(U108&lt;50%,(MAX(U107:V107)*0.6+MIN(U107:V107)*0.4)*0.9,IF(U108&lt;70%,(MAX(U107:V107)*0.65+MIN(U107:V107)*0.35)*0.9,IF(U108&lt;100%,(MAX(U107:V107)*0.7+MIN(U107:V107)*0.3)*0.9,0.7*MAX(U107:V107)))))</f>
        <v>2134.3257692632769</v>
      </c>
      <c r="V109" s="286"/>
      <c r="W109" s="285">
        <f>IF(W108&lt;25%,(W107*0.5+X107*0.5)*0.9,IF(W108&lt;50%,(MAX(W107:X107)*0.6+MIN(W107:X107)*0.4)*0.9,IF(W108&lt;70%,(MAX(W107:X107)*0.65+MIN(W107:X107)*0.35)*0.9,IF(W108&lt;100%,(MAX(W107:X107)*0.7+MIN(W107:X107)*0.3)*0.9,0.7*MAX(W107:X107)))))</f>
        <v>1854.8104129032258</v>
      </c>
      <c r="X109" s="286"/>
      <c r="Y109" s="285">
        <f>IF(Y108&lt;25%,(Y107*0.5+Z107*0.5)*0.9,IF(Y108&lt;50%,(MAX(Y107:Z107)*0.6+MIN(Y107:Z107)*0.4)*0.9,IF(Y108&lt;70%,(MAX(Y107:Z107)*0.65+MIN(Y107:Z107)*0.35)*0.9,IF(Y108&lt;100%,(MAX(Y107:Z107)*0.7+MIN(Y107:Z107)*0.3)*0.9,0.7*MAX(Y107:Z107)))))</f>
        <v>1535.109170305677</v>
      </c>
      <c r="Z109" s="286"/>
      <c r="AA109" s="285">
        <f>IF(AA108&lt;25%,(AA107*0.5+AB107*0.5)*0.9,IF(AA108&lt;50%,(MAX(AA107:AB107)*0.6+MIN(AA107:AB107)*0.4)*0.9,IF(AA108&lt;70%,(MAX(AA107:AB107)*0.65+MIN(AA107:AB107)*0.35)*0.9,IF(AA108&lt;100%,(MAX(AA107:AB107)*0.7+MIN(AA107:AB107)*0.3)*0.9,0.7*MAX(AA107:AB107)))))</f>
        <v>1301.7381702127659</v>
      </c>
      <c r="AB109" s="286"/>
      <c r="AC109" s="285">
        <f>IF(AC108&lt;25%,(AC107*0.5+AD107*0.5)*0.9,IF(AC108&lt;50%,(MAX(AC107:AD107)*0.6+MIN(AC107:AD107)*0.4)*0.9,IF(AC108&lt;70%,(MAX(AC107:AD107)*0.65+MIN(AC107:AD107)*0.35)*0.9,IF(AC108&lt;100%,(MAX(AC107:AD107)*0.7+MIN(AC107:AD107)*0.3)*0.9,0.7*MAX(AC107:AD107)))))</f>
        <v>2402.5651153683621</v>
      </c>
      <c r="AD109" s="286"/>
      <c r="AE109" s="285">
        <f>IF(AE108&lt;25%,(AE107*0.5+AF107*0.5)*0.9,IF(AE108&lt;50%,(MAX(AE107:AF107)*0.6+MIN(AE107:AF107)*0.4)*0.9,IF(AE108&lt;70%,(MAX(AE107:AF107)*0.65+MIN(AE107:AF107)*0.35)*0.9,IF(AE108&lt;100%,(MAX(AE107:AF107)*0.7+MIN(AE107:AF107)*0.3)*0.9,0.7*MAX(AE107:AF107)))))</f>
        <v>1441.3568936170213</v>
      </c>
      <c r="AF109" s="286"/>
    </row>
    <row r="110" spans="2:32" x14ac:dyDescent="0.25">
      <c r="B110" s="104" t="s">
        <v>15</v>
      </c>
      <c r="C110" s="287">
        <f>C109/(0.9*(0.9*($C$7/100))*($L$9*1000))</f>
        <v>4.8427034312100927</v>
      </c>
      <c r="D110" s="288"/>
      <c r="E110" s="287">
        <f>E109/(0.9*(0.9*($C$7/100))*($L$9*1000))</f>
        <v>4.7794313301880536</v>
      </c>
      <c r="F110" s="288"/>
      <c r="G110" s="287">
        <f>G109/(0.9*(0.9*($C$7/100))*($L$9*1000))</f>
        <v>4.9961246989682069</v>
      </c>
      <c r="H110" s="288"/>
      <c r="I110" s="287">
        <f>I109/(0.9*(0.9*($C$7/100))*($L$9*1000))</f>
        <v>6.7301894450309252</v>
      </c>
      <c r="J110" s="288"/>
      <c r="K110" s="287">
        <f>K109/(0.9*(0.9*($C$7/100))*($L$9*1000))</f>
        <v>3.9416177638839134</v>
      </c>
      <c r="L110" s="288"/>
      <c r="M110" s="287">
        <f>M109/(0.9*(0.9*($C$7/100))*($L$9*1000))</f>
        <v>7.3262186116669046</v>
      </c>
      <c r="N110" s="288"/>
      <c r="O110" s="287">
        <f>O109/(0.9*(0.9*($C$7/100))*($L$9*1000))</f>
        <v>5.629021172262604</v>
      </c>
      <c r="P110" s="288"/>
      <c r="Q110" s="287">
        <f>Q109/(0.9*(0.9*($C$7/100))*($L$9*1000))</f>
        <v>1.989916942223243</v>
      </c>
      <c r="R110" s="288"/>
      <c r="S110" s="287">
        <f>S109/(0.9*(0.9*($C$7/100))*($L$9*1000))</f>
        <v>8.5499755000042228</v>
      </c>
      <c r="T110" s="288"/>
      <c r="U110" s="287">
        <f>U109/(0.9*(0.9*($C$7/100))*($L$9*1000))</f>
        <v>4.1043147749380342</v>
      </c>
      <c r="V110" s="288"/>
      <c r="W110" s="287">
        <f>W109/(0.9*(0.9*($C$7/100))*($L$9*1000))</f>
        <v>3.5668059168940145</v>
      </c>
      <c r="X110" s="288"/>
      <c r="Y110" s="287">
        <f>Y109/(0.9*(0.9*($C$7/100))*($L$9*1000))</f>
        <v>2.9520194806078166</v>
      </c>
      <c r="Z110" s="288"/>
      <c r="AA110" s="287">
        <f>AA109/(0.9*(0.9*($C$7/100))*($L$9*1000))</f>
        <v>2.5032463563185372</v>
      </c>
      <c r="AB110" s="288"/>
      <c r="AC110" s="287">
        <f>AC109/(0.9*(0.9*($C$7/100))*($L$9*1000))</f>
        <v>4.6201398318687001</v>
      </c>
      <c r="AD110" s="288"/>
      <c r="AE110" s="287">
        <f>AE109/(0.9*(0.9*($C$7/100))*($L$9*1000))</f>
        <v>2.771733574895237</v>
      </c>
      <c r="AF110" s="288"/>
    </row>
    <row r="111" spans="2:32" x14ac:dyDescent="0.25">
      <c r="B111" s="104" t="s">
        <v>98</v>
      </c>
      <c r="C111" s="281">
        <f>(C110*($L$9))/(0.85*$L$6*100)</f>
        <v>6.8303742578939522E-2</v>
      </c>
      <c r="D111" s="282"/>
      <c r="E111" s="281">
        <f>(E110*($L$9))/(0.85*$L$6*100)</f>
        <v>6.7411323424632963E-2</v>
      </c>
      <c r="F111" s="282"/>
      <c r="G111" s="281">
        <f>(G110*($L$9))/(0.85*$L$6*100)</f>
        <v>7.0467667528699707E-2</v>
      </c>
      <c r="H111" s="282"/>
      <c r="I111" s="281">
        <f>(I110*($L$9))/(0.85*$L$6*100)</f>
        <v>9.4925723594438502E-2</v>
      </c>
      <c r="J111" s="282"/>
      <c r="K111" s="281">
        <f>(K110*($L$9))/(0.85*$L$6*100)</f>
        <v>5.559441103780903E-2</v>
      </c>
      <c r="L111" s="282"/>
      <c r="M111" s="281">
        <f>(M110*($L$9))/(0.85*$L$6*100)</f>
        <v>0.10333239630230467</v>
      </c>
      <c r="N111" s="282"/>
      <c r="O111" s="281">
        <f>(O110*($L$9))/(0.85*$L$6*100)</f>
        <v>7.9394333884606844E-2</v>
      </c>
      <c r="P111" s="282"/>
      <c r="Q111" s="281">
        <f>(Q110*($L$9))/(0.85*$L$6*100)</f>
        <v>2.8066714492389126E-2</v>
      </c>
      <c r="R111" s="282"/>
      <c r="S111" s="281">
        <f>(S110*($L$9))/(0.85*$L$6*100)</f>
        <v>0.12059283288850907</v>
      </c>
      <c r="T111" s="282"/>
      <c r="U111" s="281">
        <f>(U110*($L$9))/(0.85*$L$6*100)</f>
        <v>5.7889165387163578E-2</v>
      </c>
      <c r="V111" s="282"/>
      <c r="W111" s="281">
        <f>(W110*($L$9))/(0.85*$L$6*100)</f>
        <v>5.0307890342087276E-2</v>
      </c>
      <c r="X111" s="282"/>
      <c r="Y111" s="281">
        <f>(Y110*($L$9))/(0.85*$L$6*100)</f>
        <v>4.1636656375025401E-2</v>
      </c>
      <c r="Z111" s="282"/>
      <c r="AA111" s="281">
        <f>(AA110*($L$9))/(0.85*$L$6*100)</f>
        <v>3.5306951408941634E-2</v>
      </c>
      <c r="AB111" s="282"/>
      <c r="AC111" s="281">
        <f>(AC110*($L$9))/(0.85*$L$6*100)</f>
        <v>6.5164602011527559E-2</v>
      </c>
      <c r="AD111" s="282"/>
      <c r="AE111" s="281">
        <f>(AE110*($L$9))/(0.85*$L$6*100)</f>
        <v>3.909382007102196E-2</v>
      </c>
      <c r="AF111" s="282"/>
    </row>
    <row r="112" spans="2:32" ht="15.75" thickBot="1" x14ac:dyDescent="0.3">
      <c r="B112" s="105" t="s">
        <v>15</v>
      </c>
      <c r="C112" s="289">
        <f>ROUNDUP(C109/(0.9*(($C$7-C111/2)/100)*($L$9*1000)),2)</f>
        <v>4.37</v>
      </c>
      <c r="D112" s="290"/>
      <c r="E112" s="289">
        <f>ROUNDUP(E109/(0.9*(($C$7-E111/2)/100)*($L$9*1000)),2)</f>
        <v>4.3199999999999994</v>
      </c>
      <c r="F112" s="290"/>
      <c r="G112" s="289">
        <f>ROUNDUP(G109/(0.9*(($C$7-G111/2)/100)*($L$9*1000)),2)</f>
        <v>4.51</v>
      </c>
      <c r="H112" s="290"/>
      <c r="I112" s="289">
        <f>ROUNDUP(I109/(0.9*(($C$7-I111/2)/100)*($L$9*1000)),2)</f>
        <v>6.08</v>
      </c>
      <c r="J112" s="290"/>
      <c r="K112" s="289">
        <f>ROUNDUP(K109/(0.9*(($C$7-K111/2)/100)*($L$9*1000)),2)</f>
        <v>3.5599999999999996</v>
      </c>
      <c r="L112" s="290"/>
      <c r="M112" s="289">
        <f>ROUNDUP(M109/(0.9*(($C$7-M111/2)/100)*($L$9*1000)),2)</f>
        <v>6.62</v>
      </c>
      <c r="N112" s="290"/>
      <c r="O112" s="289">
        <f>ROUNDUP(O109/(0.9*(($C$7-O111/2)/100)*($L$9*1000)),2)</f>
        <v>5.08</v>
      </c>
      <c r="P112" s="290"/>
      <c r="Q112" s="289">
        <f>ROUNDUP(Q109/(0.9*(($C$7-Q111/2)/100)*($L$9*1000)),2)</f>
        <v>1.8</v>
      </c>
      <c r="R112" s="290"/>
      <c r="S112" s="289">
        <f>ROUNDUP(S109/(0.9*(($C$7-S111/2)/100)*($L$9*1000)),2)</f>
        <v>7.7299999999999995</v>
      </c>
      <c r="T112" s="290"/>
      <c r="U112" s="289">
        <f>ROUNDUP(U109/(0.9*(($C$7-U111/2)/100)*($L$9*1000)),2)</f>
        <v>3.71</v>
      </c>
      <c r="V112" s="290"/>
      <c r="W112" s="289">
        <f>ROUNDUP(W109/(0.9*(($C$7-W111/2)/100)*($L$9*1000)),2)</f>
        <v>3.2199999999999998</v>
      </c>
      <c r="X112" s="290"/>
      <c r="Y112" s="289">
        <f>ROUNDUP(Y109/(0.9*(($C$7-Y111/2)/100)*($L$9*1000)),2)</f>
        <v>2.67</v>
      </c>
      <c r="Z112" s="290"/>
      <c r="AA112" s="289">
        <f>ROUNDUP(AA109/(0.9*(($C$7-AA111/2)/100)*($L$9*1000)),2)</f>
        <v>2.2599999999999998</v>
      </c>
      <c r="AB112" s="290"/>
      <c r="AC112" s="289">
        <f>ROUNDUP(AC109/(0.9*(($C$7-AC111/2)/100)*($L$9*1000)),2)</f>
        <v>4.17</v>
      </c>
      <c r="AD112" s="290"/>
      <c r="AE112" s="289">
        <f>ROUNDUP(AE109/(0.9*(($C$7-AE111/2)/100)*($L$9*1000)),2)</f>
        <v>2.5</v>
      </c>
      <c r="AF112" s="290"/>
    </row>
    <row r="113" spans="2:32" ht="16.5" thickBot="1" x14ac:dyDescent="0.3">
      <c r="B113" s="61" t="s">
        <v>113</v>
      </c>
      <c r="C113" s="279" t="str">
        <f>IF(C112&gt;$C$12,"$\phi"&amp;IF(VLOOKUP(VLOOKUP(C112,tablas!$S$3:$U$66,2,TRUE)&amp;VLOOKUP(C112,tablas!$S$3:$U$66,3,TRUE),tablas!$R$3:$S$66,2,FALSE)&lt;C112,VLOOKUP(C112+0.1,tablas!$S$3:$U$66,2,TRUE),VLOOKUP(C112,tablas!$S$3:$U$66,2,TRUE))&amp;"@"&amp;IF(VLOOKUP(VLOOKUP(C112,tablas!$S$3:$U$66,2,TRUE)&amp;VLOOKUP(C112,tablas!$S$3:$U$66,3,TRUE),tablas!$R$3:$S$66,2,FALSE)&lt;C112,VLOOKUP(C112+0.1,tablas!$S$3:$U$66,3,TRUE)&amp;"$",VLOOKUP(C112,tablas!$S$3:$U$66,3,TRUE)&amp;"$"),$C$13)</f>
        <v>$\phi10@18$</v>
      </c>
      <c r="D113" s="280"/>
      <c r="E113" s="279" t="str">
        <f>IF(E112&gt;$C$12,"$\phi"&amp;IF(VLOOKUP(VLOOKUP(E112,tablas!$S$3:$U$66,2,TRUE)&amp;VLOOKUP(E112,tablas!$S$3:$U$66,3,TRUE),tablas!$R$3:$S$66,2,FALSE)&lt;E112,VLOOKUP(E112+0.1,tablas!$S$3:$U$66,2,TRUE),VLOOKUP(E112,tablas!$S$3:$U$66,2,TRUE))&amp;"@"&amp;IF(VLOOKUP(VLOOKUP(E112,tablas!$S$3:$U$66,2,TRUE)&amp;VLOOKUP(E112,tablas!$S$3:$U$66,3,TRUE),tablas!$R$3:$S$66,2,FALSE)&lt;E112,VLOOKUP(E112+0.1,tablas!$S$3:$U$66,3,TRUE)&amp;"$",VLOOKUP(E112,tablas!$S$3:$U$66,3,TRUE)&amp;"$"),$C$13)</f>
        <v>$\phi10@18$</v>
      </c>
      <c r="F113" s="280"/>
      <c r="G113" s="279" t="str">
        <f>IF(G112&gt;$C$12,"$\phi"&amp;IF(VLOOKUP(VLOOKUP(G112,tablas!$S$3:$U$66,2,TRUE)&amp;VLOOKUP(G112,tablas!$S$3:$U$66,3,TRUE),tablas!$R$3:$S$66,2,FALSE)&lt;G112,VLOOKUP(G112+0.1,tablas!$S$3:$U$66,2,TRUE),VLOOKUP(G112,tablas!$S$3:$U$66,2,TRUE))&amp;"@"&amp;IF(VLOOKUP(VLOOKUP(G112,tablas!$S$3:$U$66,2,TRUE)&amp;VLOOKUP(G112,tablas!$S$3:$U$66,3,TRUE),tablas!$R$3:$S$66,2,FALSE)&lt;G112,VLOOKUP(G112+0.1,tablas!$S$3:$U$66,3,TRUE)&amp;"$",VLOOKUP(G112,tablas!$S$3:$U$66,3,TRUE)&amp;"$"),$C$13)</f>
        <v>$\phi8@11$</v>
      </c>
      <c r="H113" s="280"/>
      <c r="I113" s="279" t="str">
        <f>IF(I112&gt;$C$12,"$\phi"&amp;IF(VLOOKUP(VLOOKUP(I112,tablas!$S$3:$U$66,2,TRUE)&amp;VLOOKUP(I112,tablas!$S$3:$U$66,3,TRUE),tablas!$R$3:$S$66,2,FALSE)&lt;I112,VLOOKUP(I112+0.1,tablas!$S$3:$U$66,2,TRUE),VLOOKUP(I112,tablas!$S$3:$U$66,2,TRUE))&amp;"@"&amp;IF(VLOOKUP(VLOOKUP(I112,tablas!$S$3:$U$66,2,TRUE)&amp;VLOOKUP(I112,tablas!$S$3:$U$66,3,TRUE),tablas!$R$3:$S$66,2,FALSE)&lt;I112,VLOOKUP(I112+0.1,tablas!$S$3:$U$66,3,TRUE)&amp;"$",VLOOKUP(I112,tablas!$S$3:$U$66,3,TRUE)&amp;"$"),$C$13)</f>
        <v>$\phi10@13$</v>
      </c>
      <c r="J113" s="280"/>
      <c r="K113" s="279" t="str">
        <f>IF(K112&gt;$C$12,"$\phi"&amp;IF(VLOOKUP(VLOOKUP(K112,tablas!$S$3:$U$66,2,TRUE)&amp;VLOOKUP(K112,tablas!$S$3:$U$66,3,TRUE),tablas!$R$3:$S$66,2,FALSE)&lt;K112,VLOOKUP(K112+0.1,tablas!$S$3:$U$66,2,TRUE),VLOOKUP(K112,tablas!$S$3:$U$66,2,TRUE))&amp;"@"&amp;IF(VLOOKUP(VLOOKUP(K112,tablas!$S$3:$U$66,2,TRUE)&amp;VLOOKUP(K112,tablas!$S$3:$U$66,3,TRUE),tablas!$R$3:$S$66,2,FALSE)&lt;K112,VLOOKUP(K112+0.1,tablas!$S$3:$U$66,3,TRUE)&amp;"$",VLOOKUP(K112,tablas!$S$3:$U$66,3,TRUE)&amp;"$"),$C$13)</f>
        <v>$\phi8@14$</v>
      </c>
      <c r="L113" s="280"/>
      <c r="M113" s="279" t="str">
        <f>IF(M112&gt;$C$12,"$\phi"&amp;IF(VLOOKUP(VLOOKUP(M112,tablas!$S$3:$U$66,2,TRUE)&amp;VLOOKUP(M112,tablas!$S$3:$U$66,3,TRUE),tablas!$R$3:$S$66,2,FALSE)&lt;M112,VLOOKUP(M112+0.1,tablas!$S$3:$U$66,2,TRUE),VLOOKUP(M112,tablas!$S$3:$U$66,2,TRUE))&amp;"@"&amp;IF(VLOOKUP(VLOOKUP(M112,tablas!$S$3:$U$66,2,TRUE)&amp;VLOOKUP(M112,tablas!$S$3:$U$66,3,TRUE),tablas!$R$3:$S$66,2,FALSE)&lt;M112,VLOOKUP(M112+0.1,tablas!$S$3:$U$66,3,TRUE)&amp;"$",VLOOKUP(M112,tablas!$S$3:$U$66,3,TRUE)&amp;"$"),$C$13)</f>
        <v>$\phi12@17$</v>
      </c>
      <c r="N113" s="280"/>
      <c r="O113" s="279" t="str">
        <f>IF(O112&gt;$C$12,"$\phi"&amp;IF(VLOOKUP(VLOOKUP(O112,tablas!$S$3:$U$66,2,TRUE)&amp;VLOOKUP(O112,tablas!$S$3:$U$66,3,TRUE),tablas!$R$3:$S$66,2,FALSE)&lt;O112,VLOOKUP(O112+0.1,tablas!$S$3:$U$66,2,TRUE),VLOOKUP(O112,tablas!$S$3:$U$66,2,TRUE))&amp;"@"&amp;IF(VLOOKUP(VLOOKUP(O112,tablas!$S$3:$U$66,2,TRUE)&amp;VLOOKUP(O112,tablas!$S$3:$U$66,3,TRUE),tablas!$R$3:$S$66,2,FALSE)&lt;O112,VLOOKUP(O112+0.1,tablas!$S$3:$U$66,3,TRUE)&amp;"$",VLOOKUP(O112,tablas!$S$3:$U$66,3,TRUE)&amp;"$"),$C$13)</f>
        <v>$\phi12@22$</v>
      </c>
      <c r="P113" s="280"/>
      <c r="Q113" s="279" t="str">
        <f>IF(Q112&gt;$C$12,"$\phi"&amp;IF(VLOOKUP(VLOOKUP(Q112,tablas!$S$3:$U$66,2,TRUE)&amp;VLOOKUP(Q112,tablas!$S$3:$U$66,3,TRUE),tablas!$R$3:$S$66,2,FALSE)&lt;Q112,VLOOKUP(Q112+0.1,tablas!$S$3:$U$66,2,TRUE),VLOOKUP(Q112,tablas!$S$3:$U$66,2,TRUE))&amp;"@"&amp;IF(VLOOKUP(VLOOKUP(Q112,tablas!$S$3:$U$66,2,TRUE)&amp;VLOOKUP(Q112,tablas!$S$3:$U$66,3,TRUE),tablas!$R$3:$S$66,2,FALSE)&lt;Q112,VLOOKUP(Q112+0.1,tablas!$S$3:$U$66,3,TRUE)&amp;"$",VLOOKUP(Q112,tablas!$S$3:$U$66,3,TRUE)&amp;"$"),$C$13)</f>
        <v>$\phi8@16$</v>
      </c>
      <c r="R113" s="280"/>
      <c r="S113" s="279" t="str">
        <f>IF(S112&gt;$C$12,"$\phi"&amp;IF(VLOOKUP(VLOOKUP(S112,tablas!$S$3:$U$66,2,TRUE)&amp;VLOOKUP(S112,tablas!$S$3:$U$66,3,TRUE),tablas!$R$3:$S$66,2,FALSE)&lt;S112,VLOOKUP(S112+0.1,tablas!$S$3:$U$66,2,TRUE),VLOOKUP(S112,tablas!$S$3:$U$66,2,TRUE))&amp;"@"&amp;IF(VLOOKUP(VLOOKUP(S112,tablas!$S$3:$U$66,2,TRUE)&amp;VLOOKUP(S112,tablas!$S$3:$U$66,3,TRUE),tablas!$R$3:$S$66,2,FALSE)&lt;S112,VLOOKUP(S112+0.1,tablas!$S$3:$U$66,3,TRUE)&amp;"$",VLOOKUP(S112,tablas!$S$3:$U$66,3,TRUE)&amp;"$"),$C$13)</f>
        <v>$\phi12@15$</v>
      </c>
      <c r="T113" s="280"/>
      <c r="U113" s="279" t="str">
        <f>IF(U112&gt;$C$12,"$\phi"&amp;IF(VLOOKUP(VLOOKUP(U112,tablas!$S$3:$U$66,2,TRUE)&amp;VLOOKUP(U112,tablas!$S$3:$U$66,3,TRUE),tablas!$R$3:$S$66,2,FALSE)&lt;U112,VLOOKUP(U112+0.1,tablas!$S$3:$U$66,2,TRUE),VLOOKUP(U112,tablas!$S$3:$U$66,2,TRUE))&amp;"@"&amp;IF(VLOOKUP(VLOOKUP(U112,tablas!$S$3:$U$66,2,TRUE)&amp;VLOOKUP(U112,tablas!$S$3:$U$66,3,TRUE),tablas!$R$3:$S$66,2,FALSE)&lt;U112,VLOOKUP(U112+0.1,tablas!$S$3:$U$66,3,TRUE)&amp;"$",VLOOKUP(U112,tablas!$S$3:$U$66,3,TRUE)&amp;"$"),$C$13)</f>
        <v>$\phi10@21$</v>
      </c>
      <c r="V113" s="280"/>
      <c r="W113" s="279" t="str">
        <f>IF(W112&gt;$C$12,"$\phi"&amp;IF(VLOOKUP(VLOOKUP(W112,tablas!$S$3:$U$66,2,TRUE)&amp;VLOOKUP(W112,tablas!$S$3:$U$66,3,TRUE),tablas!$R$3:$S$66,2,FALSE)&lt;W112,VLOOKUP(W112+0.1,tablas!$S$3:$U$66,2,TRUE),VLOOKUP(W112,tablas!$S$3:$U$66,2,TRUE))&amp;"@"&amp;IF(VLOOKUP(VLOOKUP(W112,tablas!$S$3:$U$66,2,TRUE)&amp;VLOOKUP(W112,tablas!$S$3:$U$66,3,TRUE),tablas!$R$3:$S$66,2,FALSE)&lt;W112,VLOOKUP(W112+0.1,tablas!$S$3:$U$66,3,TRUE)&amp;"$",VLOOKUP(W112,tablas!$S$3:$U$66,3,TRUE)&amp;"$"),$C$13)</f>
        <v>$\phi10@24$</v>
      </c>
      <c r="X113" s="280"/>
      <c r="Y113" s="279" t="str">
        <f>IF(Y112&gt;$C$12,"$\phi"&amp;IF(VLOOKUP(VLOOKUP(Y112,tablas!$S$3:$U$66,2,TRUE)&amp;VLOOKUP(Y112,tablas!$S$3:$U$66,3,TRUE),tablas!$R$3:$S$66,2,FALSE)&lt;Y112,VLOOKUP(Y112+0.1,tablas!$S$3:$U$66,2,TRUE),VLOOKUP(Y112,tablas!$S$3:$U$66,2,TRUE))&amp;"@"&amp;IF(VLOOKUP(VLOOKUP(Y112,tablas!$S$3:$U$66,2,TRUE)&amp;VLOOKUP(Y112,tablas!$S$3:$U$66,3,TRUE),tablas!$R$3:$S$66,2,FALSE)&lt;Y112,VLOOKUP(Y112+0.1,tablas!$S$3:$U$66,3,TRUE)&amp;"$",VLOOKUP(Y112,tablas!$S$3:$U$66,3,TRUE)&amp;"$"),$C$13)</f>
        <v>$\phi8@16$</v>
      </c>
      <c r="Z113" s="280"/>
      <c r="AA113" s="279" t="str">
        <f>IF(AA112&gt;$C$12,"$\phi"&amp;IF(VLOOKUP(VLOOKUP(AA112,tablas!$S$3:$U$66,2,TRUE)&amp;VLOOKUP(AA112,tablas!$S$3:$U$66,3,TRUE),tablas!$R$3:$S$66,2,FALSE)&lt;AA112,VLOOKUP(AA112+0.1,tablas!$S$3:$U$66,2,TRUE),VLOOKUP(AA112,tablas!$S$3:$U$66,2,TRUE))&amp;"@"&amp;IF(VLOOKUP(VLOOKUP(AA112,tablas!$S$3:$U$66,2,TRUE)&amp;VLOOKUP(AA112,tablas!$S$3:$U$66,3,TRUE),tablas!$R$3:$S$66,2,FALSE)&lt;AA112,VLOOKUP(AA112+0.1,tablas!$S$3:$U$66,3,TRUE)&amp;"$",VLOOKUP(AA112,tablas!$S$3:$U$66,3,TRUE)&amp;"$"),$C$13)</f>
        <v>$\phi8@16$</v>
      </c>
      <c r="AB113" s="280"/>
      <c r="AC113" s="279" t="str">
        <f>IF(AC112&gt;$C$12,"$\phi"&amp;IF(VLOOKUP(VLOOKUP(AC112,tablas!$S$3:$U$66,2,TRUE)&amp;VLOOKUP(AC112,tablas!$S$3:$U$66,3,TRUE),tablas!$R$3:$S$66,2,FALSE)&lt;AC112,VLOOKUP(AC112+0.1,tablas!$S$3:$U$66,2,TRUE),VLOOKUP(AC112,tablas!$S$3:$U$66,2,TRUE))&amp;"@"&amp;IF(VLOOKUP(VLOOKUP(AC112,tablas!$S$3:$U$66,2,TRUE)&amp;VLOOKUP(AC112,tablas!$S$3:$U$66,3,TRUE),tablas!$R$3:$S$66,2,FALSE)&lt;AC112,VLOOKUP(AC112+0.1,tablas!$S$3:$U$66,3,TRUE)&amp;"$",VLOOKUP(AC112,tablas!$S$3:$U$66,3,TRUE)&amp;"$"),$C$13)</f>
        <v>$\phi8@12$</v>
      </c>
      <c r="AD113" s="280"/>
      <c r="AE113" s="279" t="str">
        <f>IF(AE112&gt;$C$12,"$\phi"&amp;IF(VLOOKUP(VLOOKUP(AE112,tablas!$S$3:$U$66,2,TRUE)&amp;VLOOKUP(AE112,tablas!$S$3:$U$66,3,TRUE),tablas!$R$3:$S$66,2,FALSE)&lt;AE112,VLOOKUP(AE112+0.1,tablas!$S$3:$U$66,2,TRUE),VLOOKUP(AE112,tablas!$S$3:$U$66,2,TRUE))&amp;"@"&amp;IF(VLOOKUP(VLOOKUP(AE112,tablas!$S$3:$U$66,2,TRUE)&amp;VLOOKUP(AE112,tablas!$S$3:$U$66,3,TRUE),tablas!$R$3:$S$66,2,FALSE)&lt;AE112,VLOOKUP(AE112+0.1,tablas!$S$3:$U$66,3,TRUE)&amp;"$",VLOOKUP(AE112,tablas!$S$3:$U$66,3,TRUE)&amp;"$"),$C$13)</f>
        <v>$\phi8@16$</v>
      </c>
      <c r="AF113" s="280"/>
    </row>
    <row r="114" spans="2:32" ht="15.75" thickBot="1" x14ac:dyDescent="0.3"/>
    <row r="115" spans="2:32" ht="15.75" thickBot="1" x14ac:dyDescent="0.3">
      <c r="B115" s="73" t="s">
        <v>43</v>
      </c>
      <c r="C115" s="74" t="s">
        <v>63</v>
      </c>
      <c r="D115" s="75" t="s">
        <v>70</v>
      </c>
      <c r="E115" s="74" t="s">
        <v>63</v>
      </c>
      <c r="F115" s="75" t="s">
        <v>71</v>
      </c>
      <c r="G115" s="74" t="s">
        <v>63</v>
      </c>
      <c r="H115" s="75" t="s">
        <v>64</v>
      </c>
      <c r="I115" s="74" t="s">
        <v>64</v>
      </c>
      <c r="J115" s="75" t="s">
        <v>65</v>
      </c>
      <c r="K115" s="74" t="s">
        <v>64</v>
      </c>
      <c r="L115" s="75" t="s">
        <v>71</v>
      </c>
      <c r="M115" s="74" t="s">
        <v>64</v>
      </c>
      <c r="N115" s="75" t="s">
        <v>75</v>
      </c>
      <c r="O115" s="74" t="s">
        <v>65</v>
      </c>
      <c r="P115" s="75" t="s">
        <v>76</v>
      </c>
      <c r="Q115" s="74" t="s">
        <v>66</v>
      </c>
      <c r="R115" s="75" t="s">
        <v>72</v>
      </c>
      <c r="S115" s="74" t="s">
        <v>66</v>
      </c>
      <c r="T115" s="75" t="s">
        <v>67</v>
      </c>
      <c r="U115" s="74" t="s">
        <v>66</v>
      </c>
      <c r="V115" s="75" t="s">
        <v>68</v>
      </c>
      <c r="W115" s="74" t="s">
        <v>66</v>
      </c>
      <c r="X115" s="75" t="s">
        <v>77</v>
      </c>
      <c r="Y115" s="74" t="s">
        <v>67</v>
      </c>
      <c r="Z115" s="75" t="s">
        <v>68</v>
      </c>
      <c r="AA115" s="74" t="s">
        <v>67</v>
      </c>
      <c r="AB115" s="75" t="s">
        <v>69</v>
      </c>
      <c r="AC115" s="74" t="s">
        <v>67</v>
      </c>
      <c r="AD115" s="75" t="s">
        <v>70</v>
      </c>
      <c r="AE115" s="74" t="s">
        <v>68</v>
      </c>
      <c r="AF115" s="75" t="s">
        <v>77</v>
      </c>
    </row>
    <row r="116" spans="2:32" ht="15.75" hidden="1" thickBot="1" x14ac:dyDescent="0.3">
      <c r="B116" s="141"/>
      <c r="C116" s="143" t="str">
        <f>C115&amp;"-"&amp;D115</f>
        <v>0115-0122</v>
      </c>
      <c r="D116" s="143"/>
      <c r="E116" s="143" t="str">
        <f>E115&amp;"-"&amp;F115</f>
        <v>0115-0123</v>
      </c>
      <c r="F116" s="142"/>
      <c r="G116" s="143" t="str">
        <f>G115&amp;"-"&amp;H115</f>
        <v>0115-0116</v>
      </c>
      <c r="H116" s="142"/>
      <c r="I116" s="143" t="str">
        <f>I115&amp;"-"&amp;J115</f>
        <v>0116-0117</v>
      </c>
      <c r="J116" s="142"/>
      <c r="K116" s="143" t="str">
        <f>K115&amp;"-"&amp;L115</f>
        <v>0116-0123</v>
      </c>
      <c r="L116" s="142"/>
      <c r="M116" s="143" t="str">
        <f>M115&amp;"-"&amp;N115</f>
        <v>0116-0127</v>
      </c>
      <c r="N116" s="142"/>
      <c r="O116" s="143" t="str">
        <f>O115&amp;"-"&amp;P115</f>
        <v>0117-0128</v>
      </c>
      <c r="P116" s="142"/>
      <c r="Q116" s="143" t="str">
        <f>Q115&amp;"-"&amp;R115</f>
        <v>0118-0124</v>
      </c>
      <c r="R116" s="142"/>
      <c r="S116" s="143" t="str">
        <f>S115&amp;"-"&amp;T115</f>
        <v>0118-0119</v>
      </c>
      <c r="T116" s="142"/>
      <c r="U116" s="143" t="str">
        <f>U115&amp;"-"&amp;V115</f>
        <v>0118-0120</v>
      </c>
      <c r="V116" s="142"/>
      <c r="W116" s="143" t="str">
        <f>W115&amp;"-"&amp;X115</f>
        <v>0118-0129</v>
      </c>
      <c r="X116" s="142"/>
      <c r="Y116" s="143" t="str">
        <f>Y115&amp;"-"&amp;Z115</f>
        <v>0119-0120</v>
      </c>
      <c r="Z116" s="142"/>
      <c r="AA116" s="143" t="str">
        <f>AA115&amp;"-"&amp;AB115</f>
        <v>0119-0121</v>
      </c>
      <c r="AB116" s="142"/>
      <c r="AC116" s="143" t="str">
        <f>AC115&amp;"-"&amp;AD115</f>
        <v>0119-0122</v>
      </c>
      <c r="AD116" s="142"/>
      <c r="AE116" s="143" t="str">
        <f>AE115&amp;"-"&amp;AF115</f>
        <v>0120-0129</v>
      </c>
      <c r="AF116" s="142"/>
    </row>
    <row r="117" spans="2:32" x14ac:dyDescent="0.25">
      <c r="B117" s="102" t="s">
        <v>114</v>
      </c>
      <c r="C117" s="99" t="s">
        <v>109</v>
      </c>
      <c r="D117" s="100" t="s">
        <v>109</v>
      </c>
      <c r="E117" s="99" t="s">
        <v>108</v>
      </c>
      <c r="F117" s="100" t="s">
        <v>109</v>
      </c>
      <c r="G117" s="99" t="s">
        <v>109</v>
      </c>
      <c r="H117" s="100" t="s">
        <v>108</v>
      </c>
      <c r="I117" s="99" t="s">
        <v>108</v>
      </c>
      <c r="J117" s="100" t="s">
        <v>108</v>
      </c>
      <c r="K117" s="99" t="s">
        <v>108</v>
      </c>
      <c r="L117" s="100" t="s">
        <v>108</v>
      </c>
      <c r="M117" s="99" t="s">
        <v>109</v>
      </c>
      <c r="N117" s="100" t="s">
        <v>109</v>
      </c>
      <c r="O117" s="99" t="s">
        <v>109</v>
      </c>
      <c r="P117" s="100" t="s">
        <v>109</v>
      </c>
      <c r="Q117" s="99" t="s">
        <v>108</v>
      </c>
      <c r="R117" s="100" t="s">
        <v>108</v>
      </c>
      <c r="S117" s="99" t="s">
        <v>108</v>
      </c>
      <c r="T117" s="100" t="s">
        <v>108</v>
      </c>
      <c r="U117" s="99" t="s">
        <v>109</v>
      </c>
      <c r="V117" s="100" t="s">
        <v>108</v>
      </c>
      <c r="W117" s="99" t="s">
        <v>109</v>
      </c>
      <c r="X117" s="100" t="s">
        <v>109</v>
      </c>
      <c r="Y117" s="99" t="s">
        <v>108</v>
      </c>
      <c r="Z117" s="100" t="s">
        <v>109</v>
      </c>
      <c r="AA117" s="99" t="s">
        <v>108</v>
      </c>
      <c r="AB117" s="100" t="s">
        <v>109</v>
      </c>
      <c r="AC117" s="99" t="s">
        <v>108</v>
      </c>
      <c r="AD117" s="100" t="s">
        <v>109</v>
      </c>
      <c r="AE117" s="99" t="s">
        <v>109</v>
      </c>
      <c r="AF117" s="100" t="s">
        <v>108</v>
      </c>
    </row>
    <row r="118" spans="2:32" x14ac:dyDescent="0.25">
      <c r="B118" s="103" t="s">
        <v>110</v>
      </c>
      <c r="C118" s="101">
        <f t="shared" ref="C118:AF118" si="53">HLOOKUP(C115,$B$46:$AE$90,IF(C117="x",36,41),FALSE)</f>
        <v>3251.4304659498212</v>
      </c>
      <c r="D118" s="85">
        <f t="shared" si="53"/>
        <v>1630.0534351145038</v>
      </c>
      <c r="E118" s="101">
        <f t="shared" si="53"/>
        <v>4425.1175609756101</v>
      </c>
      <c r="F118" s="85">
        <f t="shared" si="53"/>
        <v>3414.887069767442</v>
      </c>
      <c r="G118" s="101">
        <f t="shared" si="53"/>
        <v>3251.4304659498212</v>
      </c>
      <c r="H118" s="85">
        <f t="shared" si="53"/>
        <v>2607.3291666666669</v>
      </c>
      <c r="I118" s="101">
        <f t="shared" si="53"/>
        <v>2607.3291666666669</v>
      </c>
      <c r="J118" s="85">
        <f t="shared" si="53"/>
        <v>1706.4000000000003</v>
      </c>
      <c r="K118" s="101">
        <f t="shared" si="53"/>
        <v>2607.3291666666669</v>
      </c>
      <c r="L118" s="85">
        <f t="shared" si="53"/>
        <v>3947.3156989247309</v>
      </c>
      <c r="M118" s="101">
        <f t="shared" si="53"/>
        <v>1787.8828571428573</v>
      </c>
      <c r="N118" s="85">
        <f t="shared" si="53"/>
        <v>4339.783587786259</v>
      </c>
      <c r="O118" s="101">
        <f t="shared" si="53"/>
        <v>1170.1028571428574</v>
      </c>
      <c r="P118" s="85">
        <f t="shared" si="53"/>
        <v>1170.1028571428574</v>
      </c>
      <c r="Q118" s="101">
        <f t="shared" si="53"/>
        <v>5624.1974634146345</v>
      </c>
      <c r="R118" s="85">
        <f t="shared" si="53"/>
        <v>8939.8506666666672</v>
      </c>
      <c r="S118" s="101">
        <f t="shared" si="53"/>
        <v>5624.1974634146345</v>
      </c>
      <c r="T118" s="85">
        <f t="shared" si="53"/>
        <v>231.93333333333331</v>
      </c>
      <c r="U118" s="101">
        <f t="shared" si="53"/>
        <v>4132.4748387096779</v>
      </c>
      <c r="V118" s="85">
        <f t="shared" si="53"/>
        <v>684.50454545454545</v>
      </c>
      <c r="W118" s="101">
        <f t="shared" si="53"/>
        <v>4132.4748387096779</v>
      </c>
      <c r="X118" s="85">
        <f t="shared" si="53"/>
        <v>451.14394904458595</v>
      </c>
      <c r="Y118" s="101">
        <f t="shared" si="53"/>
        <v>231.93333333333331</v>
      </c>
      <c r="Z118" s="85">
        <f t="shared" si="53"/>
        <v>489.7268292682927</v>
      </c>
      <c r="AA118" s="101">
        <f t="shared" si="53"/>
        <v>231.93333333333331</v>
      </c>
      <c r="AB118" s="85">
        <f t="shared" si="53"/>
        <v>682.41142857142859</v>
      </c>
      <c r="AC118" s="101">
        <f t="shared" si="53"/>
        <v>231.93333333333331</v>
      </c>
      <c r="AD118" s="85">
        <f t="shared" si="53"/>
        <v>1630.0534351145038</v>
      </c>
      <c r="AE118" s="101">
        <f t="shared" si="53"/>
        <v>489.7268292682927</v>
      </c>
      <c r="AF118" s="85">
        <f t="shared" si="53"/>
        <v>643.90545454545452</v>
      </c>
    </row>
    <row r="119" spans="2:32" x14ac:dyDescent="0.25">
      <c r="B119" s="103" t="s">
        <v>111</v>
      </c>
      <c r="C119" s="283">
        <f>(MAX(C118:D118)-MIN(C118:D118))/(MAX(C118:D118))</f>
        <v>0.49866575583115663</v>
      </c>
      <c r="D119" s="284"/>
      <c r="E119" s="283">
        <f>(MAX(E118:F118)-MIN(E118:F118))/(MAX(E118:F118))</f>
        <v>0.22829461077310714</v>
      </c>
      <c r="F119" s="284"/>
      <c r="G119" s="283">
        <f>(MAX(G118:H118)-MIN(G118:H118))/(MAX(G118:H118))</f>
        <v>0.19809782372048876</v>
      </c>
      <c r="H119" s="284"/>
      <c r="I119" s="283">
        <f>(MAX(I118:J118)-MIN(I118:J118))/(MAX(I118:J118))</f>
        <v>0.34553717964903413</v>
      </c>
      <c r="J119" s="284"/>
      <c r="K119" s="283">
        <f>(MAX(K118:L118)-MIN(K118:L118))/(MAX(K118:L118))</f>
        <v>0.33946778886296913</v>
      </c>
      <c r="L119" s="284"/>
      <c r="M119" s="283">
        <f>(MAX(M118:N118)-MIN(M118:N118))/(MAX(M118:N118))</f>
        <v>0.58802488166123879</v>
      </c>
      <c r="N119" s="284"/>
      <c r="O119" s="283">
        <f>(MAX(O118:P118)-MIN(O118:P118))/(MAX(O118:P118))</f>
        <v>0</v>
      </c>
      <c r="P119" s="284"/>
      <c r="Q119" s="283">
        <f>(MAX(Q118:R118)-MIN(Q118:R118))/(MAX(Q118:R118))</f>
        <v>0.37088462960738855</v>
      </c>
      <c r="R119" s="284"/>
      <c r="S119" s="283">
        <f>(MAX(S118:T118)-MIN(S118:T118))/(MAX(S118:T118))</f>
        <v>0.95876152378324941</v>
      </c>
      <c r="T119" s="284"/>
      <c r="U119" s="283">
        <f>(MAX(U118:V118)-MIN(U118:V118))/(MAX(U118:V118))</f>
        <v>0.83435965803284251</v>
      </c>
      <c r="V119" s="284"/>
      <c r="W119" s="283">
        <f>(MAX(W118:X118)-MIN(W118:X118))/(MAX(W118:X118))</f>
        <v>0.89082959566537834</v>
      </c>
      <c r="X119" s="284"/>
      <c r="Y119" s="283">
        <f>(MAX(Y118:Z118)-MIN(Y118:Z118))/(MAX(Y118:Z118))</f>
        <v>0.5264026402640265</v>
      </c>
      <c r="Z119" s="284"/>
      <c r="AA119" s="283">
        <f>(MAX(AA118:AB118)-MIN(AA118:AB118))/(MAX(AA118:AB118))</f>
        <v>0.66012683313515663</v>
      </c>
      <c r="AB119" s="284"/>
      <c r="AC119" s="283">
        <f>(MAX(AC118:AD118)-MIN(AC118:AD118))/(MAX(AC118:AD118))</f>
        <v>0.8577142759022246</v>
      </c>
      <c r="AD119" s="284"/>
      <c r="AE119" s="283">
        <f>(MAX(AE118:AF118)-MIN(AE118:AF118))/(MAX(AE118:AF118))</f>
        <v>0.23944295577679106</v>
      </c>
      <c r="AF119" s="284"/>
    </row>
    <row r="120" spans="2:32" x14ac:dyDescent="0.25">
      <c r="B120" s="103" t="s">
        <v>112</v>
      </c>
      <c r="C120" s="285">
        <f>IF(C119&lt;25%,(C118*0.5+D118*0.5)*0.9,IF(C119&lt;50%,(MAX(C118:D118)*0.6+MIN(C118:D118)*0.4)*0.9,IF(C119&lt;70%,(MAX(C118:D118)*0.65+MIN(C118:D118)*0.35)*0.9,IF(C119&lt;100%,(MAX(C118:D118)*0.7+MIN(C118:D118)*0.3)*0.9,0.7*MAX(C118:D118)))))</f>
        <v>2342.5916882541251</v>
      </c>
      <c r="D120" s="286"/>
      <c r="E120" s="285">
        <f>IF(E119&lt;25%,(E118*0.5+F118*0.5)*0.9,IF(E119&lt;50%,(MAX(E118:F118)*0.6+MIN(E118:F118)*0.4)*0.9,IF(E119&lt;70%,(MAX(E118:F118)*0.65+MIN(E118:F118)*0.35)*0.9,IF(E119&lt;100%,(MAX(E118:F118)*0.7+MIN(E118:F118)*0.3)*0.9,0.7*MAX(E118:F118)))))</f>
        <v>3528.0020838343735</v>
      </c>
      <c r="F120" s="286"/>
      <c r="G120" s="285">
        <f>IF(G119&lt;25%,(G118*0.5+H118*0.5)*0.9,IF(G119&lt;50%,(MAX(G118:H118)*0.6+MIN(G118:H118)*0.4)*0.9,IF(G119&lt;70%,(MAX(G118:H118)*0.65+MIN(G118:H118)*0.35)*0.9,IF(G119&lt;100%,(MAX(G118:H118)*0.7+MIN(G118:H118)*0.3)*0.9,0.7*MAX(G118:H118)))))</f>
        <v>2636.4418346774196</v>
      </c>
      <c r="H120" s="286"/>
      <c r="I120" s="285">
        <f>IF(I119&lt;25%,(I118*0.5+J118*0.5)*0.9,IF(I119&lt;50%,(MAX(I118:J118)*0.6+MIN(I118:J118)*0.4)*0.9,IF(I119&lt;70%,(MAX(I118:J118)*0.65+MIN(I118:J118)*0.35)*0.9,IF(I119&lt;100%,(MAX(I118:J118)*0.7+MIN(I118:J118)*0.3)*0.9,0.7*MAX(I118:J118)))))</f>
        <v>2022.2617500000003</v>
      </c>
      <c r="J120" s="286"/>
      <c r="K120" s="285">
        <f>IF(K119&lt;25%,(K118*0.5+L118*0.5)*0.9,IF(K119&lt;50%,(MAX(K118:L118)*0.6+MIN(K118:L118)*0.4)*0.9,IF(K119&lt;70%,(MAX(K118:L118)*0.65+MIN(K118:L118)*0.35)*0.9,IF(K119&lt;100%,(MAX(K118:L118)*0.7+MIN(K118:L118)*0.3)*0.9,0.7*MAX(K118:L118)))))</f>
        <v>3070.1889774193551</v>
      </c>
      <c r="L120" s="286"/>
      <c r="M120" s="285">
        <f>IF(M119&lt;25%,(M118*0.5+N118*0.5)*0.9,IF(M119&lt;50%,(MAX(M118:N118)*0.6+MIN(M118:N118)*0.4)*0.9,IF(M119&lt;70%,(MAX(M118:N118)*0.65+MIN(M118:N118)*0.35)*0.9,IF(M119&lt;100%,(MAX(M118:N118)*0.7+MIN(M118:N118)*0.3)*0.9,0.7*MAX(M118:N118)))))</f>
        <v>3101.9564988549619</v>
      </c>
      <c r="N120" s="286"/>
      <c r="O120" s="285">
        <f>IF(O119&lt;25%,(O118*0.5+P118*0.5)*0.9,IF(O119&lt;50%,(MAX(O118:P118)*0.6+MIN(O118:P118)*0.4)*0.9,IF(O119&lt;70%,(MAX(O118:P118)*0.65+MIN(O118:P118)*0.35)*0.9,IF(O119&lt;100%,(MAX(O118:P118)*0.7+MIN(O118:P118)*0.3)*0.9,0.7*MAX(O118:P118)))))</f>
        <v>1053.0925714285718</v>
      </c>
      <c r="P120" s="286"/>
      <c r="Q120" s="285">
        <f>IF(Q119&lt;25%,(Q118*0.5+R118*0.5)*0.9,IF(Q119&lt;50%,(MAX(Q118:R118)*0.6+MIN(Q118:R118)*0.4)*0.9,IF(Q119&lt;70%,(MAX(Q118:R118)*0.65+MIN(Q118:R118)*0.35)*0.9,IF(Q119&lt;100%,(MAX(Q118:R118)*0.7+MIN(Q118:R118)*0.3)*0.9,0.7*MAX(Q118:R118)))))</f>
        <v>6852.2304468292687</v>
      </c>
      <c r="R120" s="286"/>
      <c r="S120" s="285">
        <f>IF(S119&lt;25%,(S118*0.5+T118*0.5)*0.9,IF(S119&lt;50%,(MAX(S118:T118)*0.6+MIN(S118:T118)*0.4)*0.9,IF(S119&lt;70%,(MAX(S118:T118)*0.65+MIN(S118:T118)*0.35)*0.9,IF(S119&lt;100%,(MAX(S118:T118)*0.7+MIN(S118:T118)*0.3)*0.9,0.7*MAX(S118:T118)))))</f>
        <v>3605.8664019512194</v>
      </c>
      <c r="T120" s="286"/>
      <c r="U120" s="285">
        <f>IF(U119&lt;25%,(U118*0.5+V118*0.5)*0.9,IF(U119&lt;50%,(MAX(U118:V118)*0.6+MIN(U118:V118)*0.4)*0.9,IF(U119&lt;70%,(MAX(U118:V118)*0.65+MIN(U118:V118)*0.35)*0.9,IF(U119&lt;100%,(MAX(U118:V118)*0.7+MIN(U118:V118)*0.3)*0.9,0.7*MAX(U118:V118)))))</f>
        <v>2788.2753756598245</v>
      </c>
      <c r="V120" s="286"/>
      <c r="W120" s="285">
        <f>IF(W119&lt;25%,(W118*0.5+X118*0.5)*0.9,IF(W119&lt;50%,(MAX(W118:X118)*0.6+MIN(W118:X118)*0.4)*0.9,IF(W119&lt;70%,(MAX(W118:X118)*0.65+MIN(W118:X118)*0.35)*0.9,IF(W119&lt;100%,(MAX(W118:X118)*0.7+MIN(W118:X118)*0.3)*0.9,0.7*MAX(W118:X118)))))</f>
        <v>2725.268014629135</v>
      </c>
      <c r="X120" s="286"/>
      <c r="Y120" s="285">
        <f>IF(Y119&lt;25%,(Y118*0.5+Z118*0.5)*0.9,IF(Y119&lt;50%,(MAX(Y118:Z118)*0.6+MIN(Y118:Z118)*0.4)*0.9,IF(Y119&lt;70%,(MAX(Y118:Z118)*0.65+MIN(Y118:Z118)*0.35)*0.9,IF(Y119&lt;100%,(MAX(Y118:Z118)*0.7+MIN(Y118:Z118)*0.3)*0.9,0.7*MAX(Y118:Z118)))))</f>
        <v>359.54919512195124</v>
      </c>
      <c r="Z120" s="286"/>
      <c r="AA120" s="285">
        <f>IF(AA119&lt;25%,(AA118*0.5+AB118*0.5)*0.9,IF(AA119&lt;50%,(MAX(AA118:AB118)*0.6+MIN(AA118:AB118)*0.4)*0.9,IF(AA119&lt;70%,(MAX(AA118:AB118)*0.65+MIN(AA118:AB118)*0.35)*0.9,IF(AA119&lt;100%,(MAX(AA118:AB118)*0.7+MIN(AA118:AB118)*0.3)*0.9,0.7*MAX(AA118:AB118)))))</f>
        <v>472.26968571428574</v>
      </c>
      <c r="AB120" s="286"/>
      <c r="AC120" s="285">
        <f>IF(AC119&lt;25%,(AC118*0.5+AD118*0.5)*0.9,IF(AC119&lt;50%,(MAX(AC118:AD118)*0.6+MIN(AC118:AD118)*0.4)*0.9,IF(AC119&lt;70%,(MAX(AC118:AD118)*0.65+MIN(AC118:AD118)*0.35)*0.9,IF(AC119&lt;100%,(MAX(AC118:AD118)*0.7+MIN(AC118:AD118)*0.3)*0.9,0.7*MAX(AC118:AD118)))))</f>
        <v>1089.5556641221372</v>
      </c>
      <c r="AD120" s="286"/>
      <c r="AE120" s="285">
        <f>IF(AE119&lt;25%,(AE118*0.5+AF118*0.5)*0.9,IF(AE119&lt;50%,(MAX(AE118:AF118)*0.6+MIN(AE118:AF118)*0.4)*0.9,IF(AE119&lt;70%,(MAX(AE118:AF118)*0.65+MIN(AE118:AF118)*0.35)*0.9,IF(AE119&lt;100%,(MAX(AE118:AF118)*0.7+MIN(AE118:AF118)*0.3)*0.9,0.7*MAX(AE118:AF118)))))</f>
        <v>510.1345277161862</v>
      </c>
      <c r="AF120" s="286"/>
    </row>
    <row r="121" spans="2:32" x14ac:dyDescent="0.25">
      <c r="B121" s="104" t="s">
        <v>15</v>
      </c>
      <c r="C121" s="287">
        <f>C120/(0.9*(0.9*($C$7/100))*($L$9*1000))</f>
        <v>4.5048107539212427</v>
      </c>
      <c r="D121" s="288"/>
      <c r="E121" s="287">
        <f>E120/(0.9*(0.9*($C$7/100))*($L$9*1000))</f>
        <v>6.7843584551255196</v>
      </c>
      <c r="F121" s="288"/>
      <c r="G121" s="287">
        <f>G120/(0.9*(0.9*($C$7/100))*($L$9*1000))</f>
        <v>5.0698854557082784</v>
      </c>
      <c r="H121" s="288"/>
      <c r="I121" s="287">
        <f>I120/(0.9*(0.9*($C$7/100))*($L$9*1000))</f>
        <v>3.8888153340256144</v>
      </c>
      <c r="J121" s="288"/>
      <c r="K121" s="287">
        <f>K120/(0.9*(0.9*($C$7/100))*($L$9*1000))</f>
        <v>5.9039824957104621</v>
      </c>
      <c r="L121" s="288"/>
      <c r="M121" s="287">
        <f>M120/(0.9*(0.9*($C$7/100))*($L$9*1000))</f>
        <v>5.9650715335082518</v>
      </c>
      <c r="N121" s="288"/>
      <c r="O121" s="287">
        <f>O120/(0.9*(0.9*($C$7/100))*($L$9*1000))</f>
        <v>2.0251001335113488</v>
      </c>
      <c r="P121" s="288"/>
      <c r="Q121" s="287">
        <f>Q120/(0.9*(0.9*($C$7/100))*($L$9*1000))</f>
        <v>13.176859441616221</v>
      </c>
      <c r="R121" s="288"/>
      <c r="S121" s="287">
        <f>S120/(0.9*(0.9*($C$7/100))*($L$9*1000))</f>
        <v>6.9340917694535182</v>
      </c>
      <c r="T121" s="288"/>
      <c r="U121" s="287">
        <f>U120/(0.9*(0.9*($C$7/100))*($L$9*1000))</f>
        <v>5.3618618046610207</v>
      </c>
      <c r="V121" s="288"/>
      <c r="W121" s="287">
        <f>W120/(0.9*(0.9*($C$7/100))*($L$9*1000))</f>
        <v>5.2406984628074582</v>
      </c>
      <c r="X121" s="288"/>
      <c r="Y121" s="287">
        <f>Y120/(0.9*(0.9*($C$7/100))*($L$9*1000))</f>
        <v>0.69141416699732927</v>
      </c>
      <c r="Z121" s="288"/>
      <c r="AA121" s="287">
        <f>AA120/(0.9*(0.9*($C$7/100))*($L$9*1000))</f>
        <v>0.90817600421961786</v>
      </c>
      <c r="AB121" s="288"/>
      <c r="AC121" s="287">
        <f>AC120/(0.9*(0.9*($C$7/100))*($L$9*1000))</f>
        <v>2.0952187687437731</v>
      </c>
      <c r="AD121" s="288"/>
      <c r="AE121" s="287">
        <f>AE120/(0.9*(0.9*($C$7/100))*($L$9*1000))</f>
        <v>0.98099020752314547</v>
      </c>
      <c r="AF121" s="288"/>
    </row>
    <row r="122" spans="2:32" x14ac:dyDescent="0.25">
      <c r="B122" s="104" t="s">
        <v>98</v>
      </c>
      <c r="C122" s="281">
        <f>(C121*($L$9))/(0.85*$L$6*100)</f>
        <v>6.3537947031744674E-2</v>
      </c>
      <c r="D122" s="282"/>
      <c r="E122" s="281">
        <f>(E121*($L$9))/(0.85*$L$6*100)</f>
        <v>9.5689748518494738E-2</v>
      </c>
      <c r="F122" s="282"/>
      <c r="G122" s="281">
        <f>(G121*($L$9))/(0.85*$L$6*100)</f>
        <v>7.1508023563787881E-2</v>
      </c>
      <c r="H122" s="282"/>
      <c r="I122" s="281">
        <f>(I121*($L$9))/(0.85*$L$6*100)</f>
        <v>5.4849660997296532E-2</v>
      </c>
      <c r="J122" s="282"/>
      <c r="K122" s="281">
        <f>(K121*($L$9))/(0.85*$L$6*100)</f>
        <v>8.3272516334291585E-2</v>
      </c>
      <c r="L122" s="282"/>
      <c r="M122" s="281">
        <f>(M121*($L$9))/(0.85*$L$6*100)</f>
        <v>8.4134144549070089E-2</v>
      </c>
      <c r="N122" s="282"/>
      <c r="O122" s="281">
        <f>(O121*($L$9))/(0.85*$L$6*100)</f>
        <v>2.8562954593602152E-2</v>
      </c>
      <c r="P122" s="282"/>
      <c r="Q122" s="281">
        <f>(Q121*($L$9))/(0.85*$L$6*100)</f>
        <v>0.18585255696199515</v>
      </c>
      <c r="R122" s="282"/>
      <c r="S122" s="281">
        <f>(S121*($L$9))/(0.85*$L$6*100)</f>
        <v>9.7801656857014529E-2</v>
      </c>
      <c r="T122" s="282"/>
      <c r="U122" s="281">
        <f>(U121*($L$9))/(0.85*$L$6*100)</f>
        <v>7.562619385054925E-2</v>
      </c>
      <c r="V122" s="282"/>
      <c r="W122" s="281">
        <f>(W121*($L$9))/(0.85*$L$6*100)</f>
        <v>7.3917249697861009E-2</v>
      </c>
      <c r="X122" s="282"/>
      <c r="Y122" s="281">
        <f>(Y121*($L$9))/(0.85*$L$6*100)</f>
        <v>9.7520271370854159E-3</v>
      </c>
      <c r="Z122" s="282"/>
      <c r="AA122" s="281">
        <f>(AA121*($L$9))/(0.85*$L$6*100)</f>
        <v>1.2809336951919475E-2</v>
      </c>
      <c r="AB122" s="282"/>
      <c r="AC122" s="281">
        <f>(AC121*($L$9))/(0.85*$L$6*100)</f>
        <v>2.9551940452210743E-2</v>
      </c>
      <c r="AD122" s="282"/>
      <c r="AE122" s="281">
        <f>(AE121*($L$9))/(0.85*$L$6*100)</f>
        <v>1.3836342356892612E-2</v>
      </c>
      <c r="AF122" s="282"/>
    </row>
    <row r="123" spans="2:32" ht="15.75" thickBot="1" x14ac:dyDescent="0.3">
      <c r="B123" s="105" t="s">
        <v>15</v>
      </c>
      <c r="C123" s="289">
        <f>ROUNDUP(C120/(0.9*(($C$7-C122/2)/100)*($L$9*1000)),2)</f>
        <v>4.0699999999999994</v>
      </c>
      <c r="D123" s="290"/>
      <c r="E123" s="289">
        <f>ROUNDUP(E120/(0.9*(($C$7-E122/2)/100)*($L$9*1000)),2)</f>
        <v>6.13</v>
      </c>
      <c r="F123" s="290"/>
      <c r="G123" s="289">
        <f>ROUNDUP(G120/(0.9*(($C$7-G122/2)/100)*($L$9*1000)),2)</f>
        <v>4.58</v>
      </c>
      <c r="H123" s="290"/>
      <c r="I123" s="289">
        <f>ROUNDUP(I120/(0.9*(($C$7-I122/2)/100)*($L$9*1000)),2)</f>
        <v>3.51</v>
      </c>
      <c r="J123" s="290"/>
      <c r="K123" s="289">
        <f>ROUNDUP(K120/(0.9*(($C$7-K122/2)/100)*($L$9*1000)),2)</f>
        <v>5.33</v>
      </c>
      <c r="L123" s="290"/>
      <c r="M123" s="289">
        <f>ROUNDUP(M120/(0.9*(($C$7-M122/2)/100)*($L$9*1000)),2)</f>
        <v>5.39</v>
      </c>
      <c r="N123" s="290"/>
      <c r="O123" s="289">
        <f>ROUNDUP(O120/(0.9*(($C$7-O122/2)/100)*($L$9*1000)),2)</f>
        <v>1.83</v>
      </c>
      <c r="P123" s="290"/>
      <c r="Q123" s="289">
        <f>ROUNDUP(Q120/(0.9*(($C$7-Q122/2)/100)*($L$9*1000)),2)</f>
        <v>11.94</v>
      </c>
      <c r="R123" s="290"/>
      <c r="S123" s="289">
        <f>ROUNDUP(S120/(0.9*(($C$7-S122/2)/100)*($L$9*1000)),2)</f>
        <v>6.27</v>
      </c>
      <c r="T123" s="290"/>
      <c r="U123" s="289">
        <f>ROUNDUP(U120/(0.9*(($C$7-U122/2)/100)*($L$9*1000)),2)</f>
        <v>4.84</v>
      </c>
      <c r="V123" s="290"/>
      <c r="W123" s="289">
        <f>ROUNDUP(W120/(0.9*(($C$7-W122/2)/100)*($L$9*1000)),2)</f>
        <v>4.7299999999999995</v>
      </c>
      <c r="X123" s="290"/>
      <c r="Y123" s="289">
        <f>ROUNDUP(Y120/(0.9*(($C$7-Y122/2)/100)*($L$9*1000)),2)</f>
        <v>0.63</v>
      </c>
      <c r="Z123" s="290"/>
      <c r="AA123" s="289">
        <f>ROUNDUP(AA120/(0.9*(($C$7-AA122/2)/100)*($L$9*1000)),2)</f>
        <v>0.82000000000000006</v>
      </c>
      <c r="AB123" s="290"/>
      <c r="AC123" s="289">
        <f>ROUNDUP(AC120/(0.9*(($C$7-AC122/2)/100)*($L$9*1000)),2)</f>
        <v>1.89</v>
      </c>
      <c r="AD123" s="290"/>
      <c r="AE123" s="289">
        <f>ROUNDUP(AE120/(0.9*(($C$7-AE122/2)/100)*($L$9*1000)),2)</f>
        <v>0.89</v>
      </c>
      <c r="AF123" s="290"/>
    </row>
    <row r="124" spans="2:32" ht="16.5" thickBot="1" x14ac:dyDescent="0.3">
      <c r="B124" s="61" t="s">
        <v>113</v>
      </c>
      <c r="C124" s="279" t="str">
        <f>IF(C123&gt;$C$12,"$\phi"&amp;IF(VLOOKUP(VLOOKUP(C123,tablas!$S$3:$U$66,2,TRUE)&amp;VLOOKUP(C123,tablas!$S$3:$U$66,3,TRUE),tablas!$R$3:$S$66,2,FALSE)&lt;C123,VLOOKUP(C123+0.1,tablas!$S$3:$U$66,2,TRUE),VLOOKUP(C123,tablas!$S$3:$U$66,2,TRUE))&amp;"@"&amp;IF(VLOOKUP(VLOOKUP(C123,tablas!$S$3:$U$66,2,TRUE)&amp;VLOOKUP(C123,tablas!$S$3:$U$66,3,TRUE),tablas!$R$3:$S$66,2,FALSE)&lt;C123,VLOOKUP(C123+0.1,tablas!$S$3:$U$66,3,TRUE)&amp;"$",VLOOKUP(C123,tablas!$S$3:$U$66,3,TRUE)&amp;"$"),$C$13)</f>
        <v>$\phi10@19$</v>
      </c>
      <c r="D124" s="280"/>
      <c r="E124" s="279" t="str">
        <f>IF(E123&gt;$C$12,"$\phi"&amp;IF(VLOOKUP(VLOOKUP(E123,tablas!$S$3:$U$66,2,TRUE)&amp;VLOOKUP(E123,tablas!$S$3:$U$66,3,TRUE),tablas!$R$3:$S$66,2,FALSE)&lt;E123,VLOOKUP(E123+0.1,tablas!$S$3:$U$66,2,TRUE),VLOOKUP(E123,tablas!$S$3:$U$66,2,TRUE))&amp;"@"&amp;IF(VLOOKUP(VLOOKUP(E123,tablas!$S$3:$U$66,2,TRUE)&amp;VLOOKUP(E123,tablas!$S$3:$U$66,3,TRUE),tablas!$R$3:$S$66,2,FALSE)&lt;E123,VLOOKUP(E123+0.1,tablas!$S$3:$U$66,3,TRUE)&amp;"$",VLOOKUP(E123,tablas!$S$3:$U$66,3,TRUE)&amp;"$"),$C$13)</f>
        <v>$\phi10@13$</v>
      </c>
      <c r="F124" s="280"/>
      <c r="G124" s="279" t="str">
        <f>IF(G123&gt;$C$12,"$\phi"&amp;IF(VLOOKUP(VLOOKUP(G123,tablas!$S$3:$U$66,2,TRUE)&amp;VLOOKUP(G123,tablas!$S$3:$U$66,3,TRUE),tablas!$R$3:$S$66,2,FALSE)&lt;G123,VLOOKUP(G123+0.1,tablas!$S$3:$U$66,2,TRUE),VLOOKUP(G123,tablas!$S$3:$U$66,2,TRUE))&amp;"@"&amp;IF(VLOOKUP(VLOOKUP(G123,tablas!$S$3:$U$66,2,TRUE)&amp;VLOOKUP(G123,tablas!$S$3:$U$66,3,TRUE),tablas!$R$3:$S$66,2,FALSE)&lt;G123,VLOOKUP(G123+0.1,tablas!$S$3:$U$66,3,TRUE)&amp;"$",VLOOKUP(G123,tablas!$S$3:$U$66,3,TRUE)&amp;"$"),$C$13)</f>
        <v>$\phi10@17$</v>
      </c>
      <c r="H124" s="280"/>
      <c r="I124" s="279" t="str">
        <f>IF(I123&gt;$C$12,"$\phi"&amp;IF(VLOOKUP(VLOOKUP(I123,tablas!$S$3:$U$66,2,TRUE)&amp;VLOOKUP(I123,tablas!$S$3:$U$66,3,TRUE),tablas!$R$3:$S$66,2,FALSE)&lt;I123,VLOOKUP(I123+0.1,tablas!$S$3:$U$66,2,TRUE),VLOOKUP(I123,tablas!$S$3:$U$66,2,TRUE))&amp;"@"&amp;IF(VLOOKUP(VLOOKUP(I123,tablas!$S$3:$U$66,2,TRUE)&amp;VLOOKUP(I123,tablas!$S$3:$U$66,3,TRUE),tablas!$R$3:$S$66,2,FALSE)&lt;I123,VLOOKUP(I123+0.1,tablas!$S$3:$U$66,3,TRUE)&amp;"$",VLOOKUP(I123,tablas!$S$3:$U$66,3,TRUE)&amp;"$"),$C$13)</f>
        <v>$\phi8@14$</v>
      </c>
      <c r="J124" s="280"/>
      <c r="K124" s="279" t="str">
        <f>IF(K123&gt;$C$12,"$\phi"&amp;IF(VLOOKUP(VLOOKUP(K123,tablas!$S$3:$U$66,2,TRUE)&amp;VLOOKUP(K123,tablas!$S$3:$U$66,3,TRUE),tablas!$R$3:$S$66,2,FALSE)&lt;K123,VLOOKUP(K123+0.1,tablas!$S$3:$U$66,2,TRUE),VLOOKUP(K123,tablas!$S$3:$U$66,2,TRUE))&amp;"@"&amp;IF(VLOOKUP(VLOOKUP(K123,tablas!$S$3:$U$66,2,TRUE)&amp;VLOOKUP(K123,tablas!$S$3:$U$66,3,TRUE),tablas!$R$3:$S$66,2,FALSE)&lt;K123,VLOOKUP(K123+0.1,tablas!$S$3:$U$66,3,TRUE)&amp;"$",VLOOKUP(K123,tablas!$S$3:$U$66,3,TRUE)&amp;"$"),$C$13)</f>
        <v>$\phi12@21$</v>
      </c>
      <c r="L124" s="280"/>
      <c r="M124" s="279" t="str">
        <f>IF(M123&gt;$C$12,"$\phi"&amp;IF(VLOOKUP(VLOOKUP(M123,tablas!$S$3:$U$66,2,TRUE)&amp;VLOOKUP(M123,tablas!$S$3:$U$66,3,TRUE),tablas!$R$3:$S$66,2,FALSE)&lt;M123,VLOOKUP(M123+0.1,tablas!$S$3:$U$66,2,TRUE),VLOOKUP(M123,tablas!$S$3:$U$66,2,TRUE))&amp;"@"&amp;IF(VLOOKUP(VLOOKUP(M123,tablas!$S$3:$U$66,2,TRUE)&amp;VLOOKUP(M123,tablas!$S$3:$U$66,3,TRUE),tablas!$R$3:$S$66,2,FALSE)&lt;M123,VLOOKUP(M123+0.1,tablas!$S$3:$U$66,3,TRUE)&amp;"$",VLOOKUP(M123,tablas!$S$3:$U$66,3,TRUE)&amp;"$"),$C$13)</f>
        <v>$\phi12@21$</v>
      </c>
      <c r="N124" s="280"/>
      <c r="O124" s="279" t="str">
        <f>IF(O123&gt;$C$12,"$\phi"&amp;IF(VLOOKUP(VLOOKUP(O123,tablas!$S$3:$U$66,2,TRUE)&amp;VLOOKUP(O123,tablas!$S$3:$U$66,3,TRUE),tablas!$R$3:$S$66,2,FALSE)&lt;O123,VLOOKUP(O123+0.1,tablas!$S$3:$U$66,2,TRUE),VLOOKUP(O123,tablas!$S$3:$U$66,2,TRUE))&amp;"@"&amp;IF(VLOOKUP(VLOOKUP(O123,tablas!$S$3:$U$66,2,TRUE)&amp;VLOOKUP(O123,tablas!$S$3:$U$66,3,TRUE),tablas!$R$3:$S$66,2,FALSE)&lt;O123,VLOOKUP(O123+0.1,tablas!$S$3:$U$66,3,TRUE)&amp;"$",VLOOKUP(O123,tablas!$S$3:$U$66,3,TRUE)&amp;"$"),$C$13)</f>
        <v>$\phi8@16$</v>
      </c>
      <c r="P124" s="280"/>
      <c r="Q124" s="279" t="str">
        <f>IF(Q123&gt;$C$12,"$\phi"&amp;IF(VLOOKUP(VLOOKUP(Q123,tablas!$S$3:$U$66,2,TRUE)&amp;VLOOKUP(Q123,tablas!$S$3:$U$66,3,TRUE),tablas!$R$3:$S$66,2,FALSE)&lt;Q123,VLOOKUP(Q123+0.1,tablas!$S$3:$U$66,2,TRUE),VLOOKUP(Q123,tablas!$S$3:$U$66,2,TRUE))&amp;"@"&amp;IF(VLOOKUP(VLOOKUP(Q123,tablas!$S$3:$U$66,2,TRUE)&amp;VLOOKUP(Q123,tablas!$S$3:$U$66,3,TRUE),tablas!$R$3:$S$66,2,FALSE)&lt;Q123,VLOOKUP(Q123+0.1,tablas!$S$3:$U$66,3,TRUE)&amp;"$",VLOOKUP(Q123,tablas!$S$3:$U$66,3,TRUE)&amp;"$"),$C$13)</f>
        <v>$\phi16@17$</v>
      </c>
      <c r="R124" s="280"/>
      <c r="S124" s="279" t="str">
        <f>IF(S123&gt;$C$12,"$\phi"&amp;IF(VLOOKUP(VLOOKUP(S123,tablas!$S$3:$U$66,2,TRUE)&amp;VLOOKUP(S123,tablas!$S$3:$U$66,3,TRUE),tablas!$R$3:$S$66,2,FALSE)&lt;S123,VLOOKUP(S123+0.1,tablas!$S$3:$U$66,2,TRUE),VLOOKUP(S123,tablas!$S$3:$U$66,2,TRUE))&amp;"@"&amp;IF(VLOOKUP(VLOOKUP(S123,tablas!$S$3:$U$66,2,TRUE)&amp;VLOOKUP(S123,tablas!$S$3:$U$66,3,TRUE),tablas!$R$3:$S$66,2,FALSE)&lt;S123,VLOOKUP(S123+0.1,tablas!$S$3:$U$66,3,TRUE)&amp;"$",VLOOKUP(S123,tablas!$S$3:$U$66,3,TRUE)&amp;"$"),$C$13)</f>
        <v>$\phi12@18$</v>
      </c>
      <c r="T124" s="280"/>
      <c r="U124" s="279" t="str">
        <f>IF(U123&gt;$C$12,"$\phi"&amp;IF(VLOOKUP(VLOOKUP(U123,tablas!$S$3:$U$66,2,TRUE)&amp;VLOOKUP(U123,tablas!$S$3:$U$66,3,TRUE),tablas!$R$3:$S$66,2,FALSE)&lt;U123,VLOOKUP(U123+0.1,tablas!$S$3:$U$66,2,TRUE),VLOOKUP(U123,tablas!$S$3:$U$66,2,TRUE))&amp;"@"&amp;IF(VLOOKUP(VLOOKUP(U123,tablas!$S$3:$U$66,2,TRUE)&amp;VLOOKUP(U123,tablas!$S$3:$U$66,3,TRUE),tablas!$R$3:$S$66,2,FALSE)&lt;U123,VLOOKUP(U123+0.1,tablas!$S$3:$U$66,3,TRUE)&amp;"$",VLOOKUP(U123,tablas!$S$3:$U$66,3,TRUE)&amp;"$"),$C$13)</f>
        <v>$\phi12@23$</v>
      </c>
      <c r="V124" s="280"/>
      <c r="W124" s="279" t="str">
        <f>IF(W123&gt;$C$12,"$\phi"&amp;IF(VLOOKUP(VLOOKUP(W123,tablas!$S$3:$U$66,2,TRUE)&amp;VLOOKUP(W123,tablas!$S$3:$U$66,3,TRUE),tablas!$R$3:$S$66,2,FALSE)&lt;W123,VLOOKUP(W123+0.1,tablas!$S$3:$U$66,2,TRUE),VLOOKUP(W123,tablas!$S$3:$U$66,2,TRUE))&amp;"@"&amp;IF(VLOOKUP(VLOOKUP(W123,tablas!$S$3:$U$66,2,TRUE)&amp;VLOOKUP(W123,tablas!$S$3:$U$66,3,TRUE),tablas!$R$3:$S$66,2,FALSE)&lt;W123,VLOOKUP(W123+0.1,tablas!$S$3:$U$66,3,TRUE)&amp;"$",VLOOKUP(W123,tablas!$S$3:$U$66,3,TRUE)&amp;"$"),$C$13)</f>
        <v>$\phi12@24$</v>
      </c>
      <c r="X124" s="280"/>
      <c r="Y124" s="279" t="str">
        <f>IF(Y123&gt;$C$12,"$\phi"&amp;IF(VLOOKUP(VLOOKUP(Y123,tablas!$S$3:$U$66,2,TRUE)&amp;VLOOKUP(Y123,tablas!$S$3:$U$66,3,TRUE),tablas!$R$3:$S$66,2,FALSE)&lt;Y123,VLOOKUP(Y123+0.1,tablas!$S$3:$U$66,2,TRUE),VLOOKUP(Y123,tablas!$S$3:$U$66,2,TRUE))&amp;"@"&amp;IF(VLOOKUP(VLOOKUP(Y123,tablas!$S$3:$U$66,2,TRUE)&amp;VLOOKUP(Y123,tablas!$S$3:$U$66,3,TRUE),tablas!$R$3:$S$66,2,FALSE)&lt;Y123,VLOOKUP(Y123+0.1,tablas!$S$3:$U$66,3,TRUE)&amp;"$",VLOOKUP(Y123,tablas!$S$3:$U$66,3,TRUE)&amp;"$"),$C$13)</f>
        <v>$\phi8@16$</v>
      </c>
      <c r="Z124" s="280"/>
      <c r="AA124" s="279" t="str">
        <f>IF(AA123&gt;$C$12,"$\phi"&amp;IF(VLOOKUP(VLOOKUP(AA123,tablas!$S$3:$U$66,2,TRUE)&amp;VLOOKUP(AA123,tablas!$S$3:$U$66,3,TRUE),tablas!$R$3:$S$66,2,FALSE)&lt;AA123,VLOOKUP(AA123+0.1,tablas!$S$3:$U$66,2,TRUE),VLOOKUP(AA123,tablas!$S$3:$U$66,2,TRUE))&amp;"@"&amp;IF(VLOOKUP(VLOOKUP(AA123,tablas!$S$3:$U$66,2,TRUE)&amp;VLOOKUP(AA123,tablas!$S$3:$U$66,3,TRUE),tablas!$R$3:$S$66,2,FALSE)&lt;AA123,VLOOKUP(AA123+0.1,tablas!$S$3:$U$66,3,TRUE)&amp;"$",VLOOKUP(AA123,tablas!$S$3:$U$66,3,TRUE)&amp;"$"),$C$13)</f>
        <v>$\phi8@16$</v>
      </c>
      <c r="AB124" s="280"/>
      <c r="AC124" s="279" t="str">
        <f>IF(AC123&gt;$C$12,"$\phi"&amp;IF(VLOOKUP(VLOOKUP(AC123,tablas!$S$3:$U$66,2,TRUE)&amp;VLOOKUP(AC123,tablas!$S$3:$U$66,3,TRUE),tablas!$R$3:$S$66,2,FALSE)&lt;AC123,VLOOKUP(AC123+0.1,tablas!$S$3:$U$66,2,TRUE),VLOOKUP(AC123,tablas!$S$3:$U$66,2,TRUE))&amp;"@"&amp;IF(VLOOKUP(VLOOKUP(AC123,tablas!$S$3:$U$66,2,TRUE)&amp;VLOOKUP(AC123,tablas!$S$3:$U$66,3,TRUE),tablas!$R$3:$S$66,2,FALSE)&lt;AC123,VLOOKUP(AC123+0.1,tablas!$S$3:$U$66,3,TRUE)&amp;"$",VLOOKUP(AC123,tablas!$S$3:$U$66,3,TRUE)&amp;"$"),$C$13)</f>
        <v>$\phi8@16$</v>
      </c>
      <c r="AD124" s="280"/>
      <c r="AE124" s="279" t="str">
        <f>IF(AE123&gt;$C$12,"$\phi"&amp;IF(VLOOKUP(VLOOKUP(AE123,tablas!$S$3:$U$66,2,TRUE)&amp;VLOOKUP(AE123,tablas!$S$3:$U$66,3,TRUE),tablas!$R$3:$S$66,2,FALSE)&lt;AE123,VLOOKUP(AE123+0.1,tablas!$S$3:$U$66,2,TRUE),VLOOKUP(AE123,tablas!$S$3:$U$66,2,TRUE))&amp;"@"&amp;IF(VLOOKUP(VLOOKUP(AE123,tablas!$S$3:$U$66,2,TRUE)&amp;VLOOKUP(AE123,tablas!$S$3:$U$66,3,TRUE),tablas!$R$3:$S$66,2,FALSE)&lt;AE123,VLOOKUP(AE123+0.1,tablas!$S$3:$U$66,3,TRUE)&amp;"$",VLOOKUP(AE123,tablas!$S$3:$U$66,3,TRUE)&amp;"$"),$C$13)</f>
        <v>$\phi8@16$</v>
      </c>
      <c r="AF124" s="280"/>
    </row>
    <row r="125" spans="2:32" ht="15.75" thickBot="1" x14ac:dyDescent="0.3"/>
    <row r="126" spans="2:32" ht="15.75" thickBot="1" x14ac:dyDescent="0.3">
      <c r="B126" s="73" t="s">
        <v>43</v>
      </c>
      <c r="C126" s="74" t="s">
        <v>69</v>
      </c>
      <c r="D126" s="75" t="s">
        <v>77</v>
      </c>
      <c r="E126" s="74" t="s">
        <v>69</v>
      </c>
      <c r="F126" s="75" t="s">
        <v>70</v>
      </c>
      <c r="G126" s="74" t="s">
        <v>69</v>
      </c>
      <c r="H126" s="75" t="s">
        <v>72</v>
      </c>
      <c r="I126" s="74" t="s">
        <v>70</v>
      </c>
      <c r="J126" s="75" t="s">
        <v>73</v>
      </c>
      <c r="K126" s="74" t="s">
        <v>70</v>
      </c>
      <c r="L126" s="75" t="s">
        <v>71</v>
      </c>
      <c r="M126" s="74" t="s">
        <v>71</v>
      </c>
      <c r="N126" s="75" t="s">
        <v>74</v>
      </c>
      <c r="O126" s="74" t="s">
        <v>71</v>
      </c>
      <c r="P126" s="75" t="s">
        <v>75</v>
      </c>
      <c r="Q126" s="74" t="s">
        <v>71</v>
      </c>
      <c r="R126" s="75" t="s">
        <v>75</v>
      </c>
      <c r="S126" s="74" t="s">
        <v>72</v>
      </c>
      <c r="T126" s="75" t="s">
        <v>73</v>
      </c>
      <c r="U126" s="74" t="s">
        <v>72</v>
      </c>
      <c r="V126" s="75" t="s">
        <v>77</v>
      </c>
      <c r="W126" s="74" t="s">
        <v>73</v>
      </c>
      <c r="X126" s="75" t="s">
        <v>74</v>
      </c>
      <c r="Y126" s="74" t="s">
        <v>74</v>
      </c>
      <c r="Z126" s="75" t="s">
        <v>75</v>
      </c>
      <c r="AA126" s="74" t="s">
        <v>75</v>
      </c>
      <c r="AB126" s="75" t="s">
        <v>76</v>
      </c>
    </row>
    <row r="127" spans="2:32" ht="15.75" hidden="1" thickBot="1" x14ac:dyDescent="0.3">
      <c r="B127" s="141"/>
      <c r="C127" s="143" t="str">
        <f>C126&amp;"-"&amp;D126</f>
        <v>0121-0129</v>
      </c>
      <c r="D127" s="143"/>
      <c r="E127" s="143" t="str">
        <f>E126&amp;"-"&amp;F126</f>
        <v>0121-0122</v>
      </c>
      <c r="F127" s="142"/>
      <c r="G127" s="143" t="str">
        <f>G126&amp;"-"&amp;H126</f>
        <v>0121-0124</v>
      </c>
      <c r="H127" s="142"/>
      <c r="I127" s="143" t="str">
        <f>I126&amp;"-"&amp;J126</f>
        <v>0122-0125</v>
      </c>
      <c r="J127" s="142"/>
      <c r="K127" s="143" t="str">
        <f>K126&amp;"-"&amp;L126</f>
        <v>0122-0123</v>
      </c>
      <c r="L127" s="142"/>
      <c r="M127" s="143" t="str">
        <f>M126&amp;"-"&amp;N126</f>
        <v>0123-0126</v>
      </c>
      <c r="N127" s="142"/>
      <c r="O127" s="143" t="str">
        <f>O126&amp;"-"&amp;P126</f>
        <v>0123-0127</v>
      </c>
      <c r="P127" s="142"/>
      <c r="Q127" s="143" t="str">
        <f>Q126&amp;"-"&amp;R126</f>
        <v>0123-0127</v>
      </c>
      <c r="R127" s="142"/>
      <c r="S127" s="143" t="str">
        <f>S126&amp;"-"&amp;T126</f>
        <v>0124-0125</v>
      </c>
      <c r="T127" s="142"/>
      <c r="U127" s="143" t="str">
        <f>U126&amp;"-"&amp;V126</f>
        <v>0124-0129</v>
      </c>
      <c r="V127" s="142"/>
      <c r="W127" s="143" t="str">
        <f>W126&amp;"-"&amp;X126</f>
        <v>0125-0126</v>
      </c>
      <c r="X127" s="142"/>
      <c r="Y127" s="143" t="str">
        <f>Y126&amp;"-"&amp;Z126</f>
        <v>0126-0127</v>
      </c>
      <c r="Z127" s="142"/>
      <c r="AA127" s="143" t="str">
        <f>AA126&amp;"-"&amp;AB126</f>
        <v>0127-0128</v>
      </c>
      <c r="AB127" s="142"/>
    </row>
    <row r="128" spans="2:32" x14ac:dyDescent="0.25">
      <c r="B128" s="102" t="s">
        <v>114</v>
      </c>
      <c r="C128" s="99" t="s">
        <v>108</v>
      </c>
      <c r="D128" s="100" t="s">
        <v>109</v>
      </c>
      <c r="E128" s="99" t="s">
        <v>108</v>
      </c>
      <c r="F128" s="100" t="s">
        <v>108</v>
      </c>
      <c r="G128" s="99" t="s">
        <v>109</v>
      </c>
      <c r="H128" s="100" t="s">
        <v>108</v>
      </c>
      <c r="I128" s="99" t="s">
        <v>109</v>
      </c>
      <c r="J128" s="100" t="s">
        <v>109</v>
      </c>
      <c r="K128" s="99" t="s">
        <v>108</v>
      </c>
      <c r="L128" s="100" t="s">
        <v>108</v>
      </c>
      <c r="M128" s="99" t="s">
        <v>109</v>
      </c>
      <c r="N128" s="100" t="s">
        <v>109</v>
      </c>
      <c r="O128" s="99" t="s">
        <v>108</v>
      </c>
      <c r="P128" s="100" t="s">
        <v>108</v>
      </c>
      <c r="Q128" s="99" t="s">
        <v>109</v>
      </c>
      <c r="R128" s="100" t="s">
        <v>109</v>
      </c>
      <c r="S128" s="99" t="s">
        <v>109</v>
      </c>
      <c r="T128" s="100" t="s">
        <v>108</v>
      </c>
      <c r="U128" s="99" t="s">
        <v>108</v>
      </c>
      <c r="V128" s="100" t="s">
        <v>108</v>
      </c>
      <c r="W128" s="99" t="s">
        <v>108</v>
      </c>
      <c r="X128" s="100" t="s">
        <v>108</v>
      </c>
      <c r="Y128" s="99" t="s">
        <v>108</v>
      </c>
      <c r="Z128" s="100" t="s">
        <v>108</v>
      </c>
      <c r="AA128" s="99" t="s">
        <v>108</v>
      </c>
      <c r="AB128" s="100" t="s">
        <v>108</v>
      </c>
    </row>
    <row r="129" spans="2:28" x14ac:dyDescent="0.25">
      <c r="B129" s="103" t="s">
        <v>110</v>
      </c>
      <c r="C129" s="101">
        <f t="shared" ref="C129:AB129" si="54">HLOOKUP(C126,$B$46:$AE$90,IF(C128="x",36,41),FALSE)</f>
        <v>995.18333333333339</v>
      </c>
      <c r="D129" s="85">
        <f t="shared" si="54"/>
        <v>451.14394904458595</v>
      </c>
      <c r="E129" s="101">
        <f t="shared" si="54"/>
        <v>995.18333333333339</v>
      </c>
      <c r="F129" s="85">
        <f t="shared" si="54"/>
        <v>2156.939393939394</v>
      </c>
      <c r="G129" s="101">
        <f t="shared" si="54"/>
        <v>682.41142857142859</v>
      </c>
      <c r="H129" s="85">
        <f t="shared" si="54"/>
        <v>8939.8506666666672</v>
      </c>
      <c r="I129" s="101">
        <f t="shared" si="54"/>
        <v>1630.0534351145038</v>
      </c>
      <c r="J129" s="85">
        <f t="shared" si="54"/>
        <v>2333.1899641577061</v>
      </c>
      <c r="K129" s="101">
        <f t="shared" si="54"/>
        <v>2156.939393939394</v>
      </c>
      <c r="L129" s="85">
        <f t="shared" si="54"/>
        <v>3947.3156989247309</v>
      </c>
      <c r="M129" s="101">
        <f t="shared" si="54"/>
        <v>3414.887069767442</v>
      </c>
      <c r="N129" s="85">
        <f t="shared" si="54"/>
        <v>2742.9764885496184</v>
      </c>
      <c r="O129" s="101">
        <f t="shared" si="54"/>
        <v>3947.3156989247309</v>
      </c>
      <c r="P129" s="85">
        <f t="shared" si="54"/>
        <v>5742.5419191919182</v>
      </c>
      <c r="Q129" s="101">
        <f t="shared" si="54"/>
        <v>3414.887069767442</v>
      </c>
      <c r="R129" s="85">
        <f t="shared" si="54"/>
        <v>4339.783587786259</v>
      </c>
      <c r="S129" s="101">
        <f t="shared" si="54"/>
        <v>6130.183314285714</v>
      </c>
      <c r="T129" s="85">
        <f t="shared" si="54"/>
        <v>3175.4146341463415</v>
      </c>
      <c r="U129" s="101">
        <f t="shared" si="54"/>
        <v>8939.8506666666672</v>
      </c>
      <c r="V129" s="85">
        <f t="shared" si="54"/>
        <v>643.90545454545452</v>
      </c>
      <c r="W129" s="101">
        <f t="shared" si="54"/>
        <v>3175.4146341463415</v>
      </c>
      <c r="X129" s="85">
        <f t="shared" si="54"/>
        <v>3629.5951515151514</v>
      </c>
      <c r="Y129" s="101">
        <f t="shared" si="54"/>
        <v>3629.5951515151514</v>
      </c>
      <c r="Z129" s="85">
        <f t="shared" si="54"/>
        <v>5742.5419191919182</v>
      </c>
      <c r="AA129" s="101">
        <f t="shared" si="54"/>
        <v>5742.5419191919182</v>
      </c>
      <c r="AB129" s="85">
        <f t="shared" si="54"/>
        <v>1706.4000000000003</v>
      </c>
    </row>
    <row r="130" spans="2:28" x14ac:dyDescent="0.25">
      <c r="B130" s="103" t="s">
        <v>111</v>
      </c>
      <c r="C130" s="283">
        <f>(MAX(C129:D129)-MIN(C129:D129))/(MAX(C129:D129))</f>
        <v>0.54667252361080609</v>
      </c>
      <c r="D130" s="284"/>
      <c r="E130" s="283">
        <f>(MAX(E129:F129)-MIN(E129:F129))/(MAX(E129:F129))</f>
        <v>0.53861321457171352</v>
      </c>
      <c r="F130" s="284"/>
      <c r="G130" s="283">
        <f>(MAX(G129:H129)-MIN(G129:H129))/(MAX(G129:H129))</f>
        <v>0.92366635036579703</v>
      </c>
      <c r="H130" s="284"/>
      <c r="I130" s="283">
        <f>(MAX(I129:J129)-MIN(I129:J129))/(MAX(I129:J129))</f>
        <v>0.30136274364485288</v>
      </c>
      <c r="J130" s="284"/>
      <c r="K130" s="283">
        <f>(MAX(K129:L129)-MIN(K129:L129))/(MAX(K129:L129))</f>
        <v>0.45356805524145044</v>
      </c>
      <c r="L130" s="284"/>
      <c r="M130" s="283">
        <f>(MAX(M129:N129)-MIN(M129:N129))/(MAX(M129:N129))</f>
        <v>0.1967592390291201</v>
      </c>
      <c r="N130" s="284"/>
      <c r="O130" s="283">
        <f>(MAX(O129:P129)-MIN(O129:P129))/(MAX(O129:P129))</f>
        <v>0.31261874019019942</v>
      </c>
      <c r="P130" s="284"/>
      <c r="Q130" s="283">
        <f>(MAX(Q129:R129)-MIN(Q129:R129))/(MAX(Q129:R129))</f>
        <v>0.21312042393584202</v>
      </c>
      <c r="R130" s="284"/>
      <c r="S130" s="283">
        <f>(MAX(S129:T129)-MIN(S129:T129))/(MAX(S129:T129))</f>
        <v>0.48200331517878281</v>
      </c>
      <c r="T130" s="284"/>
      <c r="U130" s="283">
        <f>(MAX(U129:V129)-MIN(U129:V129))/(MAX(U129:V129))</f>
        <v>0.92797357824484306</v>
      </c>
      <c r="V130" s="284"/>
      <c r="W130" s="283">
        <f>(MAX(W129:X129)-MIN(W129:X129))/(MAX(W129:X129))</f>
        <v>0.12513255567338277</v>
      </c>
      <c r="X130" s="284"/>
      <c r="Y130" s="283">
        <f>(MAX(Y129:Z129)-MIN(Y129:Z129))/(MAX(Y129:Z129))</f>
        <v>0.36794625052978236</v>
      </c>
      <c r="Z130" s="284"/>
      <c r="AA130" s="283">
        <f>(MAX(AA129:AB129)-MIN(AA129:AB129))/(MAX(AA129:AB129))</f>
        <v>0.70284936113446383</v>
      </c>
      <c r="AB130" s="284"/>
    </row>
    <row r="131" spans="2:28" x14ac:dyDescent="0.25">
      <c r="B131" s="103" t="s">
        <v>112</v>
      </c>
      <c r="C131" s="285">
        <f>IF(C130&lt;25%,(C129*0.5+D129*0.5)*0.9,IF(C130&lt;50%,(MAX(C129:D129)*0.6+MIN(C129:D129)*0.4)*0.9,IF(C130&lt;70%,(MAX(C129:D129)*0.65+MIN(C129:D129)*0.35)*0.9,IF(C130&lt;100%,(MAX(C129:D129)*0.7+MIN(C129:D129)*0.3)*0.9,0.7*MAX(C129:D129)))))</f>
        <v>724.29259394904466</v>
      </c>
      <c r="D131" s="286"/>
      <c r="E131" s="285">
        <f>IF(E130&lt;25%,(E129*0.5+F129*0.5)*0.9,IF(E130&lt;50%,(MAX(E129:F129)*0.6+MIN(E129:F129)*0.4)*0.9,IF(E130&lt;70%,(MAX(E129:F129)*0.65+MIN(E129:F129)*0.35)*0.9,IF(E130&lt;100%,(MAX(E129:F129)*0.7+MIN(E129:F129)*0.3)*0.9,0.7*MAX(E129:F129)))))</f>
        <v>1575.2922954545456</v>
      </c>
      <c r="F131" s="286"/>
      <c r="G131" s="285">
        <f>IF(G130&lt;25%,(G129*0.5+H129*0.5)*0.9,IF(G130&lt;50%,(MAX(G129:H129)*0.6+MIN(G129:H129)*0.4)*0.9,IF(G130&lt;70%,(MAX(G129:H129)*0.65+MIN(G129:H129)*0.35)*0.9,IF(G130&lt;100%,(MAX(G129:H129)*0.7+MIN(G129:H129)*0.3)*0.9,0.7*MAX(G129:H129)))))</f>
        <v>5816.3570057142861</v>
      </c>
      <c r="H131" s="286"/>
      <c r="I131" s="285">
        <f>IF(I130&lt;25%,(I129*0.5+J129*0.5)*0.9,IF(I130&lt;50%,(MAX(I129:J129)*0.6+MIN(I129:J129)*0.4)*0.9,IF(I130&lt;70%,(MAX(I129:J129)*0.65+MIN(I129:J129)*0.35)*0.9,IF(I130&lt;100%,(MAX(I129:J129)*0.7+MIN(I129:J129)*0.3)*0.9,0.7*MAX(I129:J129)))))</f>
        <v>1846.7418172863825</v>
      </c>
      <c r="J131" s="286"/>
      <c r="K131" s="285">
        <f>IF(K130&lt;25%,(K129*0.5+L129*0.5)*0.9,IF(K130&lt;50%,(MAX(K129:L129)*0.6+MIN(K129:L129)*0.4)*0.9,IF(K130&lt;70%,(MAX(K129:L129)*0.65+MIN(K129:L129)*0.35)*0.9,IF(K130&lt;100%,(MAX(K129:L129)*0.7+MIN(K129:L129)*0.3)*0.9,0.7*MAX(K129:L129)))))</f>
        <v>2908.0486592375369</v>
      </c>
      <c r="L131" s="286"/>
      <c r="M131" s="285">
        <f>IF(M130&lt;25%,(M129*0.5+N129*0.5)*0.9,IF(M130&lt;50%,(MAX(M129:N129)*0.6+MIN(M129:N129)*0.4)*0.9,IF(M130&lt;70%,(MAX(M129:N129)*0.65+MIN(M129:N129)*0.35)*0.9,IF(M130&lt;100%,(MAX(M129:N129)*0.7+MIN(M129:N129)*0.3)*0.9,0.7*MAX(M129:N129)))))</f>
        <v>2771.038601242677</v>
      </c>
      <c r="N131" s="286"/>
      <c r="O131" s="285">
        <f>IF(O130&lt;25%,(O129*0.5+P129*0.5)*0.9,IF(O130&lt;50%,(MAX(O129:P129)*0.6+MIN(O129:P129)*0.4)*0.9,IF(O130&lt;70%,(MAX(O129:P129)*0.65+MIN(O129:P129)*0.35)*0.9,IF(O130&lt;100%,(MAX(O129:P129)*0.7+MIN(O129:P129)*0.3)*0.9,0.7*MAX(O129:P129)))))</f>
        <v>4522.0062879765383</v>
      </c>
      <c r="P131" s="286"/>
      <c r="Q131" s="285">
        <f>IF(Q130&lt;25%,(Q129*0.5+R129*0.5)*0.9,IF(Q130&lt;50%,(MAX(Q129:R129)*0.6+MIN(Q129:R129)*0.4)*0.9,IF(Q130&lt;70%,(MAX(Q129:R129)*0.65+MIN(Q129:R129)*0.35)*0.9,IF(Q130&lt;100%,(MAX(Q129:R129)*0.7+MIN(Q129:R129)*0.3)*0.9,0.7*MAX(Q129:R129)))))</f>
        <v>3489.6017958991656</v>
      </c>
      <c r="R131" s="286"/>
      <c r="S131" s="285">
        <f>IF(S130&lt;25%,(S129*0.5+T129*0.5)*0.9,IF(S130&lt;50%,(MAX(S129:T129)*0.6+MIN(S129:T129)*0.4)*0.9,IF(S130&lt;70%,(MAX(S129:T129)*0.65+MIN(S129:T129)*0.35)*0.9,IF(S130&lt;100%,(MAX(S129:T129)*0.7+MIN(S129:T129)*0.3)*0.9,0.7*MAX(S129:T129)))))</f>
        <v>4453.4482580069689</v>
      </c>
      <c r="T131" s="286"/>
      <c r="U131" s="285">
        <f>IF(U130&lt;25%,(U129*0.5+V129*0.5)*0.9,IF(U130&lt;50%,(MAX(U129:V129)*0.6+MIN(U129:V129)*0.4)*0.9,IF(U130&lt;70%,(MAX(U129:V129)*0.65+MIN(U129:V129)*0.35)*0.9,IF(U130&lt;100%,(MAX(U129:V129)*0.7+MIN(U129:V129)*0.3)*0.9,0.7*MAX(U129:V129)))))</f>
        <v>5805.9603927272728</v>
      </c>
      <c r="V131" s="286"/>
      <c r="W131" s="285">
        <f>IF(W130&lt;25%,(W129*0.5+X129*0.5)*0.9,IF(W130&lt;50%,(MAX(W129:X129)*0.6+MIN(W129:X129)*0.4)*0.9,IF(W130&lt;70%,(MAX(W129:X129)*0.65+MIN(W129:X129)*0.35)*0.9,IF(W130&lt;100%,(MAX(W129:X129)*0.7+MIN(W129:X129)*0.3)*0.9,0.7*MAX(W129:X129)))))</f>
        <v>3062.2544035476717</v>
      </c>
      <c r="X131" s="286"/>
      <c r="Y131" s="285">
        <f>IF(Y130&lt;25%,(Y129*0.5+Z129*0.5)*0.9,IF(Y130&lt;50%,(MAX(Y129:Z129)*0.6+MIN(Y129:Z129)*0.4)*0.9,IF(Y130&lt;70%,(MAX(Y129:Z129)*0.65+MIN(Y129:Z129)*0.35)*0.9,IF(Y130&lt;100%,(MAX(Y129:Z129)*0.7+MIN(Y129:Z129)*0.3)*0.9,0.7*MAX(Y129:Z129)))))</f>
        <v>4407.6268909090904</v>
      </c>
      <c r="Z131" s="286"/>
      <c r="AA131" s="285">
        <f>IF(AA130&lt;25%,(AA129*0.5+AB129*0.5)*0.9,IF(AA130&lt;50%,(MAX(AA129:AB129)*0.6+MIN(AA129:AB129)*0.4)*0.9,IF(AA130&lt;70%,(MAX(AA129:AB129)*0.65+MIN(AA129:AB129)*0.35)*0.9,IF(AA130&lt;100%,(MAX(AA129:AB129)*0.7+MIN(AA129:AB129)*0.3)*0.9,0.7*MAX(AA129:AB129)))))</f>
        <v>4078.5294090909078</v>
      </c>
      <c r="AB131" s="286"/>
    </row>
    <row r="132" spans="2:28" x14ac:dyDescent="0.25">
      <c r="B132" s="104" t="s">
        <v>15</v>
      </c>
      <c r="C132" s="287">
        <f>C131/(0.9*(0.9*($C$7/100))*($L$9*1000))</f>
        <v>1.3928168031018895</v>
      </c>
      <c r="D132" s="288"/>
      <c r="E132" s="287">
        <f>E131/(0.9*(0.9*($C$7/100))*($L$9*1000))</f>
        <v>3.0292917492683844</v>
      </c>
      <c r="F132" s="288"/>
      <c r="G132" s="287">
        <f>G131/(0.9*(0.9*($C$7/100))*($L$9*1000))</f>
        <v>11.18487174669106</v>
      </c>
      <c r="H132" s="288"/>
      <c r="I132" s="287">
        <f>I131/(0.9*(0.9*($C$7/100))*($L$9*1000))</f>
        <v>3.5512899836282874</v>
      </c>
      <c r="J132" s="288"/>
      <c r="K132" s="287">
        <f>K131/(0.9*(0.9*($C$7/100))*($L$9*1000))</f>
        <v>5.5921861836805054</v>
      </c>
      <c r="L132" s="288"/>
      <c r="M132" s="287">
        <f>M131/(0.9*(0.9*($C$7/100))*($L$9*1000))</f>
        <v>5.3287154364114393</v>
      </c>
      <c r="N132" s="288"/>
      <c r="O132" s="287">
        <f>O131/(0.9*(0.9*($C$7/100))*($L$9*1000))</f>
        <v>8.6958314833593651</v>
      </c>
      <c r="P132" s="288"/>
      <c r="Q132" s="287">
        <f>Q131/(0.9*(0.9*($C$7/100))*($L$9*1000))</f>
        <v>6.7105145877065597</v>
      </c>
      <c r="R132" s="288"/>
      <c r="S132" s="287">
        <f>S131/(0.9*(0.9*($C$7/100))*($L$9*1000))</f>
        <v>8.5639941886984499</v>
      </c>
      <c r="T132" s="288"/>
      <c r="U132" s="287">
        <f>U131/(0.9*(0.9*($C$7/100))*($L$9*1000))</f>
        <v>11.164879029128249</v>
      </c>
      <c r="V132" s="288"/>
      <c r="W132" s="287">
        <f>W131/(0.9*(0.9*($C$7/100))*($L$9*1000))</f>
        <v>5.8887242866575731</v>
      </c>
      <c r="X132" s="288"/>
      <c r="Y132" s="287">
        <f>Y131/(0.9*(0.9*($C$7/100))*($L$9*1000))</f>
        <v>8.4758795640727076</v>
      </c>
      <c r="Z132" s="288"/>
      <c r="AA132" s="287">
        <f>AA131/(0.9*(0.9*($C$7/100))*($L$9*1000))</f>
        <v>7.8430241319389777</v>
      </c>
      <c r="AB132" s="288"/>
    </row>
    <row r="133" spans="2:28" x14ac:dyDescent="0.25">
      <c r="B133" s="104" t="s">
        <v>98</v>
      </c>
      <c r="C133" s="281">
        <f>(C132*($L$9))/(0.85*$L$6*100)</f>
        <v>1.9644936290249094E-2</v>
      </c>
      <c r="D133" s="282"/>
      <c r="E133" s="281">
        <f>(E132*($L$9))/(0.85*$L$6*100)</f>
        <v>4.2726540408201306E-2</v>
      </c>
      <c r="F133" s="282"/>
      <c r="G133" s="281">
        <f>(G132*($L$9))/(0.85*$L$6*100)</f>
        <v>0.15775663560994477</v>
      </c>
      <c r="H133" s="282"/>
      <c r="I133" s="281">
        <f>(I132*($L$9))/(0.85*$L$6*100)</f>
        <v>5.0089046399502624E-2</v>
      </c>
      <c r="J133" s="282"/>
      <c r="K133" s="281">
        <f>(K132*($L$9))/(0.85*$L$6*100)</f>
        <v>7.8874796065752401E-2</v>
      </c>
      <c r="L133" s="282"/>
      <c r="M133" s="281">
        <f>(M132*($L$9))/(0.85*$L$6*100)</f>
        <v>7.515868204923698E-2</v>
      </c>
      <c r="N133" s="282"/>
      <c r="O133" s="281">
        <f>(O132*($L$9))/(0.85*$L$6*100)</f>
        <v>0.12265005354680537</v>
      </c>
      <c r="P133" s="282"/>
      <c r="Q133" s="281">
        <f>(Q132*($L$9))/(0.85*$L$6*100)</f>
        <v>9.4648220251718818E-2</v>
      </c>
      <c r="R133" s="282"/>
      <c r="S133" s="281">
        <f>(S132*($L$9))/(0.85*$L$6*100)</f>
        <v>0.12079055899696613</v>
      </c>
      <c r="T133" s="282"/>
      <c r="U133" s="281">
        <f>(U132*($L$9))/(0.85*$L$6*100)</f>
        <v>0.15747464901851677</v>
      </c>
      <c r="V133" s="282"/>
      <c r="W133" s="281">
        <f>(W132*($L$9))/(0.85*$L$6*100)</f>
        <v>8.3057307453927892E-2</v>
      </c>
      <c r="X133" s="282"/>
      <c r="Y133" s="281">
        <f>(Y132*($L$9))/(0.85*$L$6*100)</f>
        <v>0.11954774933014069</v>
      </c>
      <c r="Z133" s="282"/>
      <c r="AA133" s="281">
        <f>(AA132*($L$9))/(0.85*$L$6*100)</f>
        <v>0.11062166183786069</v>
      </c>
      <c r="AB133" s="282"/>
    </row>
    <row r="134" spans="2:28" ht="15.75" thickBot="1" x14ac:dyDescent="0.3">
      <c r="B134" s="105" t="s">
        <v>15</v>
      </c>
      <c r="C134" s="289">
        <f>ROUNDUP(C131/(0.9*(($C$7-C133/2)/100)*($L$9*1000)),2)</f>
        <v>1.26</v>
      </c>
      <c r="D134" s="290"/>
      <c r="E134" s="289">
        <f>ROUNDUP(E131/(0.9*(($C$7-E133/2)/100)*($L$9*1000)),2)</f>
        <v>2.7399999999999998</v>
      </c>
      <c r="F134" s="290"/>
      <c r="G134" s="289">
        <f>ROUNDUP(G131/(0.9*(($C$7-G133/2)/100)*($L$9*1000)),2)</f>
        <v>10.119999999999999</v>
      </c>
      <c r="H134" s="290"/>
      <c r="I134" s="289">
        <f>ROUNDUP(I131/(0.9*(($C$7-I133/2)/100)*($L$9*1000)),2)</f>
        <v>3.21</v>
      </c>
      <c r="J134" s="290"/>
      <c r="K134" s="289">
        <f>ROUNDUP(K131/(0.9*(($C$7-K133/2)/100)*($L$9*1000)),2)</f>
        <v>5.05</v>
      </c>
      <c r="L134" s="290"/>
      <c r="M134" s="289">
        <f>ROUNDUP(M131/(0.9*(($C$7-M133/2)/100)*($L$9*1000)),2)</f>
        <v>4.8099999999999996</v>
      </c>
      <c r="N134" s="290"/>
      <c r="O134" s="289">
        <f>ROUNDUP(O131/(0.9*(($C$7-O133/2)/100)*($L$9*1000)),2)</f>
        <v>7.8599999999999994</v>
      </c>
      <c r="P134" s="290"/>
      <c r="Q134" s="289">
        <f>ROUNDUP(Q131/(0.9*(($C$7-Q133/2)/100)*($L$9*1000)),2)</f>
        <v>6.06</v>
      </c>
      <c r="R134" s="290"/>
      <c r="S134" s="289">
        <f>ROUNDUP(S131/(0.9*(($C$7-S133/2)/100)*($L$9*1000)),2)</f>
        <v>7.74</v>
      </c>
      <c r="T134" s="290"/>
      <c r="U134" s="289">
        <f>ROUNDUP(U131/(0.9*(($C$7-U133/2)/100)*($L$9*1000)),2)</f>
        <v>10.11</v>
      </c>
      <c r="V134" s="290"/>
      <c r="W134" s="289">
        <f>ROUNDUP(W131/(0.9*(($C$7-W133/2)/100)*($L$9*1000)),2)</f>
        <v>5.3199999999999994</v>
      </c>
      <c r="X134" s="290"/>
      <c r="Y134" s="289">
        <f>ROUNDUP(Y131/(0.9*(($C$7-Y133/2)/100)*($L$9*1000)),2)</f>
        <v>7.66</v>
      </c>
      <c r="Z134" s="290"/>
      <c r="AA134" s="289">
        <f>ROUNDUP(AA131/(0.9*(($C$7-AA133/2)/100)*($L$9*1000)),2)</f>
        <v>7.09</v>
      </c>
      <c r="AB134" s="290"/>
    </row>
    <row r="135" spans="2:28" ht="16.5" thickBot="1" x14ac:dyDescent="0.3">
      <c r="B135" s="61" t="s">
        <v>113</v>
      </c>
      <c r="C135" s="279" t="str">
        <f>IF(C134&gt;$C$12,"$\phi"&amp;IF(VLOOKUP(VLOOKUP(C134,tablas!$S$3:$U$66,2,TRUE)&amp;VLOOKUP(C134,tablas!$S$3:$U$66,3,TRUE),tablas!$R$3:$S$66,2,FALSE)&lt;C134,VLOOKUP(C134+0.1,tablas!$S$3:$U$66,2,TRUE),VLOOKUP(C134,tablas!$S$3:$U$66,2,TRUE))&amp;"@"&amp;IF(VLOOKUP(VLOOKUP(C134,tablas!$S$3:$U$66,2,TRUE)&amp;VLOOKUP(C134,tablas!$S$3:$U$66,3,TRUE),tablas!$R$3:$S$66,2,FALSE)&lt;C134,VLOOKUP(C134+0.1,tablas!$S$3:$U$66,3,TRUE)&amp;"$",VLOOKUP(C134,tablas!$S$3:$U$66,3,TRUE)&amp;"$"),$C$13)</f>
        <v>$\phi8@16$</v>
      </c>
      <c r="D135" s="280"/>
      <c r="E135" s="279" t="str">
        <f>IF(E134&gt;$C$12,"$\phi"&amp;IF(VLOOKUP(VLOOKUP(E134,tablas!$S$3:$U$66,2,TRUE)&amp;VLOOKUP(E134,tablas!$S$3:$U$66,3,TRUE),tablas!$R$3:$S$66,2,FALSE)&lt;E134,VLOOKUP(E134+0.1,tablas!$S$3:$U$66,2,TRUE),VLOOKUP(E134,tablas!$S$3:$U$66,2,TRUE))&amp;"@"&amp;IF(VLOOKUP(VLOOKUP(E134,tablas!$S$3:$U$66,2,TRUE)&amp;VLOOKUP(E134,tablas!$S$3:$U$66,3,TRUE),tablas!$R$3:$S$66,2,FALSE)&lt;E134,VLOOKUP(E134+0.1,tablas!$S$3:$U$66,3,TRUE)&amp;"$",VLOOKUP(E134,tablas!$S$3:$U$66,3,TRUE)&amp;"$"),$C$13)</f>
        <v>$\phi8@16$</v>
      </c>
      <c r="F135" s="280"/>
      <c r="G135" s="279" t="str">
        <f>IF(G134&gt;$C$12,"$\phi"&amp;IF(VLOOKUP(VLOOKUP(G134,tablas!$S$3:$U$66,2,TRUE)&amp;VLOOKUP(G134,tablas!$S$3:$U$66,3,TRUE),tablas!$R$3:$S$66,2,FALSE)&lt;G134,VLOOKUP(G134+0.1,tablas!$S$3:$U$66,2,TRUE),VLOOKUP(G134,tablas!$S$3:$U$66,2,TRUE))&amp;"@"&amp;IF(VLOOKUP(VLOOKUP(G134,tablas!$S$3:$U$66,2,TRUE)&amp;VLOOKUP(G134,tablas!$S$3:$U$66,3,TRUE),tablas!$R$3:$S$66,2,FALSE)&lt;G134,VLOOKUP(G134+0.1,tablas!$S$3:$U$66,3,TRUE)&amp;"$",VLOOKUP(G134,tablas!$S$3:$U$66,3,TRUE)&amp;"$"),$C$13)</f>
        <v>$\phi16@20$</v>
      </c>
      <c r="H135" s="280"/>
      <c r="I135" s="279" t="str">
        <f>IF(I134&gt;$C$12,"$\phi"&amp;IF(VLOOKUP(VLOOKUP(I134,tablas!$S$3:$U$66,2,TRUE)&amp;VLOOKUP(I134,tablas!$S$3:$U$66,3,TRUE),tablas!$R$3:$S$66,2,FALSE)&lt;I134,VLOOKUP(I134+0.1,tablas!$S$3:$U$66,2,TRUE),VLOOKUP(I134,tablas!$S$3:$U$66,2,TRUE))&amp;"@"&amp;IF(VLOOKUP(VLOOKUP(I134,tablas!$S$3:$U$66,2,TRUE)&amp;VLOOKUP(I134,tablas!$S$3:$U$66,3,TRUE),tablas!$R$3:$S$66,2,FALSE)&lt;I134,VLOOKUP(I134+0.1,tablas!$S$3:$U$66,3,TRUE)&amp;"$",VLOOKUP(I134,tablas!$S$3:$U$66,3,TRUE)&amp;"$"),$C$13)</f>
        <v>$\phi10@24$</v>
      </c>
      <c r="J135" s="280"/>
      <c r="K135" s="279" t="str">
        <f>IF(K134&gt;$C$12,"$\phi"&amp;IF(VLOOKUP(VLOOKUP(K134,tablas!$S$3:$U$66,2,TRUE)&amp;VLOOKUP(K134,tablas!$S$3:$U$66,3,TRUE),tablas!$R$3:$S$66,2,FALSE)&lt;K134,VLOOKUP(K134+0.1,tablas!$S$3:$U$66,2,TRUE),VLOOKUP(K134,tablas!$S$3:$U$66,2,TRUE))&amp;"@"&amp;IF(VLOOKUP(VLOOKUP(K134,tablas!$S$3:$U$66,2,TRUE)&amp;VLOOKUP(K134,tablas!$S$3:$U$66,3,TRUE),tablas!$R$3:$S$66,2,FALSE)&lt;K134,VLOOKUP(K134+0.1,tablas!$S$3:$U$66,3,TRUE)&amp;"$",VLOOKUP(K134,tablas!$S$3:$U$66,3,TRUE)&amp;"$"),$C$13)</f>
        <v>$\phi12@22$</v>
      </c>
      <c r="L135" s="280"/>
      <c r="M135" s="279" t="str">
        <f>IF(M134&gt;$C$12,"$\phi"&amp;IF(VLOOKUP(VLOOKUP(M134,tablas!$S$3:$U$66,2,TRUE)&amp;VLOOKUP(M134,tablas!$S$3:$U$66,3,TRUE),tablas!$R$3:$S$66,2,FALSE)&lt;M134,VLOOKUP(M134+0.1,tablas!$S$3:$U$66,2,TRUE),VLOOKUP(M134,tablas!$S$3:$U$66,2,TRUE))&amp;"@"&amp;IF(VLOOKUP(VLOOKUP(M134,tablas!$S$3:$U$66,2,TRUE)&amp;VLOOKUP(M134,tablas!$S$3:$U$66,3,TRUE),tablas!$R$3:$S$66,2,FALSE)&lt;M134,VLOOKUP(M134+0.1,tablas!$S$3:$U$66,3,TRUE)&amp;"$",VLOOKUP(M134,tablas!$S$3:$U$66,3,TRUE)&amp;"$"),$C$13)</f>
        <v>$\phi12@24$</v>
      </c>
      <c r="N135" s="280"/>
      <c r="O135" s="279" t="str">
        <f>IF(O134&gt;$C$12,"$\phi"&amp;IF(VLOOKUP(VLOOKUP(O134,tablas!$S$3:$U$66,2,TRUE)&amp;VLOOKUP(O134,tablas!$S$3:$U$66,3,TRUE),tablas!$R$3:$S$66,2,FALSE)&lt;O134,VLOOKUP(O134+0.1,tablas!$S$3:$U$66,2,TRUE),VLOOKUP(O134,tablas!$S$3:$U$66,2,TRUE))&amp;"@"&amp;IF(VLOOKUP(VLOOKUP(O134,tablas!$S$3:$U$66,2,TRUE)&amp;VLOOKUP(O134,tablas!$S$3:$U$66,3,TRUE),tablas!$R$3:$S$66,2,FALSE)&lt;O134,VLOOKUP(O134+0.1,tablas!$S$3:$U$66,3,TRUE)&amp;"$",VLOOKUP(O134,tablas!$S$3:$U$66,3,TRUE)&amp;"$"),$C$13)</f>
        <v>$\phi10@10$</v>
      </c>
      <c r="P135" s="280"/>
      <c r="Q135" s="279" t="str">
        <f>IF(Q134&gt;$C$12,"$\phi"&amp;IF(VLOOKUP(VLOOKUP(Q134,tablas!$S$3:$U$66,2,TRUE)&amp;VLOOKUP(Q134,tablas!$S$3:$U$66,3,TRUE),tablas!$R$3:$S$66,2,FALSE)&lt;Q134,VLOOKUP(Q134+0.1,tablas!$S$3:$U$66,2,TRUE),VLOOKUP(Q134,tablas!$S$3:$U$66,2,TRUE))&amp;"@"&amp;IF(VLOOKUP(VLOOKUP(Q134,tablas!$S$3:$U$66,2,TRUE)&amp;VLOOKUP(Q134,tablas!$S$3:$U$66,3,TRUE),tablas!$R$3:$S$66,2,FALSE)&lt;Q134,VLOOKUP(Q134+0.1,tablas!$S$3:$U$66,3,TRUE)&amp;"$",VLOOKUP(Q134,tablas!$S$3:$U$66,3,TRUE)&amp;"$"),$C$13)</f>
        <v>$\phi10@13$</v>
      </c>
      <c r="R135" s="280"/>
      <c r="S135" s="279" t="str">
        <f>IF(S134&gt;$C$12,"$\phi"&amp;IF(VLOOKUP(VLOOKUP(S134,tablas!$S$3:$U$66,2,TRUE)&amp;VLOOKUP(S134,tablas!$S$3:$U$66,3,TRUE),tablas!$R$3:$S$66,2,FALSE)&lt;S134,VLOOKUP(S134+0.1,tablas!$S$3:$U$66,2,TRUE),VLOOKUP(S134,tablas!$S$3:$U$66,2,TRUE))&amp;"@"&amp;IF(VLOOKUP(VLOOKUP(S134,tablas!$S$3:$U$66,2,TRUE)&amp;VLOOKUP(S134,tablas!$S$3:$U$66,3,TRUE),tablas!$R$3:$S$66,2,FALSE)&lt;S134,VLOOKUP(S134+0.1,tablas!$S$3:$U$66,3,TRUE)&amp;"$",VLOOKUP(S134,tablas!$S$3:$U$66,3,TRUE)&amp;"$"),$C$13)</f>
        <v>$\phi12@15$</v>
      </c>
      <c r="T135" s="280"/>
      <c r="U135" s="279" t="str">
        <f>IF(U134&gt;$C$12,"$\phi"&amp;IF(VLOOKUP(VLOOKUP(U134,tablas!$S$3:$U$66,2,TRUE)&amp;VLOOKUP(U134,tablas!$S$3:$U$66,3,TRUE),tablas!$R$3:$S$66,2,FALSE)&lt;U134,VLOOKUP(U134+0.1,tablas!$S$3:$U$66,2,TRUE),VLOOKUP(U134,tablas!$S$3:$U$66,2,TRUE))&amp;"@"&amp;IF(VLOOKUP(VLOOKUP(U134,tablas!$S$3:$U$66,2,TRUE)&amp;VLOOKUP(U134,tablas!$S$3:$U$66,3,TRUE),tablas!$R$3:$S$66,2,FALSE)&lt;U134,VLOOKUP(U134+0.1,tablas!$S$3:$U$66,3,TRUE)&amp;"$",VLOOKUP(U134,tablas!$S$3:$U$66,3,TRUE)&amp;"$"),$C$13)</f>
        <v>$\phi16@20$</v>
      </c>
      <c r="V135" s="280"/>
      <c r="W135" s="279" t="str">
        <f>IF(W134&gt;$C$12,"$\phi"&amp;IF(VLOOKUP(VLOOKUP(W134,tablas!$S$3:$U$66,2,TRUE)&amp;VLOOKUP(W134,tablas!$S$3:$U$66,3,TRUE),tablas!$R$3:$S$66,2,FALSE)&lt;W134,VLOOKUP(W134+0.1,tablas!$S$3:$U$66,2,TRUE),VLOOKUP(W134,tablas!$S$3:$U$66,2,TRUE))&amp;"@"&amp;IF(VLOOKUP(VLOOKUP(W134,tablas!$S$3:$U$66,2,TRUE)&amp;VLOOKUP(W134,tablas!$S$3:$U$66,3,TRUE),tablas!$R$3:$S$66,2,FALSE)&lt;W134,VLOOKUP(W134+0.1,tablas!$S$3:$U$66,3,TRUE)&amp;"$",VLOOKUP(W134,tablas!$S$3:$U$66,3,TRUE)&amp;"$"),$C$13)</f>
        <v>$\phi12@21$</v>
      </c>
      <c r="X135" s="280"/>
      <c r="Y135" s="279" t="str">
        <f>IF(Y134&gt;$C$12,"$\phi"&amp;IF(VLOOKUP(VLOOKUP(Y134,tablas!$S$3:$U$66,2,TRUE)&amp;VLOOKUP(Y134,tablas!$S$3:$U$66,3,TRUE),tablas!$R$3:$S$66,2,FALSE)&lt;Y134,VLOOKUP(Y134+0.1,tablas!$S$3:$U$66,2,TRUE),VLOOKUP(Y134,tablas!$S$3:$U$66,2,TRUE))&amp;"@"&amp;IF(VLOOKUP(VLOOKUP(Y134,tablas!$S$3:$U$66,2,TRUE)&amp;VLOOKUP(Y134,tablas!$S$3:$U$66,3,TRUE),tablas!$R$3:$S$66,2,FALSE)&lt;Y134,VLOOKUP(Y134+0.1,tablas!$S$3:$U$66,3,TRUE)&amp;"$",VLOOKUP(Y134,tablas!$S$3:$U$66,3,TRUE)&amp;"$"),$C$13)</f>
        <v>$\phi12@15$</v>
      </c>
      <c r="Z135" s="280"/>
      <c r="AA135" s="279" t="str">
        <f>IF(AA134&gt;$C$12,"$\phi"&amp;IF(VLOOKUP(VLOOKUP(AA134,tablas!$S$3:$U$66,2,TRUE)&amp;VLOOKUP(AA134,tablas!$S$3:$U$66,3,TRUE),tablas!$R$3:$S$66,2,FALSE)&lt;AA134,VLOOKUP(AA134+0.1,tablas!$S$3:$U$66,2,TRUE),VLOOKUP(AA134,tablas!$S$3:$U$66,2,TRUE))&amp;"@"&amp;IF(VLOOKUP(VLOOKUP(AA134,tablas!$S$3:$U$66,2,TRUE)&amp;VLOOKUP(AA134,tablas!$S$3:$U$66,3,TRUE),tablas!$R$3:$S$66,2,FALSE)&lt;AA134,VLOOKUP(AA134+0.1,tablas!$S$3:$U$66,3,TRUE)&amp;"$",VLOOKUP(AA134,tablas!$S$3:$U$66,3,TRUE)&amp;"$"),$C$13)</f>
        <v>$\phi10@11$</v>
      </c>
      <c r="AB135" s="280"/>
    </row>
  </sheetData>
  <mergeCells count="358">
    <mergeCell ref="O100:P100"/>
    <mergeCell ref="O101:P101"/>
    <mergeCell ref="W97:X97"/>
    <mergeCell ref="E4:F4"/>
    <mergeCell ref="H4:I4"/>
    <mergeCell ref="K4:L4"/>
    <mergeCell ref="B92:C92"/>
    <mergeCell ref="C97:D97"/>
    <mergeCell ref="C98:D98"/>
    <mergeCell ref="C99:D99"/>
    <mergeCell ref="C100:D100"/>
    <mergeCell ref="C101:D101"/>
    <mergeCell ref="G97:H97"/>
    <mergeCell ref="G98:H98"/>
    <mergeCell ref="G99:H99"/>
    <mergeCell ref="G100:H100"/>
    <mergeCell ref="G101:H101"/>
    <mergeCell ref="U97:V97"/>
    <mergeCell ref="U98:V98"/>
    <mergeCell ref="U99:V99"/>
    <mergeCell ref="U100:V100"/>
    <mergeCell ref="U101:V101"/>
    <mergeCell ref="M16:N16"/>
    <mergeCell ref="J16:K16"/>
    <mergeCell ref="Q102:R102"/>
    <mergeCell ref="G102:H102"/>
    <mergeCell ref="C102:D102"/>
    <mergeCell ref="E97:F97"/>
    <mergeCell ref="E98:F98"/>
    <mergeCell ref="E99:F99"/>
    <mergeCell ref="E100:F100"/>
    <mergeCell ref="E101:F101"/>
    <mergeCell ref="E102:F102"/>
    <mergeCell ref="K97:L97"/>
    <mergeCell ref="K98:L98"/>
    <mergeCell ref="K99:L99"/>
    <mergeCell ref="K100:L100"/>
    <mergeCell ref="K101:L101"/>
    <mergeCell ref="K102:L102"/>
    <mergeCell ref="I97:J97"/>
    <mergeCell ref="I98:J98"/>
    <mergeCell ref="I99:J99"/>
    <mergeCell ref="I100:J100"/>
    <mergeCell ref="I101:J101"/>
    <mergeCell ref="I102:J102"/>
    <mergeCell ref="O97:P97"/>
    <mergeCell ref="O98:P98"/>
    <mergeCell ref="O99:P99"/>
    <mergeCell ref="W98:X98"/>
    <mergeCell ref="W99:X99"/>
    <mergeCell ref="W100:X100"/>
    <mergeCell ref="W101:X101"/>
    <mergeCell ref="W102:X102"/>
    <mergeCell ref="U102:V102"/>
    <mergeCell ref="O102:P102"/>
    <mergeCell ref="M97:N97"/>
    <mergeCell ref="M98:N98"/>
    <mergeCell ref="M99:N99"/>
    <mergeCell ref="M100:N100"/>
    <mergeCell ref="M101:N101"/>
    <mergeCell ref="M102:N102"/>
    <mergeCell ref="S97:T97"/>
    <mergeCell ref="S98:T98"/>
    <mergeCell ref="S99:T99"/>
    <mergeCell ref="S100:T100"/>
    <mergeCell ref="S101:T101"/>
    <mergeCell ref="S102:T102"/>
    <mergeCell ref="Q97:R97"/>
    <mergeCell ref="Q98:R98"/>
    <mergeCell ref="Q99:R99"/>
    <mergeCell ref="Q100:R100"/>
    <mergeCell ref="Q101:R101"/>
    <mergeCell ref="AA97:AB97"/>
    <mergeCell ref="AA98:AB98"/>
    <mergeCell ref="AA99:AB99"/>
    <mergeCell ref="AA100:AB100"/>
    <mergeCell ref="AA101:AB101"/>
    <mergeCell ref="AA102:AB102"/>
    <mergeCell ref="Y97:Z97"/>
    <mergeCell ref="Y98:Z98"/>
    <mergeCell ref="Y99:Z99"/>
    <mergeCell ref="Y100:Z100"/>
    <mergeCell ref="Y101:Z101"/>
    <mergeCell ref="Y102:Z102"/>
    <mergeCell ref="AE97:AF97"/>
    <mergeCell ref="AE98:AF98"/>
    <mergeCell ref="AE99:AF99"/>
    <mergeCell ref="AE100:AF100"/>
    <mergeCell ref="AE101:AF101"/>
    <mergeCell ref="AE102:AF102"/>
    <mergeCell ref="AC97:AD97"/>
    <mergeCell ref="AC98:AD98"/>
    <mergeCell ref="AC99:AD99"/>
    <mergeCell ref="AC100:AD100"/>
    <mergeCell ref="AC101:AD101"/>
    <mergeCell ref="AC102:AD102"/>
    <mergeCell ref="E108:F108"/>
    <mergeCell ref="E109:F109"/>
    <mergeCell ref="E110:F110"/>
    <mergeCell ref="E111:F111"/>
    <mergeCell ref="E112:F112"/>
    <mergeCell ref="E113:F113"/>
    <mergeCell ref="C108:D108"/>
    <mergeCell ref="C109:D109"/>
    <mergeCell ref="C110:D110"/>
    <mergeCell ref="C111:D111"/>
    <mergeCell ref="C112:D112"/>
    <mergeCell ref="C113:D113"/>
    <mergeCell ref="K108:L108"/>
    <mergeCell ref="K109:L109"/>
    <mergeCell ref="K110:L110"/>
    <mergeCell ref="K111:L111"/>
    <mergeCell ref="K112:L112"/>
    <mergeCell ref="K113:L113"/>
    <mergeCell ref="G108:H108"/>
    <mergeCell ref="G109:H109"/>
    <mergeCell ref="G110:H110"/>
    <mergeCell ref="G111:H111"/>
    <mergeCell ref="G112:H112"/>
    <mergeCell ref="G113:H113"/>
    <mergeCell ref="Q112:R112"/>
    <mergeCell ref="Q113:R113"/>
    <mergeCell ref="O108:P108"/>
    <mergeCell ref="O109:P109"/>
    <mergeCell ref="O110:P110"/>
    <mergeCell ref="O111:P111"/>
    <mergeCell ref="O112:P112"/>
    <mergeCell ref="O113:P113"/>
    <mergeCell ref="M108:N108"/>
    <mergeCell ref="M109:N109"/>
    <mergeCell ref="M110:N110"/>
    <mergeCell ref="M111:N111"/>
    <mergeCell ref="M112:N112"/>
    <mergeCell ref="M113:N113"/>
    <mergeCell ref="W108:X108"/>
    <mergeCell ref="W109:X109"/>
    <mergeCell ref="W110:X110"/>
    <mergeCell ref="W111:X111"/>
    <mergeCell ref="W112:X112"/>
    <mergeCell ref="W113:X113"/>
    <mergeCell ref="U108:V108"/>
    <mergeCell ref="U109:V109"/>
    <mergeCell ref="U110:V110"/>
    <mergeCell ref="U111:V111"/>
    <mergeCell ref="U112:V112"/>
    <mergeCell ref="U113:V113"/>
    <mergeCell ref="AE108:AF108"/>
    <mergeCell ref="C119:D119"/>
    <mergeCell ref="E119:F119"/>
    <mergeCell ref="G119:H119"/>
    <mergeCell ref="I119:J119"/>
    <mergeCell ref="K119:L119"/>
    <mergeCell ref="AC108:AD108"/>
    <mergeCell ref="AC109:AD109"/>
    <mergeCell ref="AC110:AD110"/>
    <mergeCell ref="AC111:AD111"/>
    <mergeCell ref="AC112:AD112"/>
    <mergeCell ref="AC113:AD113"/>
    <mergeCell ref="AA108:AB108"/>
    <mergeCell ref="AA109:AB109"/>
    <mergeCell ref="AA110:AB110"/>
    <mergeCell ref="AA111:AB111"/>
    <mergeCell ref="AA112:AB112"/>
    <mergeCell ref="AA113:AB113"/>
    <mergeCell ref="Y108:Z108"/>
    <mergeCell ref="Y109:Z109"/>
    <mergeCell ref="Y110:Z110"/>
    <mergeCell ref="Y111:Z111"/>
    <mergeCell ref="Y112:Z112"/>
    <mergeCell ref="Y113:Z113"/>
    <mergeCell ref="AE109:AF109"/>
    <mergeCell ref="C120:D120"/>
    <mergeCell ref="E120:F120"/>
    <mergeCell ref="G120:H120"/>
    <mergeCell ref="I120:J120"/>
    <mergeCell ref="K120:L120"/>
    <mergeCell ref="M120:N120"/>
    <mergeCell ref="O120:P120"/>
    <mergeCell ref="M119:N119"/>
    <mergeCell ref="O119:P119"/>
    <mergeCell ref="Q119:R119"/>
    <mergeCell ref="S119:T119"/>
    <mergeCell ref="U119:V119"/>
    <mergeCell ref="W119:X119"/>
    <mergeCell ref="AE110:AF110"/>
    <mergeCell ref="Y120:Z120"/>
    <mergeCell ref="Y119:Z119"/>
    <mergeCell ref="AE111:AF111"/>
    <mergeCell ref="AE112:AF112"/>
    <mergeCell ref="AA119:AB119"/>
    <mergeCell ref="AC119:AD119"/>
    <mergeCell ref="AE119:AF119"/>
    <mergeCell ref="S109:T109"/>
    <mergeCell ref="S110:T110"/>
    <mergeCell ref="E121:F121"/>
    <mergeCell ref="G121:H121"/>
    <mergeCell ref="I121:J121"/>
    <mergeCell ref="K121:L121"/>
    <mergeCell ref="Q120:R120"/>
    <mergeCell ref="S120:T120"/>
    <mergeCell ref="U120:V120"/>
    <mergeCell ref="W120:X120"/>
    <mergeCell ref="Q121:R121"/>
    <mergeCell ref="S121:T121"/>
    <mergeCell ref="U121:V121"/>
    <mergeCell ref="W121:X121"/>
    <mergeCell ref="AE113:AF113"/>
    <mergeCell ref="C124:D124"/>
    <mergeCell ref="E124:F124"/>
    <mergeCell ref="G124:H124"/>
    <mergeCell ref="C123:D123"/>
    <mergeCell ref="E123:F123"/>
    <mergeCell ref="AC123:AD123"/>
    <mergeCell ref="AE123:AF123"/>
    <mergeCell ref="C130:D130"/>
    <mergeCell ref="E130:F130"/>
    <mergeCell ref="G130:H130"/>
    <mergeCell ref="I113:J113"/>
    <mergeCell ref="G123:H123"/>
    <mergeCell ref="I123:J123"/>
    <mergeCell ref="K123:L123"/>
    <mergeCell ref="Q122:R122"/>
    <mergeCell ref="S122:T122"/>
    <mergeCell ref="U122:V122"/>
    <mergeCell ref="W122:X122"/>
    <mergeCell ref="C122:D122"/>
    <mergeCell ref="E122:F122"/>
    <mergeCell ref="G122:H122"/>
    <mergeCell ref="I122:J122"/>
    <mergeCell ref="K122:L122"/>
    <mergeCell ref="AA120:AB120"/>
    <mergeCell ref="AC120:AD120"/>
    <mergeCell ref="AE120:AF120"/>
    <mergeCell ref="Q130:R130"/>
    <mergeCell ref="S130:T130"/>
    <mergeCell ref="M124:N124"/>
    <mergeCell ref="O124:P124"/>
    <mergeCell ref="M123:N123"/>
    <mergeCell ref="O123:P123"/>
    <mergeCell ref="Q123:R123"/>
    <mergeCell ref="S123:T123"/>
    <mergeCell ref="U123:V123"/>
    <mergeCell ref="W123:X123"/>
    <mergeCell ref="Y122:Z122"/>
    <mergeCell ref="Y121:Z121"/>
    <mergeCell ref="M121:N121"/>
    <mergeCell ref="O121:P121"/>
    <mergeCell ref="M130:N130"/>
    <mergeCell ref="O130:P130"/>
    <mergeCell ref="Q124:R124"/>
    <mergeCell ref="S124:T124"/>
    <mergeCell ref="U124:V124"/>
    <mergeCell ref="W124:X124"/>
    <mergeCell ref="Y124:Z124"/>
    <mergeCell ref="AC121:AD121"/>
    <mergeCell ref="AE121:AF121"/>
    <mergeCell ref="C132:D132"/>
    <mergeCell ref="E132:F132"/>
    <mergeCell ref="G132:H132"/>
    <mergeCell ref="M131:N131"/>
    <mergeCell ref="O131:P131"/>
    <mergeCell ref="Q131:R131"/>
    <mergeCell ref="S131:T131"/>
    <mergeCell ref="U131:V131"/>
    <mergeCell ref="W131:X131"/>
    <mergeCell ref="U130:V130"/>
    <mergeCell ref="W130:X130"/>
    <mergeCell ref="AA122:AB122"/>
    <mergeCell ref="AC122:AD122"/>
    <mergeCell ref="AE122:AF122"/>
    <mergeCell ref="Q132:R132"/>
    <mergeCell ref="S132:T132"/>
    <mergeCell ref="AA123:AB123"/>
    <mergeCell ref="AC124:AD124"/>
    <mergeCell ref="AE124:AF124"/>
    <mergeCell ref="U132:V132"/>
    <mergeCell ref="W132:X132"/>
    <mergeCell ref="I124:J124"/>
    <mergeCell ref="C133:D133"/>
    <mergeCell ref="E133:F133"/>
    <mergeCell ref="G133:H133"/>
    <mergeCell ref="I133:J133"/>
    <mergeCell ref="K133:L133"/>
    <mergeCell ref="Q134:R134"/>
    <mergeCell ref="S134:T134"/>
    <mergeCell ref="O132:P132"/>
    <mergeCell ref="AA121:AB121"/>
    <mergeCell ref="K124:L124"/>
    <mergeCell ref="I132:J132"/>
    <mergeCell ref="K132:L132"/>
    <mergeCell ref="M132:N132"/>
    <mergeCell ref="C131:D131"/>
    <mergeCell ref="E131:F131"/>
    <mergeCell ref="G131:H131"/>
    <mergeCell ref="I131:J131"/>
    <mergeCell ref="K131:L131"/>
    <mergeCell ref="I130:J130"/>
    <mergeCell ref="K130:L130"/>
    <mergeCell ref="Y123:Z123"/>
    <mergeCell ref="M122:N122"/>
    <mergeCell ref="O122:P122"/>
    <mergeCell ref="C121:D121"/>
    <mergeCell ref="C135:D135"/>
    <mergeCell ref="E135:F135"/>
    <mergeCell ref="G135:H135"/>
    <mergeCell ref="I135:J135"/>
    <mergeCell ref="K135:L135"/>
    <mergeCell ref="I134:J134"/>
    <mergeCell ref="K134:L134"/>
    <mergeCell ref="M134:N134"/>
    <mergeCell ref="O134:P134"/>
    <mergeCell ref="M135:N135"/>
    <mergeCell ref="O135:P135"/>
    <mergeCell ref="C134:D134"/>
    <mergeCell ref="E134:F134"/>
    <mergeCell ref="G134:H134"/>
    <mergeCell ref="W135:X135"/>
    <mergeCell ref="U134:V134"/>
    <mergeCell ref="W134:X134"/>
    <mergeCell ref="AA124:AB124"/>
    <mergeCell ref="AA130:AB130"/>
    <mergeCell ref="AA131:AB131"/>
    <mergeCell ref="AA132:AB132"/>
    <mergeCell ref="AA133:AB133"/>
    <mergeCell ref="AA134:AB134"/>
    <mergeCell ref="AA135:AB135"/>
    <mergeCell ref="Y130:Z130"/>
    <mergeCell ref="Y131:Z131"/>
    <mergeCell ref="Y132:Z132"/>
    <mergeCell ref="Y133:Z133"/>
    <mergeCell ref="Y134:Z134"/>
    <mergeCell ref="Y135:Z135"/>
    <mergeCell ref="U133:V133"/>
    <mergeCell ref="W133:X133"/>
    <mergeCell ref="J22:K22"/>
    <mergeCell ref="J33:K33"/>
    <mergeCell ref="M15:N15"/>
    <mergeCell ref="J15:K15"/>
    <mergeCell ref="Q135:R135"/>
    <mergeCell ref="S135:T135"/>
    <mergeCell ref="U135:V135"/>
    <mergeCell ref="M133:N133"/>
    <mergeCell ref="O133:P133"/>
    <mergeCell ref="Q133:R133"/>
    <mergeCell ref="S133:T133"/>
    <mergeCell ref="I108:J108"/>
    <mergeCell ref="I109:J109"/>
    <mergeCell ref="I110:J110"/>
    <mergeCell ref="I111:J111"/>
    <mergeCell ref="I112:J112"/>
    <mergeCell ref="S108:T108"/>
    <mergeCell ref="S111:T111"/>
    <mergeCell ref="S112:T112"/>
    <mergeCell ref="S113:T113"/>
    <mergeCell ref="Q108:R108"/>
    <mergeCell ref="Q109:R109"/>
    <mergeCell ref="Q110:R110"/>
    <mergeCell ref="Q111:R111"/>
  </mergeCells>
  <conditionalFormatting sqref="C50:C51 K21">
    <cfRule type="cellIs" dxfId="26" priority="3" operator="greaterThan">
      <formula>$C$4</formula>
    </cfRule>
  </conditionalFormatting>
  <conditionalFormatting sqref="K19:K20">
    <cfRule type="cellIs" dxfId="25" priority="1" operator="greaterThan">
      <formula>$C$4</formula>
    </cfRule>
  </conditionalFormatting>
  <pageMargins left="0.7" right="0.7" top="0.75" bottom="0.75" header="0.3" footer="0.3"/>
  <ignoredErrors>
    <ignoredError sqref="C115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DF2B-406A-4D1C-8D87-7AFA2BC4AA34}">
  <dimension ref="B1:AD95"/>
  <sheetViews>
    <sheetView showGridLines="0" zoomScale="70" zoomScaleNormal="70" workbookViewId="0">
      <selection activeCell="I11" sqref="I11"/>
    </sheetView>
  </sheetViews>
  <sheetFormatPr defaultColWidth="11.5703125" defaultRowHeight="15" x14ac:dyDescent="0.25"/>
  <cols>
    <col min="1" max="1" width="2.85546875" style="121" customWidth="1"/>
    <col min="2" max="3" width="11.5703125" style="207"/>
    <col min="4" max="4" width="12.85546875" style="121" customWidth="1"/>
    <col min="5" max="5" width="13.140625" style="121" customWidth="1"/>
    <col min="6" max="6" width="12.85546875" style="248" customWidth="1"/>
    <col min="7" max="7" width="12.85546875" style="121" bestFit="1" customWidth="1"/>
    <col min="8" max="8" width="12.85546875" style="248" customWidth="1"/>
    <col min="9" max="9" width="12.85546875" style="121" bestFit="1" customWidth="1"/>
    <col min="10" max="10" width="12.85546875" style="248" customWidth="1"/>
    <col min="11" max="11" width="12.85546875" style="121" bestFit="1" customWidth="1"/>
    <col min="12" max="12" width="12.85546875" style="248" customWidth="1"/>
    <col min="13" max="15" width="14.7109375" style="121" customWidth="1"/>
    <col min="16" max="16" width="11.5703125" style="121"/>
    <col min="17" max="17" width="20.85546875" style="121" bestFit="1" customWidth="1"/>
    <col min="18" max="18" width="12.85546875" style="121" bestFit="1" customWidth="1"/>
    <col min="19" max="16384" width="11.5703125" style="121"/>
  </cols>
  <sheetData>
    <row r="1" spans="2:30" ht="15.75" thickBot="1" x14ac:dyDescent="0.3"/>
    <row r="2" spans="2:30" ht="15.75" thickBot="1" x14ac:dyDescent="0.3">
      <c r="B2" s="305" t="s">
        <v>243</v>
      </c>
      <c r="C2" s="306"/>
      <c r="D2" s="306"/>
      <c r="E2" s="306"/>
      <c r="F2" s="306"/>
      <c r="G2" s="307"/>
      <c r="H2" s="308"/>
      <c r="I2" s="308"/>
      <c r="J2" s="308"/>
      <c r="K2" s="308"/>
      <c r="L2" s="308"/>
      <c r="M2" s="308"/>
      <c r="N2" s="261"/>
      <c r="O2" s="261"/>
    </row>
    <row r="3" spans="2:30" ht="15.75" thickBot="1" x14ac:dyDescent="0.3">
      <c r="B3" s="309" t="s">
        <v>43</v>
      </c>
      <c r="C3" s="313" t="s">
        <v>19</v>
      </c>
      <c r="D3" s="311" t="s">
        <v>246</v>
      </c>
      <c r="E3" s="311" t="s">
        <v>244</v>
      </c>
      <c r="F3" s="303" t="s">
        <v>240</v>
      </c>
      <c r="G3" s="303"/>
      <c r="H3" s="303" t="s">
        <v>241</v>
      </c>
      <c r="I3" s="303"/>
      <c r="J3" s="303" t="s">
        <v>247</v>
      </c>
      <c r="K3" s="303"/>
      <c r="L3" s="303" t="s">
        <v>248</v>
      </c>
      <c r="M3" s="304"/>
      <c r="N3" s="262"/>
      <c r="O3" s="262"/>
    </row>
    <row r="4" spans="2:30" ht="30" customHeight="1" thickBot="1" x14ac:dyDescent="0.3">
      <c r="B4" s="310"/>
      <c r="C4" s="314"/>
      <c r="D4" s="312"/>
      <c r="E4" s="312"/>
      <c r="F4" s="249" t="s">
        <v>245</v>
      </c>
      <c r="G4" s="210" t="s">
        <v>242</v>
      </c>
      <c r="H4" s="249" t="s">
        <v>245</v>
      </c>
      <c r="I4" s="210" t="s">
        <v>242</v>
      </c>
      <c r="J4" s="249" t="s">
        <v>245</v>
      </c>
      <c r="K4" s="210" t="s">
        <v>242</v>
      </c>
      <c r="L4" s="249" t="s">
        <v>245</v>
      </c>
      <c r="M4" s="211" t="s">
        <v>242</v>
      </c>
      <c r="N4" s="262"/>
      <c r="O4" s="272" t="str">
        <f>B3</f>
        <v>N° Losa</v>
      </c>
      <c r="P4" s="263" t="s">
        <v>240</v>
      </c>
      <c r="Q4" s="264" t="s">
        <v>241</v>
      </c>
      <c r="R4" s="264" t="s">
        <v>247</v>
      </c>
      <c r="S4" s="265" t="s">
        <v>248</v>
      </c>
    </row>
    <row r="5" spans="2:30" x14ac:dyDescent="0.25">
      <c r="B5" s="212" t="str">
        <f>'-1'!C46</f>
        <v>0101</v>
      </c>
      <c r="C5" s="241">
        <f>'-1'!$C$4</f>
        <v>17</v>
      </c>
      <c r="D5" s="213">
        <f>'-1'!$C$12</f>
        <v>3.06</v>
      </c>
      <c r="E5" s="214">
        <f>HLOOKUP($B5,'-1'!$C$46:$AE$90,22)</f>
        <v>1580</v>
      </c>
      <c r="F5" s="250">
        <f>HLOOKUP($B5,'-1'!$C$46:$AE$90,29)</f>
        <v>1.68</v>
      </c>
      <c r="G5" s="214" t="str">
        <f>HLOOKUP($B5,'-1'!$C$46:$AE$90,30)</f>
        <v>$\phi8@16$</v>
      </c>
      <c r="H5" s="250">
        <f>HLOOKUP($B5,'-1'!$C$46:$AE$90,34)</f>
        <v>1.29</v>
      </c>
      <c r="I5" s="214" t="str">
        <f>HLOOKUP($B5,'-1'!$C$46:$AE$90,35)</f>
        <v>$\phi8@16$</v>
      </c>
      <c r="J5" s="250">
        <f>HLOOKUP($B5,'-1'!$C$46:$AE$90,39)</f>
        <v>3.8899999999999997</v>
      </c>
      <c r="K5" s="214" t="str">
        <f>HLOOKUP($B5,'-1'!$C$46:$AE$90,40)</f>
        <v>$\phi10@20$</v>
      </c>
      <c r="L5" s="250">
        <f>HLOOKUP($B5,'-1'!$C$46:$AE$90,44)</f>
        <v>3.5999999999999996</v>
      </c>
      <c r="M5" s="215" t="str">
        <f>HLOOKUP($B5,'-1'!$C$46:$AE$90,45)</f>
        <v>$\phi8@14$</v>
      </c>
      <c r="N5" s="202"/>
      <c r="O5" s="270" t="str">
        <f>B5</f>
        <v>0101</v>
      </c>
      <c r="P5" s="266" t="str">
        <f>IF(G5='[1]Tabla -1'!G5,"IGUAL","CAMBIO")</f>
        <v>IGUAL</v>
      </c>
      <c r="Q5" s="123" t="str">
        <f>IF(I5='[1]Tabla -1'!I5,"IGUAL","CAMBIO")</f>
        <v>IGUAL</v>
      </c>
      <c r="R5" s="123" t="str">
        <f>IF(K5='[1]Tabla -1'!K5,"IGUAL","CAMBIO")</f>
        <v>IGUAL</v>
      </c>
      <c r="S5" s="217" t="str">
        <f>IF(M5='[1]Tabla -1'!M5,"IGUAL","CAMBIO")</f>
        <v>IGUAL</v>
      </c>
      <c r="T5" s="140"/>
      <c r="U5" s="140"/>
      <c r="V5" s="140"/>
      <c r="W5" s="140"/>
      <c r="X5" s="140"/>
      <c r="Y5" s="140"/>
      <c r="Z5" s="140"/>
      <c r="AA5" s="140"/>
      <c r="AB5" s="140"/>
      <c r="AC5" s="140"/>
    </row>
    <row r="6" spans="2:30" x14ac:dyDescent="0.25">
      <c r="B6" s="216" t="str">
        <f>'-1'!D46</f>
        <v>0102</v>
      </c>
      <c r="C6" s="243">
        <f>'-1'!$C$4</f>
        <v>17</v>
      </c>
      <c r="D6" s="122">
        <f>'-1'!$C$12</f>
        <v>3.06</v>
      </c>
      <c r="E6" s="123">
        <f>HLOOKUP($B6,'-1'!$C$46:$AE$90,22)</f>
        <v>1580</v>
      </c>
      <c r="F6" s="251">
        <f>HLOOKUP($B6,'-1'!$C$46:$AE$90,29)</f>
        <v>2.69</v>
      </c>
      <c r="G6" s="123" t="str">
        <f>HLOOKUP($B6,'-1'!$C$46:$AE$90,30)</f>
        <v>$\phi8@16$</v>
      </c>
      <c r="H6" s="251">
        <f>HLOOKUP($B6,'-1'!$C$46:$AE$90,34)</f>
        <v>0.85</v>
      </c>
      <c r="I6" s="123" t="str">
        <f>HLOOKUP($B6,'-1'!$C$46:$AE$90,35)</f>
        <v>$\phi8@16$</v>
      </c>
      <c r="J6" s="251">
        <f>HLOOKUP($B6,'-1'!$C$46:$AE$90,39)</f>
        <v>4.99</v>
      </c>
      <c r="K6" s="123" t="str">
        <f>HLOOKUP($B6,'-1'!$C$46:$AE$90,40)</f>
        <v>$\phi8@10$</v>
      </c>
      <c r="L6" s="251">
        <f>HLOOKUP($B6,'-1'!$C$46:$AE$90,44)</f>
        <v>3.7699999999999996</v>
      </c>
      <c r="M6" s="217" t="str">
        <f>HLOOKUP($B6,'-1'!$C$46:$AE$90,45)</f>
        <v>$\phi10@21$</v>
      </c>
      <c r="N6" s="202"/>
      <c r="O6" s="270" t="str">
        <f t="shared" ref="O6:O33" si="0">B6</f>
        <v>0102</v>
      </c>
      <c r="P6" s="266" t="str">
        <f>IF(G6='[1]Tabla -1'!G6,"IGUAL","CAMBIO")</f>
        <v>IGUAL</v>
      </c>
      <c r="Q6" s="123" t="str">
        <f>IF(I6='[1]Tabla -1'!I6,"IGUAL","CAMBIO")</f>
        <v>IGUAL</v>
      </c>
      <c r="R6" s="123" t="str">
        <f>IF(K6='[1]Tabla -1'!K6,"IGUAL","CAMBIO")</f>
        <v>IGUAL</v>
      </c>
      <c r="S6" s="217" t="str">
        <f>IF(M6='[1]Tabla -1'!M6,"IGUAL","CAMBIO")</f>
        <v>IGUAL</v>
      </c>
      <c r="T6" s="140"/>
      <c r="U6" s="140"/>
      <c r="V6" s="140"/>
      <c r="W6" s="140"/>
      <c r="X6" s="140"/>
      <c r="Y6" s="140"/>
      <c r="Z6" s="140"/>
      <c r="AA6" s="140"/>
      <c r="AB6" s="140"/>
      <c r="AC6" s="140"/>
    </row>
    <row r="7" spans="2:30" x14ac:dyDescent="0.25">
      <c r="B7" s="216" t="str">
        <f>'-1'!E46</f>
        <v>0103</v>
      </c>
      <c r="C7" s="243">
        <f>'-1'!$C$4</f>
        <v>17</v>
      </c>
      <c r="D7" s="122">
        <f>'-1'!$C$12</f>
        <v>3.06</v>
      </c>
      <c r="E7" s="123">
        <f>HLOOKUP($B7,'-1'!$C$46:$AE$90,22)</f>
        <v>1580</v>
      </c>
      <c r="F7" s="251">
        <f>HLOOKUP($B7,'-1'!$C$46:$AE$90,29)</f>
        <v>2.69</v>
      </c>
      <c r="G7" s="123" t="str">
        <f>HLOOKUP($B7,'-1'!$C$46:$AE$90,30)</f>
        <v>$\phi8@16$</v>
      </c>
      <c r="H7" s="251">
        <f>HLOOKUP($B7,'-1'!$C$46:$AE$90,34)</f>
        <v>0.85</v>
      </c>
      <c r="I7" s="123" t="str">
        <f>HLOOKUP($B7,'-1'!$C$46:$AE$90,35)</f>
        <v>$\phi8@16$</v>
      </c>
      <c r="J7" s="251">
        <f>HLOOKUP($B7,'-1'!$C$46:$AE$90,39)</f>
        <v>4.99</v>
      </c>
      <c r="K7" s="123" t="str">
        <f>HLOOKUP($B7,'-1'!$C$46:$AE$90,40)</f>
        <v>$\phi8@10$</v>
      </c>
      <c r="L7" s="251">
        <f>HLOOKUP($B7,'-1'!$C$46:$AE$90,44)</f>
        <v>3.7699999999999996</v>
      </c>
      <c r="M7" s="217" t="str">
        <f>HLOOKUP($B7,'-1'!$C$46:$AE$90,45)</f>
        <v>$\phi10@21$</v>
      </c>
      <c r="N7" s="202"/>
      <c r="O7" s="270" t="str">
        <f t="shared" si="0"/>
        <v>0103</v>
      </c>
      <c r="P7" s="266" t="str">
        <f>IF(G7='[1]Tabla -1'!G7,"IGUAL","CAMBIO")</f>
        <v>IGUAL</v>
      </c>
      <c r="Q7" s="123" t="str">
        <f>IF(I7='[1]Tabla -1'!I7,"IGUAL","CAMBIO")</f>
        <v>IGUAL</v>
      </c>
      <c r="R7" s="123" t="str">
        <f>IF(K7='[1]Tabla -1'!K7,"IGUAL","CAMBIO")</f>
        <v>IGUAL</v>
      </c>
      <c r="S7" s="217" t="str">
        <f>IF(M7='[1]Tabla -1'!M7,"IGUAL","CAMBIO")</f>
        <v>IGUAL</v>
      </c>
      <c r="Y7" s="140"/>
      <c r="Z7" s="140"/>
      <c r="AA7" s="140"/>
      <c r="AB7" s="140"/>
      <c r="AC7" s="140"/>
      <c r="AD7" s="140"/>
    </row>
    <row r="8" spans="2:30" x14ac:dyDescent="0.25">
      <c r="B8" s="216" t="str">
        <f>'-1'!F46</f>
        <v>0104</v>
      </c>
      <c r="C8" s="243">
        <f>'-1'!$C$4</f>
        <v>17</v>
      </c>
      <c r="D8" s="122">
        <f>'-1'!$C$12</f>
        <v>3.06</v>
      </c>
      <c r="E8" s="123">
        <f>HLOOKUP($B8,'-1'!$C$46:$AE$90,22)</f>
        <v>1580</v>
      </c>
      <c r="F8" s="251">
        <f>HLOOKUP($B8,'-1'!$C$46:$AE$90,29)</f>
        <v>2.86</v>
      </c>
      <c r="G8" s="123" t="str">
        <f>HLOOKUP($B8,'-1'!$C$46:$AE$90,30)</f>
        <v>$\phi8@16$</v>
      </c>
      <c r="H8" s="251">
        <f>HLOOKUP($B8,'-1'!$C$46:$AE$90,34)</f>
        <v>0.81</v>
      </c>
      <c r="I8" s="123" t="str">
        <f>HLOOKUP($B8,'-1'!$C$46:$AE$90,35)</f>
        <v>$\phi8@16$</v>
      </c>
      <c r="J8" s="251">
        <f>HLOOKUP($B8,'-1'!$C$46:$AE$90,39)</f>
        <v>5.2799999999999994</v>
      </c>
      <c r="K8" s="123" t="str">
        <f>HLOOKUP($B8,'-1'!$C$46:$AE$90,40)</f>
        <v>$\phi10@15$</v>
      </c>
      <c r="L8" s="251">
        <f>HLOOKUP($B8,'-1'!$C$46:$AE$90,44)</f>
        <v>3.88</v>
      </c>
      <c r="M8" s="217" t="str">
        <f>HLOOKUP($B8,'-1'!$C$46:$AE$90,45)</f>
        <v>$\phi10@20$</v>
      </c>
      <c r="N8" s="202"/>
      <c r="O8" s="270" t="str">
        <f t="shared" si="0"/>
        <v>0104</v>
      </c>
      <c r="P8" s="266" t="str">
        <f>IF(G8='[1]Tabla -1'!G8,"IGUAL","CAMBIO")</f>
        <v>IGUAL</v>
      </c>
      <c r="Q8" s="123" t="str">
        <f>IF(I8='[1]Tabla -1'!I8,"IGUAL","CAMBIO")</f>
        <v>IGUAL</v>
      </c>
      <c r="R8" s="123" t="str">
        <f>IF(K8='[1]Tabla -1'!K8,"IGUAL","CAMBIO")</f>
        <v>IGUAL</v>
      </c>
      <c r="S8" s="217" t="str">
        <f>IF(M8='[1]Tabla -1'!M8,"IGUAL","CAMBIO")</f>
        <v>IGUAL</v>
      </c>
      <c r="Y8" s="140"/>
      <c r="Z8" s="140"/>
      <c r="AA8" s="140"/>
      <c r="AB8" s="140"/>
      <c r="AC8" s="140"/>
      <c r="AD8" s="140"/>
    </row>
    <row r="9" spans="2:30" x14ac:dyDescent="0.25">
      <c r="B9" s="216" t="str">
        <f>'-1'!G46</f>
        <v>0105</v>
      </c>
      <c r="C9" s="243">
        <f>'-1'!$C$4</f>
        <v>17</v>
      </c>
      <c r="D9" s="122">
        <f>'-1'!$C$12</f>
        <v>3.06</v>
      </c>
      <c r="E9" s="123">
        <f>HLOOKUP($B9,'-1'!$C$46:$AE$90,22)</f>
        <v>1580</v>
      </c>
      <c r="F9" s="251">
        <f>HLOOKUP($B9,'-1'!$C$46:$AE$90,29)</f>
        <v>1.52</v>
      </c>
      <c r="G9" s="123" t="str">
        <f>HLOOKUP($B9,'-1'!$C$46:$AE$90,30)</f>
        <v>$\phi8@16$</v>
      </c>
      <c r="H9" s="251">
        <f>HLOOKUP($B9,'-1'!$C$46:$AE$90,34)</f>
        <v>0.91</v>
      </c>
      <c r="I9" s="123" t="str">
        <f>HLOOKUP($B9,'-1'!$C$46:$AE$90,35)</f>
        <v>$\phi8@16$</v>
      </c>
      <c r="J9" s="251">
        <f>HLOOKUP($B9,'-1'!$C$46:$AE$90,39)</f>
        <v>3.28</v>
      </c>
      <c r="K9" s="123" t="str">
        <f>HLOOKUP($B9,'-1'!$C$46:$AE$90,40)</f>
        <v>$\phi8@15$</v>
      </c>
      <c r="L9" s="251">
        <f>HLOOKUP($B9,'-1'!$C$46:$AE$90,44)</f>
        <v>2.84</v>
      </c>
      <c r="M9" s="217" t="str">
        <f>HLOOKUP($B9,'-1'!$C$46:$AE$90,45)</f>
        <v>$\phi8@16$</v>
      </c>
      <c r="N9" s="202"/>
      <c r="O9" s="270" t="str">
        <f t="shared" si="0"/>
        <v>0105</v>
      </c>
      <c r="P9" s="266" t="str">
        <f>IF(G9='[1]Tabla -1'!G9,"IGUAL","CAMBIO")</f>
        <v>IGUAL</v>
      </c>
      <c r="Q9" s="123" t="str">
        <f>IF(I9='[1]Tabla -1'!I9,"IGUAL","CAMBIO")</f>
        <v>IGUAL</v>
      </c>
      <c r="R9" s="123" t="str">
        <f>IF(K9='[1]Tabla -1'!K9,"IGUAL","CAMBIO")</f>
        <v>IGUAL</v>
      </c>
      <c r="S9" s="217" t="str">
        <f>IF(M9='[1]Tabla -1'!M9,"IGUAL","CAMBIO")</f>
        <v>IGUAL</v>
      </c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</row>
    <row r="10" spans="2:30" x14ac:dyDescent="0.25">
      <c r="B10" s="216" t="str">
        <f>'-1'!H46</f>
        <v>0106</v>
      </c>
      <c r="C10" s="243">
        <f>'-1'!$C$4</f>
        <v>17</v>
      </c>
      <c r="D10" s="122">
        <f>'-1'!$C$12</f>
        <v>3.06</v>
      </c>
      <c r="E10" s="123">
        <f>HLOOKUP($B10,'-1'!$C$46:$AE$90,22)</f>
        <v>1580</v>
      </c>
      <c r="F10" s="251">
        <f>HLOOKUP($B10,'-1'!$C$46:$AE$90,29)</f>
        <v>1.33</v>
      </c>
      <c r="G10" s="123" t="str">
        <f>HLOOKUP($B10,'-1'!$C$46:$AE$90,30)</f>
        <v>$\phi8@16$</v>
      </c>
      <c r="H10" s="251">
        <f>HLOOKUP($B10,'-1'!$C$46:$AE$90,34)</f>
        <v>0.51</v>
      </c>
      <c r="I10" s="123" t="str">
        <f>HLOOKUP($B10,'-1'!$C$46:$AE$90,35)</f>
        <v>$\phi8@16$</v>
      </c>
      <c r="J10" s="251">
        <f>HLOOKUP($B10,'-1'!$C$46:$AE$90,39)</f>
        <v>2.57</v>
      </c>
      <c r="K10" s="123" t="str">
        <f>HLOOKUP($B10,'-1'!$C$46:$AE$90,40)</f>
        <v>$\phi8@16$</v>
      </c>
      <c r="L10" s="251">
        <f>HLOOKUP($B10,'-1'!$C$46:$AE$90,44)</f>
        <v>2.0199999999999996</v>
      </c>
      <c r="M10" s="217" t="str">
        <f>HLOOKUP($B10,'-1'!$C$46:$AE$90,45)</f>
        <v>$\phi8@16$</v>
      </c>
      <c r="N10" s="202"/>
      <c r="O10" s="270" t="str">
        <f t="shared" si="0"/>
        <v>0106</v>
      </c>
      <c r="P10" s="266" t="str">
        <f>IF(G10='[1]Tabla -1'!G10,"IGUAL","CAMBIO")</f>
        <v>IGUAL</v>
      </c>
      <c r="Q10" s="123" t="str">
        <f>IF(I10='[1]Tabla -1'!I10,"IGUAL","CAMBIO")</f>
        <v>IGUAL</v>
      </c>
      <c r="R10" s="123" t="str">
        <f>IF(K10='[1]Tabla -1'!K10,"IGUAL","CAMBIO")</f>
        <v>IGUAL</v>
      </c>
      <c r="S10" s="217" t="str">
        <f>IF(M10='[1]Tabla -1'!M10,"IGUAL","CAMBIO")</f>
        <v>IGUAL</v>
      </c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</row>
    <row r="11" spans="2:30" x14ac:dyDescent="0.25">
      <c r="B11" s="216" t="str">
        <f>'-1'!I46</f>
        <v>0107</v>
      </c>
      <c r="C11" s="243">
        <f>'-1'!$C$4</f>
        <v>17</v>
      </c>
      <c r="D11" s="122">
        <f>'-1'!$C$12</f>
        <v>3.06</v>
      </c>
      <c r="E11" s="123">
        <f>HLOOKUP($B11,'-1'!$C$46:$AE$90,22)</f>
        <v>1580</v>
      </c>
      <c r="F11" s="251">
        <f>HLOOKUP($B11,'-1'!$C$46:$AE$90,29)</f>
        <v>1.86</v>
      </c>
      <c r="G11" s="123" t="str">
        <f>HLOOKUP($B11,'-1'!$C$46:$AE$90,30)</f>
        <v>$\phi8@16$</v>
      </c>
      <c r="H11" s="251">
        <f>HLOOKUP($B11,'-1'!$C$46:$AE$90,34)</f>
        <v>1.43</v>
      </c>
      <c r="I11" s="123" t="str">
        <f>HLOOKUP($B11,'-1'!$C$46:$AE$90,35)</f>
        <v>$\phi8@16$</v>
      </c>
      <c r="J11" s="251">
        <f>HLOOKUP($B11,'-1'!$C$46:$AE$90,39)</f>
        <v>4.3099999999999996</v>
      </c>
      <c r="K11" s="123" t="str">
        <f>HLOOKUP($B11,'-1'!$C$46:$AE$90,40)</f>
        <v>$\phi10@18$</v>
      </c>
      <c r="L11" s="251">
        <f>HLOOKUP($B11,'-1'!$C$46:$AE$90,44)</f>
        <v>3.9899999999999998</v>
      </c>
      <c r="M11" s="217" t="str">
        <f>HLOOKUP($B11,'-1'!$C$46:$AE$90,45)</f>
        <v>$\phi10@20$</v>
      </c>
      <c r="N11" s="202"/>
      <c r="O11" s="270" t="str">
        <f t="shared" si="0"/>
        <v>0107</v>
      </c>
      <c r="P11" s="266" t="str">
        <f>IF(G11='[1]Tabla -1'!G11,"IGUAL","CAMBIO")</f>
        <v>IGUAL</v>
      </c>
      <c r="Q11" s="123" t="str">
        <f>IF(I11='[1]Tabla -1'!I11,"IGUAL","CAMBIO")</f>
        <v>IGUAL</v>
      </c>
      <c r="R11" s="123" t="str">
        <f>IF(K11='[1]Tabla -1'!K11,"IGUAL","CAMBIO")</f>
        <v>IGUAL</v>
      </c>
      <c r="S11" s="217" t="str">
        <f>IF(M11='[1]Tabla -1'!M11,"IGUAL","CAMBIO")</f>
        <v>IGUAL</v>
      </c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</row>
    <row r="12" spans="2:30" x14ac:dyDescent="0.25">
      <c r="B12" s="218" t="str">
        <f>'-1'!J46</f>
        <v>0108</v>
      </c>
      <c r="C12" s="244">
        <f>'-1'!$C$4</f>
        <v>17</v>
      </c>
      <c r="D12" s="122">
        <f>'-1'!$C$12</f>
        <v>3.06</v>
      </c>
      <c r="E12" s="123">
        <f>HLOOKUP($B12,'-1'!$C$46:$AE$90,22)</f>
        <v>1580</v>
      </c>
      <c r="F12" s="251">
        <f>HLOOKUP($B12,'-1'!$C$46:$AE$90,29)</f>
        <v>2.8699999999999997</v>
      </c>
      <c r="G12" s="123" t="str">
        <f>HLOOKUP($B12,'-1'!$C$46:$AE$90,30)</f>
        <v>$\phi8@16$</v>
      </c>
      <c r="H12" s="251">
        <f>HLOOKUP($B12,'-1'!$C$46:$AE$90,34)</f>
        <v>1.36</v>
      </c>
      <c r="I12" s="123" t="str">
        <f>HLOOKUP($B12,'-1'!$C$46:$AE$90,35)</f>
        <v>$\phi8@16$</v>
      </c>
      <c r="J12" s="251">
        <f>HLOOKUP($B12,'-1'!$C$46:$AE$90,39)</f>
        <v>5.8199999999999994</v>
      </c>
      <c r="K12" s="123" t="str">
        <f>HLOOKUP($B12,'-1'!$C$46:$AE$90,40)</f>
        <v>$\phi12@20$</v>
      </c>
      <c r="L12" s="251">
        <f>HLOOKUP($B12,'-1'!$C$46:$AE$90,44)</f>
        <v>4.7799999999999994</v>
      </c>
      <c r="M12" s="217" t="str">
        <f>HLOOKUP($B12,'-1'!$C$46:$AE$90,45)</f>
        <v>$\phi12@24$</v>
      </c>
      <c r="N12" s="202"/>
      <c r="O12" s="270" t="str">
        <f t="shared" si="0"/>
        <v>0108</v>
      </c>
      <c r="P12" s="266" t="str">
        <f>IF(G12='[1]Tabla -1'!G12,"IGUAL","CAMBIO")</f>
        <v>IGUAL</v>
      </c>
      <c r="Q12" s="123" t="str">
        <f>IF(I12='[1]Tabla -1'!I12,"IGUAL","CAMBIO")</f>
        <v>IGUAL</v>
      </c>
      <c r="R12" s="123" t="str">
        <f>IF(K12='[1]Tabla -1'!K12,"IGUAL","CAMBIO")</f>
        <v>IGUAL</v>
      </c>
      <c r="S12" s="217" t="str">
        <f>IF(M12='[1]Tabla -1'!M12,"IGUAL","CAMBIO")</f>
        <v>IGUAL</v>
      </c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</row>
    <row r="13" spans="2:30" x14ac:dyDescent="0.25">
      <c r="B13" s="218" t="str">
        <f>'-1'!K46</f>
        <v>0109</v>
      </c>
      <c r="C13" s="244">
        <f>'-1'!$C$4</f>
        <v>17</v>
      </c>
      <c r="D13" s="122">
        <f>'-1'!$C$12</f>
        <v>3.06</v>
      </c>
      <c r="E13" s="123">
        <f>HLOOKUP($B13,'-1'!$C$46:$AE$90,22)</f>
        <v>1580</v>
      </c>
      <c r="F13" s="251">
        <f>HLOOKUP($B13,'-1'!$C$46:$AE$90,29)</f>
        <v>2.8699999999999997</v>
      </c>
      <c r="G13" s="123" t="str">
        <f>HLOOKUP($B13,'-1'!$C$46:$AE$90,30)</f>
        <v>$\phi8@16$</v>
      </c>
      <c r="H13" s="251">
        <f>HLOOKUP($B13,'-1'!$C$46:$AE$90,34)</f>
        <v>1.36</v>
      </c>
      <c r="I13" s="123" t="str">
        <f>HLOOKUP($B13,'-1'!$C$46:$AE$90,35)</f>
        <v>$\phi8@16$</v>
      </c>
      <c r="J13" s="251">
        <f>HLOOKUP($B13,'-1'!$C$46:$AE$90,39)</f>
        <v>5.8199999999999994</v>
      </c>
      <c r="K13" s="123" t="str">
        <f>HLOOKUP($B13,'-1'!$C$46:$AE$90,40)</f>
        <v>$\phi12@20$</v>
      </c>
      <c r="L13" s="251">
        <f>HLOOKUP($B13,'-1'!$C$46:$AE$90,44)</f>
        <v>4.7799999999999994</v>
      </c>
      <c r="M13" s="217" t="str">
        <f>HLOOKUP($B13,'-1'!$C$46:$AE$90,45)</f>
        <v>$\phi12@24$</v>
      </c>
      <c r="N13" s="202"/>
      <c r="O13" s="270" t="str">
        <f t="shared" si="0"/>
        <v>0109</v>
      </c>
      <c r="P13" s="266" t="str">
        <f>IF(G13='[1]Tabla -1'!G13,"IGUAL","CAMBIO")</f>
        <v>IGUAL</v>
      </c>
      <c r="Q13" s="123" t="str">
        <f>IF(I13='[1]Tabla -1'!I13,"IGUAL","CAMBIO")</f>
        <v>IGUAL</v>
      </c>
      <c r="R13" s="123" t="str">
        <f>IF(K13='[1]Tabla -1'!K13,"IGUAL","CAMBIO")</f>
        <v>IGUAL</v>
      </c>
      <c r="S13" s="217" t="str">
        <f>IF(M13='[1]Tabla -1'!M13,"IGUAL","CAMBIO")</f>
        <v>IGUAL</v>
      </c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</row>
    <row r="14" spans="2:30" x14ac:dyDescent="0.25">
      <c r="B14" s="218" t="str">
        <f>'-1'!L46</f>
        <v>0110</v>
      </c>
      <c r="C14" s="244">
        <f>'-1'!$C$4</f>
        <v>17</v>
      </c>
      <c r="D14" s="122">
        <f>'-1'!$C$12</f>
        <v>3.06</v>
      </c>
      <c r="E14" s="123">
        <f>HLOOKUP($B14,'-1'!$C$46:$AE$90,22)</f>
        <v>1580</v>
      </c>
      <c r="F14" s="251">
        <f>HLOOKUP($B14,'-1'!$C$46:$AE$90,29)</f>
        <v>4.95</v>
      </c>
      <c r="G14" s="123" t="str">
        <f>HLOOKUP($B14,'-1'!$C$46:$AE$90,30)</f>
        <v>$\phi8@10$</v>
      </c>
      <c r="H14" s="251">
        <f>HLOOKUP($B14,'-1'!$C$46:$AE$90,34)</f>
        <v>0</v>
      </c>
      <c r="I14" s="123" t="str">
        <f>HLOOKUP($B14,'-1'!$C$46:$AE$90,35)</f>
        <v>$\phi8@16$</v>
      </c>
      <c r="J14" s="251">
        <f>HLOOKUP($B14,'-1'!$C$46:$AE$90,39)</f>
        <v>7.02</v>
      </c>
      <c r="K14" s="123" t="str">
        <f>HLOOKUP($B14,'-1'!$C$46:$AE$90,40)</f>
        <v>$\phi12@16$</v>
      </c>
      <c r="L14" s="251">
        <f>HLOOKUP($B14,'-1'!$C$46:$AE$90,44)</f>
        <v>4.8099999999999996</v>
      </c>
      <c r="M14" s="217" t="str">
        <f>HLOOKUP($B14,'-1'!$C$46:$AE$90,45)</f>
        <v>$\phi12@24$</v>
      </c>
      <c r="N14" s="202"/>
      <c r="O14" s="270" t="str">
        <f t="shared" si="0"/>
        <v>0110</v>
      </c>
      <c r="P14" s="266" t="str">
        <f>IF(G14='[1]Tabla -1'!G14,"IGUAL","CAMBIO")</f>
        <v>IGUAL</v>
      </c>
      <c r="Q14" s="123" t="str">
        <f>IF(I14='[1]Tabla -1'!I14,"IGUAL","CAMBIO")</f>
        <v>IGUAL</v>
      </c>
      <c r="R14" s="123" t="str">
        <f>IF(K14='[1]Tabla -1'!K14,"IGUAL","CAMBIO")</f>
        <v>IGUAL</v>
      </c>
      <c r="S14" s="217" t="str">
        <f>IF(M14='[1]Tabla -1'!M14,"IGUAL","CAMBIO")</f>
        <v>IGUAL</v>
      </c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</row>
    <row r="15" spans="2:30" x14ac:dyDescent="0.25">
      <c r="B15" s="218" t="str">
        <f>'-1'!M46</f>
        <v>0111</v>
      </c>
      <c r="C15" s="244">
        <f>'-1'!$C$4</f>
        <v>17</v>
      </c>
      <c r="D15" s="122">
        <f>'-1'!$C$12</f>
        <v>3.06</v>
      </c>
      <c r="E15" s="123">
        <f>HLOOKUP($B15,'-1'!$C$46:$AE$90,22)</f>
        <v>1580</v>
      </c>
      <c r="F15" s="251">
        <f>HLOOKUP($B15,'-1'!$C$46:$AE$90,29)</f>
        <v>1.45</v>
      </c>
      <c r="G15" s="123" t="str">
        <f>HLOOKUP($B15,'-1'!$C$46:$AE$90,30)</f>
        <v>$\phi8@16$</v>
      </c>
      <c r="H15" s="251">
        <f>HLOOKUP($B15,'-1'!$C$46:$AE$90,34)</f>
        <v>0.41000000000000003</v>
      </c>
      <c r="I15" s="123" t="str">
        <f>HLOOKUP($B15,'-1'!$C$46:$AE$90,35)</f>
        <v>$\phi8@16$</v>
      </c>
      <c r="J15" s="251">
        <f>HLOOKUP($B15,'-1'!$C$46:$AE$90,39)</f>
        <v>2.67</v>
      </c>
      <c r="K15" s="123" t="str">
        <f>HLOOKUP($B15,'-1'!$C$46:$AE$90,40)</f>
        <v>$\phi8@16$</v>
      </c>
      <c r="L15" s="251">
        <f>HLOOKUP($B15,'-1'!$C$46:$AE$90,44)</f>
        <v>1.96</v>
      </c>
      <c r="M15" s="217" t="str">
        <f>HLOOKUP($B15,'-1'!$C$46:$AE$90,45)</f>
        <v>$\phi8@16$</v>
      </c>
      <c r="N15" s="202"/>
      <c r="O15" s="270" t="str">
        <f t="shared" si="0"/>
        <v>0111</v>
      </c>
      <c r="P15" s="266" t="str">
        <f>IF(G15='[1]Tabla -1'!G15,"IGUAL","CAMBIO")</f>
        <v>IGUAL</v>
      </c>
      <c r="Q15" s="123" t="str">
        <f>IF(I15='[1]Tabla -1'!I15,"IGUAL","CAMBIO")</f>
        <v>IGUAL</v>
      </c>
      <c r="R15" s="123" t="str">
        <f>IF(K15='[1]Tabla -1'!K15,"IGUAL","CAMBIO")</f>
        <v>IGUAL</v>
      </c>
      <c r="S15" s="217" t="str">
        <f>IF(M15='[1]Tabla -1'!M15,"IGUAL","CAMBIO")</f>
        <v>IGUAL</v>
      </c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</row>
    <row r="16" spans="2:30" x14ac:dyDescent="0.25">
      <c r="B16" s="218" t="str">
        <f>'-1'!N46</f>
        <v>0112</v>
      </c>
      <c r="C16" s="244">
        <f>'-1'!$C$4</f>
        <v>17</v>
      </c>
      <c r="D16" s="122">
        <f>'-1'!$C$12</f>
        <v>3.06</v>
      </c>
      <c r="E16" s="123">
        <f>HLOOKUP($B16,'-1'!$C$46:$AE$90,22)</f>
        <v>1420</v>
      </c>
      <c r="F16" s="251">
        <f>HLOOKUP($B16,'-1'!$C$46:$AE$90,29)</f>
        <v>3.61</v>
      </c>
      <c r="G16" s="123" t="str">
        <f>HLOOKUP($B16,'-1'!$C$46:$AE$90,30)</f>
        <v>$\phi8@14$</v>
      </c>
      <c r="H16" s="251">
        <f>HLOOKUP($B16,'-1'!$C$46:$AE$90,34)</f>
        <v>1.02</v>
      </c>
      <c r="I16" s="123" t="str">
        <f>HLOOKUP($B16,'-1'!$C$46:$AE$90,35)</f>
        <v>$\phi8@16$</v>
      </c>
      <c r="J16" s="251">
        <f>HLOOKUP($B16,'-1'!$C$46:$AE$90,39)</f>
        <v>6.8</v>
      </c>
      <c r="K16" s="123" t="str">
        <f>HLOOKUP($B16,'-1'!$C$46:$AE$90,40)</f>
        <v>$\phi12@17$</v>
      </c>
      <c r="L16" s="251">
        <f>HLOOKUP($B16,'-1'!$C$46:$AE$90,44)</f>
        <v>5</v>
      </c>
      <c r="M16" s="217" t="str">
        <f>HLOOKUP($B16,'-1'!$C$46:$AE$90,45)</f>
        <v>$\phi8@10$</v>
      </c>
      <c r="N16" s="202"/>
      <c r="O16" s="270" t="str">
        <f t="shared" si="0"/>
        <v>0112</v>
      </c>
      <c r="P16" s="266" t="str">
        <f>IF(G16='[1]Tabla -1'!G16,"IGUAL","CAMBIO")</f>
        <v>CAMBIO</v>
      </c>
      <c r="Q16" s="123" t="str">
        <f>IF(I16='[1]Tabla -1'!I16,"IGUAL","CAMBIO")</f>
        <v>IGUAL</v>
      </c>
      <c r="R16" s="123" t="str">
        <f>IF(K16='[1]Tabla -1'!K16,"IGUAL","CAMBIO")</f>
        <v>IGUAL</v>
      </c>
      <c r="S16" s="217" t="str">
        <f>IF(M16='[1]Tabla -1'!M16,"IGUAL","CAMBIO")</f>
        <v>IGUAL</v>
      </c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</row>
    <row r="17" spans="2:30" x14ac:dyDescent="0.25">
      <c r="B17" s="218" t="str">
        <f>'-1'!$O$46</f>
        <v>0113</v>
      </c>
      <c r="C17" s="244">
        <f>'-1'!$C$4</f>
        <v>17</v>
      </c>
      <c r="D17" s="122">
        <f>'-1'!$C$12</f>
        <v>3.06</v>
      </c>
      <c r="E17" s="123">
        <f>HLOOKUP($B17,'-1'!$C$46:$AE$90,22)</f>
        <v>1420</v>
      </c>
      <c r="F17" s="251">
        <f>HLOOKUP($B17,'-1'!$C$46:$AE$90,29)</f>
        <v>1.66</v>
      </c>
      <c r="G17" s="123" t="str">
        <f>HLOOKUP($B17,'-1'!$C$46:$AE$90,30)</f>
        <v>$\phi8@16$</v>
      </c>
      <c r="H17" s="251">
        <f>HLOOKUP($B17,'-1'!$C$46:$AE$90,34)</f>
        <v>0.79</v>
      </c>
      <c r="I17" s="123" t="str">
        <f>HLOOKUP($B17,'-1'!$C$46:$AE$90,35)</f>
        <v>$\phi8@16$</v>
      </c>
      <c r="J17" s="251">
        <f>HLOOKUP($B17,'-1'!$C$46:$AE$90,39)</f>
        <v>3.42</v>
      </c>
      <c r="K17" s="123" t="str">
        <f>HLOOKUP($B17,'-1'!$C$46:$AE$90,40)</f>
        <v>$\phi10@23$</v>
      </c>
      <c r="L17" s="251">
        <f>HLOOKUP($B17,'-1'!$C$46:$AE$90,44)</f>
        <v>2.8</v>
      </c>
      <c r="M17" s="217" t="str">
        <f>HLOOKUP($B17,'-1'!$C$46:$AE$90,45)</f>
        <v>$\phi8@16$</v>
      </c>
      <c r="N17" s="202"/>
      <c r="O17" s="270" t="str">
        <f t="shared" si="0"/>
        <v>0113</v>
      </c>
      <c r="P17" s="266" t="str">
        <f>IF(G17='[1]Tabla -1'!G17,"IGUAL","CAMBIO")</f>
        <v>IGUAL</v>
      </c>
      <c r="Q17" s="123" t="str">
        <f>IF(I17='[1]Tabla -1'!I17,"IGUAL","CAMBIO")</f>
        <v>IGUAL</v>
      </c>
      <c r="R17" s="123" t="str">
        <f>IF(K17='[1]Tabla -1'!K17,"IGUAL","CAMBIO")</f>
        <v>IGUAL</v>
      </c>
      <c r="S17" s="217" t="str">
        <f>IF(M17='[1]Tabla -1'!M17,"IGUAL","CAMBIO")</f>
        <v>IGUAL</v>
      </c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</row>
    <row r="18" spans="2:30" x14ac:dyDescent="0.25">
      <c r="B18" s="218" t="str">
        <f>'-1'!$P$46</f>
        <v>0114</v>
      </c>
      <c r="C18" s="244">
        <f>'-1'!$C$4</f>
        <v>17</v>
      </c>
      <c r="D18" s="122">
        <f>'-1'!$C$12</f>
        <v>3.06</v>
      </c>
      <c r="E18" s="123">
        <f>HLOOKUP($B18,'-1'!$C$46:$AE$90,22)</f>
        <v>1580</v>
      </c>
      <c r="F18" s="251">
        <f>HLOOKUP($B18,'-1'!$C$46:$AE$90,29)</f>
        <v>1.87</v>
      </c>
      <c r="G18" s="123" t="str">
        <f>HLOOKUP($B18,'-1'!$C$46:$AE$90,30)</f>
        <v>$\phi8@16$</v>
      </c>
      <c r="H18" s="251">
        <f>HLOOKUP($B18,'-1'!$C$46:$AE$90,34)</f>
        <v>0.89</v>
      </c>
      <c r="I18" s="123" t="str">
        <f>HLOOKUP($B18,'-1'!$C$46:$AE$90,35)</f>
        <v>$\phi8@16$</v>
      </c>
      <c r="J18" s="251">
        <f>HLOOKUP($B18,'-1'!$C$46:$AE$90,39)</f>
        <v>3.8</v>
      </c>
      <c r="K18" s="123" t="str">
        <f>HLOOKUP($B18,'-1'!$C$46:$AE$90,40)</f>
        <v>$\phi8@13$</v>
      </c>
      <c r="L18" s="251">
        <f>HLOOKUP($B18,'-1'!$C$46:$AE$90,44)</f>
        <v>3.1199999999999997</v>
      </c>
      <c r="M18" s="217" t="str">
        <f>HLOOKUP($B18,'-1'!$C$46:$AE$90,45)</f>
        <v>$\phi10@25$</v>
      </c>
      <c r="N18" s="202"/>
      <c r="O18" s="270" t="str">
        <f t="shared" si="0"/>
        <v>0114</v>
      </c>
      <c r="P18" s="266" t="str">
        <f>IF(G18='[1]Tabla -1'!G18,"IGUAL","CAMBIO")</f>
        <v>IGUAL</v>
      </c>
      <c r="Q18" s="123" t="str">
        <f>IF(I18='[1]Tabla -1'!I18,"IGUAL","CAMBIO")</f>
        <v>IGUAL</v>
      </c>
      <c r="R18" s="123" t="str">
        <f>IF(K18='[1]Tabla -1'!K18,"IGUAL","CAMBIO")</f>
        <v>IGUAL</v>
      </c>
      <c r="S18" s="217" t="str">
        <f>IF(M18='[1]Tabla -1'!M18,"IGUAL","CAMBIO")</f>
        <v>IGUAL</v>
      </c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</row>
    <row r="19" spans="2:30" x14ac:dyDescent="0.25">
      <c r="B19" s="218" t="str">
        <f>'-1'!$Q$46</f>
        <v>0115</v>
      </c>
      <c r="C19" s="244">
        <f>'-1'!$C$4</f>
        <v>17</v>
      </c>
      <c r="D19" s="122">
        <f>'-1'!$C$12</f>
        <v>3.06</v>
      </c>
      <c r="E19" s="123">
        <f>HLOOKUP($B19,'-1'!$C$46:$AE$90,22)</f>
        <v>1580</v>
      </c>
      <c r="F19" s="251">
        <f>HLOOKUP($B19,'-1'!$C$46:$AE$90,29)</f>
        <v>4.17</v>
      </c>
      <c r="G19" s="123" t="str">
        <f>HLOOKUP($B19,'-1'!$C$46:$AE$90,30)</f>
        <v>$\phi8@12$</v>
      </c>
      <c r="H19" s="251">
        <f>HLOOKUP($B19,'-1'!$C$46:$AE$90,34)</f>
        <v>1.18</v>
      </c>
      <c r="I19" s="123" t="str">
        <f>HLOOKUP($B19,'-1'!$C$46:$AE$90,35)</f>
        <v>$\phi8@16$</v>
      </c>
      <c r="J19" s="251">
        <f>HLOOKUP($B19,'-1'!$C$46:$AE$90,39)</f>
        <v>7.6899999999999995</v>
      </c>
      <c r="K19" s="123" t="str">
        <f>HLOOKUP($B19,'-1'!$C$46:$AE$90,40)</f>
        <v>$\phi12@15$</v>
      </c>
      <c r="L19" s="251">
        <f>HLOOKUP($B19,'-1'!$C$46:$AE$90,44)</f>
        <v>5.6499999999999995</v>
      </c>
      <c r="M19" s="217" t="str">
        <f>HLOOKUP($B19,'-1'!$C$46:$AE$90,45)</f>
        <v>$\phi12@20$</v>
      </c>
      <c r="N19" s="202"/>
      <c r="O19" s="270" t="str">
        <f t="shared" si="0"/>
        <v>0115</v>
      </c>
      <c r="P19" s="266" t="str">
        <f>IF(G19='[1]Tabla -1'!G19,"IGUAL","CAMBIO")</f>
        <v>CAMBIO</v>
      </c>
      <c r="Q19" s="123" t="str">
        <f>IF(I19='[1]Tabla -1'!I19,"IGUAL","CAMBIO")</f>
        <v>IGUAL</v>
      </c>
      <c r="R19" s="123" t="str">
        <f>IF(K19='[1]Tabla -1'!K19,"IGUAL","CAMBIO")</f>
        <v>IGUAL</v>
      </c>
      <c r="S19" s="217" t="str">
        <f>IF(M19='[1]Tabla -1'!M19,"IGUAL","CAMBIO")</f>
        <v>IGUAL</v>
      </c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</row>
    <row r="20" spans="2:30" x14ac:dyDescent="0.25">
      <c r="B20" s="218" t="str">
        <f>'-1'!$R$46</f>
        <v>0116</v>
      </c>
      <c r="C20" s="244">
        <f>'-1'!$C$4</f>
        <v>17</v>
      </c>
      <c r="D20" s="122">
        <f>'-1'!$C$12</f>
        <v>3.06</v>
      </c>
      <c r="E20" s="123">
        <f>HLOOKUP($B20,'-1'!$C$46:$AE$90,22)</f>
        <v>1580</v>
      </c>
      <c r="F20" s="251">
        <f>HLOOKUP($B20,'-1'!$C$46:$AE$90,29)</f>
        <v>3.1999999999999997</v>
      </c>
      <c r="G20" s="123" t="str">
        <f>HLOOKUP($B20,'-1'!$C$46:$AE$90,30)</f>
        <v>$\phi10@24$</v>
      </c>
      <c r="H20" s="251">
        <f>HLOOKUP($B20,'-1'!$C$46:$AE$90,34)</f>
        <v>0</v>
      </c>
      <c r="I20" s="123" t="str">
        <f>HLOOKUP($B20,'-1'!$C$46:$AE$90,35)</f>
        <v>$\phi8@16$</v>
      </c>
      <c r="J20" s="251">
        <f>HLOOKUP($B20,'-1'!$C$46:$AE$90,39)</f>
        <v>4.5299999999999994</v>
      </c>
      <c r="K20" s="123" t="str">
        <f>HLOOKUP($B20,'-1'!$C$46:$AE$90,40)</f>
        <v>$\phi10@17$</v>
      </c>
      <c r="L20" s="251">
        <f>HLOOKUP($B20,'-1'!$C$46:$AE$90,44)</f>
        <v>3.0999999999999996</v>
      </c>
      <c r="M20" s="217" t="str">
        <f>HLOOKUP($B20,'-1'!$C$46:$AE$90,45)</f>
        <v>$\phi10@25$</v>
      </c>
      <c r="N20" s="202"/>
      <c r="O20" s="270" t="str">
        <f t="shared" si="0"/>
        <v>0116</v>
      </c>
      <c r="P20" s="266" t="str">
        <f>IF(G20='[1]Tabla -1'!G20,"IGUAL","CAMBIO")</f>
        <v>IGUAL</v>
      </c>
      <c r="Q20" s="123" t="str">
        <f>IF(I20='[1]Tabla -1'!I20,"IGUAL","CAMBIO")</f>
        <v>IGUAL</v>
      </c>
      <c r="R20" s="123" t="str">
        <f>IF(K20='[1]Tabla -1'!K20,"IGUAL","CAMBIO")</f>
        <v>IGUAL</v>
      </c>
      <c r="S20" s="217" t="str">
        <f>IF(M20='[1]Tabla -1'!M20,"IGUAL","CAMBIO")</f>
        <v>IGUAL</v>
      </c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</row>
    <row r="21" spans="2:30" x14ac:dyDescent="0.25">
      <c r="B21" s="218" t="str">
        <f>'-1'!$S$46</f>
        <v>0117</v>
      </c>
      <c r="C21" s="244">
        <f>'-1'!$C$4</f>
        <v>17</v>
      </c>
      <c r="D21" s="122">
        <f>'-1'!$C$12</f>
        <v>3.06</v>
      </c>
      <c r="E21" s="123">
        <f>HLOOKUP($B21,'-1'!$C$46:$AE$90,22)</f>
        <v>1580</v>
      </c>
      <c r="F21" s="251">
        <f>HLOOKUP($B21,'-1'!$C$46:$AE$90,29)</f>
        <v>2.09</v>
      </c>
      <c r="G21" s="123" t="str">
        <f>HLOOKUP($B21,'-1'!$C$46:$AE$90,30)</f>
        <v>$\phi8@16$</v>
      </c>
      <c r="H21" s="251">
        <f>HLOOKUP($B21,'-1'!$C$46:$AE$90,34)</f>
        <v>0</v>
      </c>
      <c r="I21" s="123" t="str">
        <f>HLOOKUP($B21,'-1'!$C$46:$AE$90,35)</f>
        <v>$\phi8@16$</v>
      </c>
      <c r="J21" s="251">
        <f>HLOOKUP($B21,'-1'!$C$46:$AE$90,39)</f>
        <v>2.96</v>
      </c>
      <c r="K21" s="123" t="str">
        <f>HLOOKUP($B21,'-1'!$C$46:$AE$90,40)</f>
        <v>$\phi8@16$</v>
      </c>
      <c r="L21" s="251">
        <f>HLOOKUP($B21,'-1'!$C$46:$AE$90,44)</f>
        <v>2.0299999999999998</v>
      </c>
      <c r="M21" s="217" t="str">
        <f>HLOOKUP($B21,'-1'!$C$46:$AE$90,45)</f>
        <v>$\phi8@16$</v>
      </c>
      <c r="N21" s="202"/>
      <c r="O21" s="270" t="str">
        <f t="shared" si="0"/>
        <v>0117</v>
      </c>
      <c r="P21" s="266" t="str">
        <f>IF(G21='[1]Tabla -1'!G21,"IGUAL","CAMBIO")</f>
        <v>IGUAL</v>
      </c>
      <c r="Q21" s="123" t="str">
        <f>IF(I21='[1]Tabla -1'!I21,"IGUAL","CAMBIO")</f>
        <v>IGUAL</v>
      </c>
      <c r="R21" s="123" t="str">
        <f>IF(K21='[1]Tabla -1'!K21,"IGUAL","CAMBIO")</f>
        <v>IGUAL</v>
      </c>
      <c r="S21" s="217" t="str">
        <f>IF(M21='[1]Tabla -1'!M21,"IGUAL","CAMBIO")</f>
        <v>IGUAL</v>
      </c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</row>
    <row r="22" spans="2:30" x14ac:dyDescent="0.25">
      <c r="B22" s="218" t="str">
        <f>'-1'!T46</f>
        <v>0118</v>
      </c>
      <c r="C22" s="244">
        <f>'-1'!$C$4</f>
        <v>17</v>
      </c>
      <c r="D22" s="122">
        <f>'-1'!$C$12</f>
        <v>3.06</v>
      </c>
      <c r="E22" s="123">
        <f>HLOOKUP($B22,'-1'!$C$46:$AE$90,22)</f>
        <v>1420</v>
      </c>
      <c r="F22" s="251">
        <f>HLOOKUP($B22,'-1'!$C$46:$AE$90,29)</f>
        <v>5.1899999999999995</v>
      </c>
      <c r="G22" s="123" t="str">
        <f>HLOOKUP($B22,'-1'!$C$46:$AE$90,30)</f>
        <v>$\phi10@15$</v>
      </c>
      <c r="H22" s="251">
        <f>HLOOKUP($B22,'-1'!$C$46:$AE$90,34)</f>
        <v>1.47</v>
      </c>
      <c r="I22" s="123" t="str">
        <f>HLOOKUP($B22,'-1'!$C$46:$AE$90,35)</f>
        <v>$\phi8@16$</v>
      </c>
      <c r="J22" s="251">
        <f>HLOOKUP($B22,'-1'!$C$46:$AE$90,39)</f>
        <v>9.7899999999999991</v>
      </c>
      <c r="K22" s="123" t="str">
        <f>HLOOKUP($B22,'-1'!$C$46:$AE$90,40)</f>
        <v>$\phi16@21$</v>
      </c>
      <c r="L22" s="251">
        <f>HLOOKUP($B22,'-1'!$C$46:$AE$90,44)</f>
        <v>7.18</v>
      </c>
      <c r="M22" s="217" t="str">
        <f>HLOOKUP($B22,'-1'!$C$46:$AE$90,45)</f>
        <v>$\phi10@11$</v>
      </c>
      <c r="N22" s="202"/>
      <c r="O22" s="270" t="str">
        <f t="shared" si="0"/>
        <v>0118</v>
      </c>
      <c r="P22" s="266" t="str">
        <f>IF(G22='[1]Tabla -1'!G22,"IGUAL","CAMBIO")</f>
        <v>CAMBIO</v>
      </c>
      <c r="Q22" s="123" t="str">
        <f>IF(I22='[1]Tabla -1'!I22,"IGUAL","CAMBIO")</f>
        <v>IGUAL</v>
      </c>
      <c r="R22" s="123" t="str">
        <f>IF(K22='[1]Tabla -1'!K22,"IGUAL","CAMBIO")</f>
        <v>IGUAL</v>
      </c>
      <c r="S22" s="217" t="str">
        <f>IF(M22='[1]Tabla -1'!M22,"IGUAL","CAMBIO")</f>
        <v>IGUAL</v>
      </c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</row>
    <row r="23" spans="2:30" x14ac:dyDescent="0.25">
      <c r="B23" s="218" t="str">
        <f>'-1'!$U$46</f>
        <v>0119</v>
      </c>
      <c r="C23" s="244">
        <f>'-1'!$C$4</f>
        <v>17</v>
      </c>
      <c r="D23" s="122">
        <f>'-1'!$C$12</f>
        <v>3.06</v>
      </c>
      <c r="E23" s="123">
        <f>HLOOKUP($B23,'-1'!$C$46:$AE$90,22)</f>
        <v>1420</v>
      </c>
      <c r="F23" s="251">
        <f>HLOOKUP($B23,'-1'!$C$46:$AE$90,29)</f>
        <v>0.29000000000000004</v>
      </c>
      <c r="G23" s="123" t="str">
        <f>HLOOKUP($B23,'-1'!$C$46:$AE$90,30)</f>
        <v>$\phi8@16$</v>
      </c>
      <c r="H23" s="251">
        <f>HLOOKUP($B23,'-1'!$C$46:$AE$90,34)</f>
        <v>0</v>
      </c>
      <c r="I23" s="123" t="str">
        <f>HLOOKUP($B23,'-1'!$C$46:$AE$90,35)</f>
        <v>$\phi8@16$</v>
      </c>
      <c r="J23" s="251">
        <f>HLOOKUP($B23,'-1'!$C$46:$AE$90,39)</f>
        <v>0.41000000000000003</v>
      </c>
      <c r="K23" s="123" t="str">
        <f>HLOOKUP($B23,'-1'!$C$46:$AE$90,40)</f>
        <v>$\phi8@16$</v>
      </c>
      <c r="L23" s="251">
        <f>HLOOKUP($B23,'-1'!$C$46:$AE$90,44)</f>
        <v>0.28000000000000003</v>
      </c>
      <c r="M23" s="217" t="str">
        <f>HLOOKUP($B23,'-1'!$C$46:$AE$90,45)</f>
        <v>$\phi8@16$</v>
      </c>
      <c r="N23" s="202"/>
      <c r="O23" s="270" t="str">
        <f t="shared" si="0"/>
        <v>0119</v>
      </c>
      <c r="P23" s="266" t="str">
        <f>IF(G23='[1]Tabla -1'!G23,"IGUAL","CAMBIO")</f>
        <v>IGUAL</v>
      </c>
      <c r="Q23" s="123" t="str">
        <f>IF(I23='[1]Tabla -1'!I23,"IGUAL","CAMBIO")</f>
        <v>IGUAL</v>
      </c>
      <c r="R23" s="123" t="str">
        <f>IF(K23='[1]Tabla -1'!K23,"IGUAL","CAMBIO")</f>
        <v>IGUAL</v>
      </c>
      <c r="S23" s="217" t="str">
        <f>IF(M23='[1]Tabla -1'!M23,"IGUAL","CAMBIO")</f>
        <v>IGUAL</v>
      </c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</row>
    <row r="24" spans="2:30" x14ac:dyDescent="0.25">
      <c r="B24" s="218" t="str">
        <f>'-1'!$V$46</f>
        <v>0120</v>
      </c>
      <c r="C24" s="244">
        <f>'-1'!$C$4</f>
        <v>17</v>
      </c>
      <c r="D24" s="122">
        <f>'-1'!$C$12</f>
        <v>3.06</v>
      </c>
      <c r="E24" s="123">
        <f>HLOOKUP($B24,'-1'!$C$46:$AE$90,22)</f>
        <v>1420</v>
      </c>
      <c r="F24" s="251">
        <f>HLOOKUP($B24,'-1'!$C$46:$AE$90,29)</f>
        <v>0.61</v>
      </c>
      <c r="G24" s="123" t="str">
        <f>HLOOKUP($B24,'-1'!$C$46:$AE$90,30)</f>
        <v>$\phi8@16$</v>
      </c>
      <c r="H24" s="251">
        <f>HLOOKUP($B24,'-1'!$C$46:$AE$90,34)</f>
        <v>0.11</v>
      </c>
      <c r="I24" s="123" t="str">
        <f>HLOOKUP($B24,'-1'!$C$46:$AE$90,35)</f>
        <v>$\phi8@16$</v>
      </c>
      <c r="J24" s="251">
        <f>HLOOKUP($B24,'-1'!$C$46:$AE$90,39)</f>
        <v>1.19</v>
      </c>
      <c r="K24" s="123" t="str">
        <f>HLOOKUP($B24,'-1'!$C$46:$AE$90,40)</f>
        <v>$\phi8@16$</v>
      </c>
      <c r="L24" s="251">
        <f>HLOOKUP($B24,'-1'!$C$46:$AE$90,44)</f>
        <v>0.85</v>
      </c>
      <c r="M24" s="217" t="str">
        <f>HLOOKUP($B24,'-1'!$C$46:$AE$90,45)</f>
        <v>$\phi8@16$</v>
      </c>
      <c r="N24" s="202"/>
      <c r="O24" s="270" t="str">
        <f t="shared" si="0"/>
        <v>0120</v>
      </c>
      <c r="P24" s="266" t="str">
        <f>IF(G24='[1]Tabla -1'!G24,"IGUAL","CAMBIO")</f>
        <v>IGUAL</v>
      </c>
      <c r="Q24" s="123" t="str">
        <f>IF(I24='[1]Tabla -1'!I24,"IGUAL","CAMBIO")</f>
        <v>IGUAL</v>
      </c>
      <c r="R24" s="123" t="str">
        <f>IF(K24='[1]Tabla -1'!K24,"IGUAL","CAMBIO")</f>
        <v>IGUAL</v>
      </c>
      <c r="S24" s="217" t="str">
        <f>IF(M24='[1]Tabla -1'!M24,"IGUAL","CAMBIO")</f>
        <v>IGUAL</v>
      </c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</row>
    <row r="25" spans="2:30" x14ac:dyDescent="0.25">
      <c r="B25" s="218" t="str">
        <f>'-1'!$W$46</f>
        <v>0121</v>
      </c>
      <c r="C25" s="244">
        <f>'-1'!$C$4</f>
        <v>17</v>
      </c>
      <c r="D25" s="122">
        <f>'-1'!$C$12</f>
        <v>3.06</v>
      </c>
      <c r="E25" s="123">
        <f>HLOOKUP($B25,'-1'!$C$46:$AE$90,22)</f>
        <v>1420</v>
      </c>
      <c r="F25" s="251">
        <f>HLOOKUP($B25,'-1'!$C$46:$AE$90,29)</f>
        <v>1.22</v>
      </c>
      <c r="G25" s="123" t="str">
        <f>HLOOKUP($B25,'-1'!$C$46:$AE$90,30)</f>
        <v>$\phi8@16$</v>
      </c>
      <c r="H25" s="251">
        <f>HLOOKUP($B25,'-1'!$C$46:$AE$90,34)</f>
        <v>0</v>
      </c>
      <c r="I25" s="123" t="str">
        <f>HLOOKUP($B25,'-1'!$C$46:$AE$90,35)</f>
        <v>$\phi8@16$</v>
      </c>
      <c r="J25" s="251">
        <f>HLOOKUP($B25,'-1'!$C$46:$AE$90,39)</f>
        <v>1.73</v>
      </c>
      <c r="K25" s="123" t="str">
        <f>HLOOKUP($B25,'-1'!$C$46:$AE$90,40)</f>
        <v>$\phi8@16$</v>
      </c>
      <c r="L25" s="251">
        <f>HLOOKUP($B25,'-1'!$C$46:$AE$90,44)</f>
        <v>1.19</v>
      </c>
      <c r="M25" s="217" t="str">
        <f>HLOOKUP($B25,'-1'!$C$46:$AE$90,45)</f>
        <v>$\phi8@16$</v>
      </c>
      <c r="N25" s="202"/>
      <c r="O25" s="270" t="str">
        <f t="shared" si="0"/>
        <v>0121</v>
      </c>
      <c r="P25" s="266" t="str">
        <f>IF(G25='[1]Tabla -1'!G25,"IGUAL","CAMBIO")</f>
        <v>IGUAL</v>
      </c>
      <c r="Q25" s="123" t="str">
        <f>IF(I25='[1]Tabla -1'!I25,"IGUAL","CAMBIO")</f>
        <v>IGUAL</v>
      </c>
      <c r="R25" s="123" t="str">
        <f>IF(K25='[1]Tabla -1'!K25,"IGUAL","CAMBIO")</f>
        <v>IGUAL</v>
      </c>
      <c r="S25" s="217" t="str">
        <f>IF(M25='[1]Tabla -1'!M25,"IGUAL","CAMBIO")</f>
        <v>IGUAL</v>
      </c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</row>
    <row r="26" spans="2:30" x14ac:dyDescent="0.25">
      <c r="B26" s="218" t="str">
        <f>'-1'!$X$46</f>
        <v>0122</v>
      </c>
      <c r="C26" s="244">
        <f>'-1'!$C$4</f>
        <v>17</v>
      </c>
      <c r="D26" s="122">
        <f>'-1'!$C$12</f>
        <v>3.06</v>
      </c>
      <c r="E26" s="123">
        <f>HLOOKUP($B26,'-1'!$C$46:$AE$90,22)</f>
        <v>1580</v>
      </c>
      <c r="F26" s="251">
        <f>HLOOKUP($B26,'-1'!$C$46:$AE$90,29)</f>
        <v>2.0199999999999996</v>
      </c>
      <c r="G26" s="123" t="str">
        <f>HLOOKUP($B26,'-1'!$C$46:$AE$90,30)</f>
        <v>$\phi8@16$</v>
      </c>
      <c r="H26" s="251">
        <f>HLOOKUP($B26,'-1'!$C$46:$AE$90,34)</f>
        <v>0.64</v>
      </c>
      <c r="I26" s="123" t="str">
        <f>HLOOKUP($B26,'-1'!$C$46:$AE$90,35)</f>
        <v>$\phi8@16$</v>
      </c>
      <c r="J26" s="251">
        <f>HLOOKUP($B26,'-1'!$C$46:$AE$90,39)</f>
        <v>3.75</v>
      </c>
      <c r="K26" s="123" t="str">
        <f>HLOOKUP($B26,'-1'!$C$46:$AE$90,40)</f>
        <v>$\phi10@21$</v>
      </c>
      <c r="L26" s="251">
        <f>HLOOKUP($B26,'-1'!$C$46:$AE$90,44)</f>
        <v>2.8299999999999996</v>
      </c>
      <c r="M26" s="217" t="str">
        <f>HLOOKUP($B26,'-1'!$C$46:$AE$90,45)</f>
        <v>$\phi8@16$</v>
      </c>
      <c r="N26" s="202"/>
      <c r="O26" s="270" t="str">
        <f t="shared" si="0"/>
        <v>0122</v>
      </c>
      <c r="P26" s="266" t="str">
        <f>IF(G26='[1]Tabla -1'!G26,"IGUAL","CAMBIO")</f>
        <v>IGUAL</v>
      </c>
      <c r="Q26" s="123" t="str">
        <f>IF(I26='[1]Tabla -1'!I26,"IGUAL","CAMBIO")</f>
        <v>IGUAL</v>
      </c>
      <c r="R26" s="123" t="str">
        <f>IF(K26='[1]Tabla -1'!K26,"IGUAL","CAMBIO")</f>
        <v>IGUAL</v>
      </c>
      <c r="S26" s="217" t="str">
        <f>IF(M26='[1]Tabla -1'!M26,"IGUAL","CAMBIO")</f>
        <v>IGUAL</v>
      </c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</row>
    <row r="27" spans="2:30" x14ac:dyDescent="0.25">
      <c r="B27" s="218" t="str">
        <f>'-1'!$Y$46</f>
        <v>0123</v>
      </c>
      <c r="C27" s="244">
        <f>'-1'!$C$4</f>
        <v>17</v>
      </c>
      <c r="D27" s="122">
        <f>'-1'!$C$12</f>
        <v>3.06</v>
      </c>
      <c r="E27" s="123">
        <f>HLOOKUP($B27,'-1'!$C$46:$AE$90,22)</f>
        <v>1580</v>
      </c>
      <c r="F27" s="251">
        <f>HLOOKUP($B27,'-1'!$C$46:$AE$90,29)</f>
        <v>3.17</v>
      </c>
      <c r="G27" s="123" t="str">
        <f>HLOOKUP($B27,'-1'!$C$46:$AE$90,30)</f>
        <v>$\phi10@24$</v>
      </c>
      <c r="H27" s="251">
        <f>HLOOKUP($B27,'-1'!$C$46:$AE$90,34)</f>
        <v>1.9</v>
      </c>
      <c r="I27" s="123" t="str">
        <f>HLOOKUP($B27,'-1'!$C$46:$AE$90,35)</f>
        <v>$\phi8@16$</v>
      </c>
      <c r="J27" s="251">
        <f>HLOOKUP($B27,'-1'!$C$46:$AE$90,39)</f>
        <v>6.8599999999999994</v>
      </c>
      <c r="K27" s="123" t="str">
        <f>HLOOKUP($B27,'-1'!$C$46:$AE$90,40)</f>
        <v>$\phi12@17$</v>
      </c>
      <c r="L27" s="251">
        <f>HLOOKUP($B27,'-1'!$C$46:$AE$90,44)</f>
        <v>5.93</v>
      </c>
      <c r="M27" s="217" t="str">
        <f>HLOOKUP($B27,'-1'!$C$46:$AE$90,45)</f>
        <v>$\phi12@19$</v>
      </c>
      <c r="N27" s="202"/>
      <c r="O27" s="270" t="str">
        <f t="shared" si="0"/>
        <v>0123</v>
      </c>
      <c r="P27" s="266" t="str">
        <f>IF(G27='[1]Tabla -1'!G27,"IGUAL","CAMBIO")</f>
        <v>CAMBIO</v>
      </c>
      <c r="Q27" s="123" t="str">
        <f>IF(I27='[1]Tabla -1'!I27,"IGUAL","CAMBIO")</f>
        <v>IGUAL</v>
      </c>
      <c r="R27" s="123" t="str">
        <f>IF(K27='[1]Tabla -1'!K27,"IGUAL","CAMBIO")</f>
        <v>IGUAL</v>
      </c>
      <c r="S27" s="217" t="str">
        <f>IF(M27='[1]Tabla -1'!M27,"IGUAL","CAMBIO")</f>
        <v>IGUAL</v>
      </c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</row>
    <row r="28" spans="2:30" x14ac:dyDescent="0.25">
      <c r="B28" s="218" t="str">
        <f>'-1'!$Z$46</f>
        <v>0124</v>
      </c>
      <c r="C28" s="244">
        <f>'-1'!$C$4</f>
        <v>17</v>
      </c>
      <c r="D28" s="122">
        <f>'-1'!$C$12</f>
        <v>3.06</v>
      </c>
      <c r="E28" s="123">
        <f>HLOOKUP($B28,'-1'!$C$46:$AE$90,22)</f>
        <v>1580</v>
      </c>
      <c r="F28" s="251">
        <f>HLOOKUP($B28,'-1'!$C$46:$AE$90,29)</f>
        <v>10.99</v>
      </c>
      <c r="G28" s="123" t="str">
        <f>HLOOKUP($B28,'-1'!$C$46:$AE$90,30)</f>
        <v>$\phi16@19$</v>
      </c>
      <c r="H28" s="251">
        <f>HLOOKUP($B28,'-1'!$C$46:$AE$90,34)</f>
        <v>0</v>
      </c>
      <c r="I28" s="123" t="str">
        <f>HLOOKUP($B28,'-1'!$C$46:$AE$90,35)</f>
        <v>$\phi8@16$</v>
      </c>
      <c r="J28" s="251">
        <f>HLOOKUP($B28,'-1'!$C$46:$AE$90,39)</f>
        <v>15.6</v>
      </c>
      <c r="K28" s="123" t="str">
        <f>HLOOKUP($B28,'-1'!$C$46:$AE$90,40)</f>
        <v>$\phi16@13$</v>
      </c>
      <c r="L28" s="251">
        <f>HLOOKUP($B28,'-1'!$C$46:$AE$90,44)</f>
        <v>10.67</v>
      </c>
      <c r="M28" s="217" t="str">
        <f>HLOOKUP($B28,'-1'!$C$46:$AE$90,45)</f>
        <v>$\phi16@19$</v>
      </c>
      <c r="N28" s="202"/>
      <c r="O28" s="270" t="str">
        <f t="shared" si="0"/>
        <v>0124</v>
      </c>
      <c r="P28" s="266" t="str">
        <f>IF(G28='[1]Tabla -1'!G28,"IGUAL","CAMBIO")</f>
        <v>IGUAL</v>
      </c>
      <c r="Q28" s="123" t="str">
        <f>IF(I28='[1]Tabla -1'!I28,"IGUAL","CAMBIO")</f>
        <v>IGUAL</v>
      </c>
      <c r="R28" s="123" t="str">
        <f>IF(K28='[1]Tabla -1'!K28,"IGUAL","CAMBIO")</f>
        <v>IGUAL</v>
      </c>
      <c r="S28" s="217" t="str">
        <f>IF(M28='[1]Tabla -1'!M28,"IGUAL","CAMBIO")</f>
        <v>IGUAL</v>
      </c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</row>
    <row r="29" spans="2:30" ht="15" customHeight="1" x14ac:dyDescent="0.25">
      <c r="B29" s="218" t="str">
        <f>'-1'!$AA$46</f>
        <v>0125</v>
      </c>
      <c r="C29" s="244">
        <f>'-1'!$C$4</f>
        <v>17</v>
      </c>
      <c r="D29" s="122">
        <f>'-1'!$C$12</f>
        <v>3.06</v>
      </c>
      <c r="E29" s="123">
        <f>HLOOKUP($B29,'-1'!$C$46:$AE$90,22)</f>
        <v>1580</v>
      </c>
      <c r="F29" s="251">
        <f>HLOOKUP($B29,'-1'!$C$46:$AE$90,29)</f>
        <v>2.9899999999999998</v>
      </c>
      <c r="G29" s="123" t="str">
        <f>HLOOKUP($B29,'-1'!$C$46:$AE$90,30)</f>
        <v>$\phi8@16$</v>
      </c>
      <c r="H29" s="251">
        <f>HLOOKUP($B29,'-1'!$C$46:$AE$90,34)</f>
        <v>0.85</v>
      </c>
      <c r="I29" s="123" t="str">
        <f>HLOOKUP($B29,'-1'!$C$46:$AE$90,35)</f>
        <v>$\phi8@16$</v>
      </c>
      <c r="J29" s="251">
        <f>HLOOKUP($B29,'-1'!$C$46:$AE$90,39)</f>
        <v>5.52</v>
      </c>
      <c r="K29" s="123" t="str">
        <f>HLOOKUP($B29,'-1'!$C$46:$AE$90,40)</f>
        <v>$\phi10@14$</v>
      </c>
      <c r="L29" s="251">
        <f>HLOOKUP($B29,'-1'!$C$46:$AE$90,44)</f>
        <v>4.05</v>
      </c>
      <c r="M29" s="217" t="str">
        <f>HLOOKUP($B29,'-1'!$C$46:$AE$90,45)</f>
        <v>$\phi10@19$</v>
      </c>
      <c r="N29" s="202"/>
      <c r="O29" s="270" t="str">
        <f t="shared" si="0"/>
        <v>0125</v>
      </c>
      <c r="P29" s="266" t="str">
        <f>IF(G29='[1]Tabla -1'!G29,"IGUAL","CAMBIO")</f>
        <v>IGUAL</v>
      </c>
      <c r="Q29" s="123" t="str">
        <f>IF(I29='[1]Tabla -1'!I29,"IGUAL","CAMBIO")</f>
        <v>IGUAL</v>
      </c>
      <c r="R29" s="123" t="str">
        <f>IF(K29='[1]Tabla -1'!K29,"IGUAL","CAMBIO")</f>
        <v>IGUAL</v>
      </c>
      <c r="S29" s="217" t="str">
        <f>IF(M29='[1]Tabla -1'!M29,"IGUAL","CAMBIO")</f>
        <v>IGUAL</v>
      </c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</row>
    <row r="30" spans="2:30" x14ac:dyDescent="0.25">
      <c r="B30" s="218" t="str">
        <f>'-1'!$AB$46</f>
        <v>0126</v>
      </c>
      <c r="C30" s="244">
        <f>'-1'!$C$4</f>
        <v>17</v>
      </c>
      <c r="D30" s="122">
        <f>'-1'!$C$12</f>
        <v>3.06</v>
      </c>
      <c r="E30" s="123">
        <f>HLOOKUP($B30,'-1'!$C$46:$AE$90,22)</f>
        <v>1580</v>
      </c>
      <c r="F30" s="251">
        <f>HLOOKUP($B30,'-1'!$C$46:$AE$90,29)</f>
        <v>3.3899999999999997</v>
      </c>
      <c r="G30" s="123" t="str">
        <f>HLOOKUP($B30,'-1'!$C$46:$AE$90,30)</f>
        <v>$\phi10@23$</v>
      </c>
      <c r="H30" s="251">
        <f>HLOOKUP($B30,'-1'!$C$46:$AE$90,34)</f>
        <v>1.07</v>
      </c>
      <c r="I30" s="123" t="str">
        <f>HLOOKUP($B30,'-1'!$C$46:$AE$90,35)</f>
        <v>$\phi8@16$</v>
      </c>
      <c r="J30" s="251">
        <f>HLOOKUP($B30,'-1'!$C$46:$AE$90,39)</f>
        <v>6.31</v>
      </c>
      <c r="K30" s="123" t="str">
        <f>HLOOKUP($B30,'-1'!$C$46:$AE$90,40)</f>
        <v>$\phi12@18$</v>
      </c>
      <c r="L30" s="251">
        <f>HLOOKUP($B30,'-1'!$C$46:$AE$90,44)</f>
        <v>4.76</v>
      </c>
      <c r="M30" s="217" t="str">
        <f>HLOOKUP($B30,'-1'!$C$46:$AE$90,45)</f>
        <v>$\phi12@24$</v>
      </c>
      <c r="N30" s="202"/>
      <c r="O30" s="270" t="str">
        <f t="shared" si="0"/>
        <v>0126</v>
      </c>
      <c r="P30" s="266" t="str">
        <f>IF(G30='[1]Tabla -1'!G30,"IGUAL","CAMBIO")</f>
        <v>CAMBIO</v>
      </c>
      <c r="Q30" s="123" t="str">
        <f>IF(I30='[1]Tabla -1'!I30,"IGUAL","CAMBIO")</f>
        <v>IGUAL</v>
      </c>
      <c r="R30" s="123" t="str">
        <f>IF(K30='[1]Tabla -1'!K30,"IGUAL","CAMBIO")</f>
        <v>IGUAL</v>
      </c>
      <c r="S30" s="217" t="str">
        <f>IF(M30='[1]Tabla -1'!M30,"IGUAL","CAMBIO")</f>
        <v>IGUAL</v>
      </c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</row>
    <row r="31" spans="2:30" x14ac:dyDescent="0.25">
      <c r="B31" s="218" t="str">
        <f>'-1'!$AC$46</f>
        <v>0127</v>
      </c>
      <c r="C31" s="244">
        <f>'-1'!$C$4</f>
        <v>17</v>
      </c>
      <c r="D31" s="122">
        <f>'-1'!$C$12</f>
        <v>3.06</v>
      </c>
      <c r="E31" s="123">
        <f>HLOOKUP($B31,'-1'!$C$46:$AE$90,22)</f>
        <v>1580</v>
      </c>
      <c r="F31" s="251">
        <f>HLOOKUP($B31,'-1'!$C$46:$AE$90,29)</f>
        <v>5.37</v>
      </c>
      <c r="G31" s="123" t="str">
        <f>HLOOKUP($B31,'-1'!$C$46:$AE$90,30)</f>
        <v>$\phi12@21$</v>
      </c>
      <c r="H31" s="251">
        <f>HLOOKUP($B31,'-1'!$C$46:$AE$90,34)</f>
        <v>1.7</v>
      </c>
      <c r="I31" s="123" t="str">
        <f>HLOOKUP($B31,'-1'!$C$46:$AE$90,35)</f>
        <v>$\phi8@16$</v>
      </c>
      <c r="J31" s="251">
        <f>HLOOKUP($B31,'-1'!$C$46:$AE$90,39)</f>
        <v>10</v>
      </c>
      <c r="K31" s="123" t="str">
        <f>HLOOKUP($B31,'-1'!$C$46:$AE$90,40)</f>
        <v>$\phi16@20$</v>
      </c>
      <c r="L31" s="251">
        <f>HLOOKUP($B31,'-1'!$C$46:$AE$90,44)</f>
        <v>7.55</v>
      </c>
      <c r="M31" s="217" t="str">
        <f>HLOOKUP($B31,'-1'!$C$46:$AE$90,45)</f>
        <v>$\phi12@15$</v>
      </c>
      <c r="N31" s="202"/>
      <c r="O31" s="270" t="str">
        <f t="shared" si="0"/>
        <v>0127</v>
      </c>
      <c r="P31" s="266" t="str">
        <f>IF(G31='[1]Tabla -1'!G31,"IGUAL","CAMBIO")</f>
        <v>CAMBIO</v>
      </c>
      <c r="Q31" s="123" t="str">
        <f>IF(I31='[1]Tabla -1'!I31,"IGUAL","CAMBIO")</f>
        <v>IGUAL</v>
      </c>
      <c r="R31" s="123" t="str">
        <f>IF(K31='[1]Tabla -1'!K31,"IGUAL","CAMBIO")</f>
        <v>IGUAL</v>
      </c>
      <c r="S31" s="217" t="str">
        <f>IF(M31='[1]Tabla -1'!M31,"IGUAL","CAMBIO")</f>
        <v>IGUAL</v>
      </c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</row>
    <row r="32" spans="2:30" x14ac:dyDescent="0.25">
      <c r="B32" s="218" t="str">
        <f>'-1'!$AD$46</f>
        <v>0128</v>
      </c>
      <c r="C32" s="244">
        <f>'-1'!$C$4</f>
        <v>17</v>
      </c>
      <c r="D32" s="122">
        <f>'-1'!$C$12</f>
        <v>3.06</v>
      </c>
      <c r="E32" s="123">
        <f>HLOOKUP($B32,'-1'!$C$46:$AE$90,22)</f>
        <v>1580</v>
      </c>
      <c r="F32" s="251">
        <f>HLOOKUP($B32,'-1'!$C$46:$AE$90,29)</f>
        <v>2.09</v>
      </c>
      <c r="G32" s="123" t="str">
        <f>HLOOKUP($B32,'-1'!$C$46:$AE$90,30)</f>
        <v>$\phi8@16$</v>
      </c>
      <c r="H32" s="251">
        <f>HLOOKUP($B32,'-1'!$C$46:$AE$90,34)</f>
        <v>0</v>
      </c>
      <c r="I32" s="123" t="str">
        <f>HLOOKUP($B32,'-1'!$C$46:$AE$90,35)</f>
        <v>$\phi8@16$</v>
      </c>
      <c r="J32" s="251">
        <f>HLOOKUP($B32,'-1'!$C$46:$AE$90,39)</f>
        <v>2.96</v>
      </c>
      <c r="K32" s="123" t="str">
        <f>HLOOKUP($B32,'-1'!$C$46:$AE$90,40)</f>
        <v>$\phi8@16$</v>
      </c>
      <c r="L32" s="251">
        <f>HLOOKUP($B32,'-1'!$C$46:$AE$90,44)</f>
        <v>2.0299999999999998</v>
      </c>
      <c r="M32" s="217" t="str">
        <f>HLOOKUP($B32,'-1'!$C$46:$AE$90,45)</f>
        <v>$\phi8@16$</v>
      </c>
      <c r="N32" s="202"/>
      <c r="O32" s="270" t="str">
        <f t="shared" si="0"/>
        <v>0128</v>
      </c>
      <c r="P32" s="266" t="str">
        <f>IF(G32='[1]Tabla -1'!G32,"IGUAL","CAMBIO")</f>
        <v>IGUAL</v>
      </c>
      <c r="Q32" s="123" t="str">
        <f>IF(I32='[1]Tabla -1'!I32,"IGUAL","CAMBIO")</f>
        <v>IGUAL</v>
      </c>
      <c r="R32" s="123" t="str">
        <f>IF(K32='[1]Tabla -1'!K32,"IGUAL","CAMBIO")</f>
        <v>IGUAL</v>
      </c>
      <c r="S32" s="217" t="str">
        <f>IF(M32='[1]Tabla -1'!M32,"IGUAL","CAMBIO")</f>
        <v>IGUAL</v>
      </c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</row>
    <row r="33" spans="2:30" ht="15.75" thickBot="1" x14ac:dyDescent="0.3">
      <c r="B33" s="219" t="str">
        <f>'-1'!$AE$46</f>
        <v>0129</v>
      </c>
      <c r="C33" s="245">
        <f>'-1'!$C$4</f>
        <v>17</v>
      </c>
      <c r="D33" s="124">
        <f>'-1'!$C$12</f>
        <v>3.06</v>
      </c>
      <c r="E33" s="125">
        <f>HLOOKUP($B33,'-1'!$C$46:$AE$90,22)</f>
        <v>1420</v>
      </c>
      <c r="F33" s="252">
        <f>HLOOKUP($B33,'-1'!$C$46:$AE$90,29)</f>
        <v>0.61</v>
      </c>
      <c r="G33" s="125" t="str">
        <f>HLOOKUP($B33,'-1'!$C$46:$AE$90,30)</f>
        <v>$\phi8@16$</v>
      </c>
      <c r="H33" s="252">
        <f>HLOOKUP($B33,'-1'!$C$46:$AE$90,34)</f>
        <v>0.16</v>
      </c>
      <c r="I33" s="125" t="str">
        <f>HLOOKUP($B33,'-1'!$C$46:$AE$90,35)</f>
        <v>$\phi8@16$</v>
      </c>
      <c r="J33" s="252">
        <f>HLOOKUP($B33,'-1'!$C$46:$AE$90,39)</f>
        <v>1.1200000000000001</v>
      </c>
      <c r="K33" s="125" t="str">
        <f>HLOOKUP($B33,'-1'!$C$46:$AE$90,40)</f>
        <v>$\phi8@16$</v>
      </c>
      <c r="L33" s="252">
        <f>HLOOKUP($B33,'-1'!$C$46:$AE$90,44)</f>
        <v>0.79</v>
      </c>
      <c r="M33" s="220" t="str">
        <f>HLOOKUP($B33,'-1'!$C$46:$AE$90,45)</f>
        <v>$\phi8@16$</v>
      </c>
      <c r="N33" s="202"/>
      <c r="O33" s="271" t="str">
        <f t="shared" si="0"/>
        <v>0129</v>
      </c>
      <c r="P33" s="258" t="str">
        <f>IF(G33='[1]Tabla -1'!G33,"IGUAL","CAMBIO")</f>
        <v>IGUAL</v>
      </c>
      <c r="Q33" s="125" t="str">
        <f>IF(I33='[1]Tabla -1'!I33,"IGUAL","CAMBIO")</f>
        <v>IGUAL</v>
      </c>
      <c r="R33" s="125" t="str">
        <f>IF(K33='[1]Tabla -1'!K33,"IGUAL","CAMBIO")</f>
        <v>IGUAL</v>
      </c>
      <c r="S33" s="220" t="str">
        <f>IF(M33='[1]Tabla -1'!M33,"IGUAL","CAMBIO")</f>
        <v>IGUAL</v>
      </c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</row>
    <row r="34" spans="2:30" ht="15.75" thickBot="1" x14ac:dyDescent="0.3">
      <c r="O34" s="262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</row>
    <row r="35" spans="2:30" ht="15.75" thickBot="1" x14ac:dyDescent="0.3">
      <c r="D35" s="301" t="s">
        <v>107</v>
      </c>
      <c r="E35" s="302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</row>
    <row r="36" spans="2:30" ht="30" customHeight="1" thickBot="1" x14ac:dyDescent="0.3">
      <c r="D36" s="133" t="s">
        <v>278</v>
      </c>
      <c r="E36" s="134" t="str">
        <f>'-1'!B98</f>
        <v>Mu $[kgf \cdot m/m]$</v>
      </c>
      <c r="F36" s="253" t="str">
        <f>'-1'!B101</f>
        <v>As $[cm^2/m]$</v>
      </c>
      <c r="G36" s="135" t="str">
        <f>'-1'!B102</f>
        <v>F'</v>
      </c>
      <c r="I36" s="269" t="s">
        <v>338</v>
      </c>
      <c r="J36" s="202"/>
      <c r="K36" s="202"/>
      <c r="L36" s="202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</row>
    <row r="37" spans="2:30" x14ac:dyDescent="0.25">
      <c r="D37" s="145" t="str">
        <f>'-1'!C93&amp;"-"&amp;'-1'!D93</f>
        <v>0101-0102</v>
      </c>
      <c r="E37" s="146">
        <f>HLOOKUP($D37,'-1'!$C$94:$AF$102,E$95,FALSE)</f>
        <v>1910.3529688263829</v>
      </c>
      <c r="F37" s="254">
        <f>HLOOKUP($D37,'-1'!$C$94:$AF$102,F$95,FALSE)</f>
        <v>3.32</v>
      </c>
      <c r="G37" s="147" t="str">
        <f>HLOOKUP($D37,'-1'!$C$94:$AF$102,G$95,FALSE)</f>
        <v>$\phi10@23$</v>
      </c>
      <c r="I37" s="267" t="str">
        <f>IF(G37='[1]Tabla -1'!G37,"IGUAL","CAMBIO")</f>
        <v>IGUAL</v>
      </c>
      <c r="J37" s="202"/>
      <c r="K37" s="202"/>
      <c r="L37" s="202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</row>
    <row r="38" spans="2:30" x14ac:dyDescent="0.25">
      <c r="D38" s="145" t="str">
        <f>'-1'!E93&amp;"-"&amp;'-1'!F93</f>
        <v>0101-0107</v>
      </c>
      <c r="E38" s="146">
        <f>HLOOKUP($D38,'-1'!$C$94:$AF$102,E$95,FALSE)</f>
        <v>2042.0946147154384</v>
      </c>
      <c r="F38" s="254">
        <f>HLOOKUP($D38,'-1'!$C$94:$AF$102,F$95,FALSE)</f>
        <v>3.55</v>
      </c>
      <c r="G38" s="147" t="str">
        <f>HLOOKUP($D38,'-1'!$C$94:$AF$102,G$95,FALSE)</f>
        <v>$\phi8@14$</v>
      </c>
      <c r="I38" s="267" t="str">
        <f>IF(G38='[1]Tabla -1'!G38,"IGUAL","CAMBIO")</f>
        <v>IGUAL</v>
      </c>
      <c r="J38" s="202"/>
      <c r="K38" s="202"/>
      <c r="L38" s="202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</row>
    <row r="39" spans="2:30" x14ac:dyDescent="0.25">
      <c r="D39" s="145" t="str">
        <f>'-1'!G93&amp;"-"&amp;'-1'!H93</f>
        <v>0102-0103</v>
      </c>
      <c r="E39" s="146">
        <f>HLOOKUP($D39,'-1'!$C$94:$AF$102,E$95,FALSE)</f>
        <v>1953.8931297709926</v>
      </c>
      <c r="F39" s="254">
        <f>HLOOKUP($D39,'-1'!$C$94:$AF$102,F$95,FALSE)</f>
        <v>3.3899999999999997</v>
      </c>
      <c r="G39" s="147" t="str">
        <f>HLOOKUP($D39,'-1'!$C$94:$AF$102,G$95,FALSE)</f>
        <v>$\phi10@23$</v>
      </c>
      <c r="I39" s="267" t="str">
        <f>IF(G39='[1]Tabla -1'!G39,"IGUAL","CAMBIO")</f>
        <v>IGUAL</v>
      </c>
      <c r="J39" s="202"/>
      <c r="K39" s="202"/>
      <c r="L39" s="202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</row>
    <row r="40" spans="2:30" x14ac:dyDescent="0.25">
      <c r="D40" s="145" t="str">
        <f>'-1'!I93&amp;"-"&amp;'-1'!J93</f>
        <v>0102-0108</v>
      </c>
      <c r="E40" s="146">
        <f>HLOOKUP($D40,'-1'!$C$94:$AF$102,E$95,FALSE)</f>
        <v>2801.2574854932304</v>
      </c>
      <c r="F40" s="254">
        <f>HLOOKUP($D40,'-1'!$C$94:$AF$102,F$95,FALSE)</f>
        <v>4.87</v>
      </c>
      <c r="G40" s="147" t="str">
        <f>HLOOKUP($D40,'-1'!$C$94:$AF$102,G$95,FALSE)</f>
        <v>$\phi12@23$</v>
      </c>
      <c r="I40" s="267" t="str">
        <f>IF(G40='[1]Tabla -1'!G40,"IGUAL","CAMBIO")</f>
        <v>IGUAL</v>
      </c>
      <c r="J40" s="202"/>
      <c r="K40" s="202"/>
      <c r="L40" s="202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</row>
    <row r="41" spans="2:30" x14ac:dyDescent="0.25">
      <c r="D41" s="145" t="str">
        <f>'-1'!K93&amp;"-"&amp;'-1'!L93</f>
        <v>0103-0104</v>
      </c>
      <c r="E41" s="146">
        <f>HLOOKUP($D41,'-1'!$C$94:$AF$102,E$95,FALSE)</f>
        <v>1982.2852745629159</v>
      </c>
      <c r="F41" s="254">
        <f>HLOOKUP($D41,'-1'!$C$94:$AF$102,F$95,FALSE)</f>
        <v>3.44</v>
      </c>
      <c r="G41" s="147" t="str">
        <f>HLOOKUP($D41,'-1'!$C$94:$AF$102,G$95,FALSE)</f>
        <v>$\phi10@23$</v>
      </c>
      <c r="I41" s="267" t="str">
        <f>IF(G41='[1]Tabla -1'!G41,"IGUAL","CAMBIO")</f>
        <v>IGUAL</v>
      </c>
      <c r="J41" s="202"/>
      <c r="K41" s="202"/>
      <c r="L41" s="202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</row>
    <row r="42" spans="2:30" x14ac:dyDescent="0.25">
      <c r="D42" s="145" t="str">
        <f>'-1'!M93&amp;"-"&amp;'-1'!N93</f>
        <v>0103-0109</v>
      </c>
      <c r="E42" s="146">
        <f>HLOOKUP($D42,'-1'!$C$94:$AF$102,E$95,FALSE)</f>
        <v>2801.2574854932304</v>
      </c>
      <c r="F42" s="254">
        <f>HLOOKUP($D42,'-1'!$C$94:$AF$102,F$95,FALSE)</f>
        <v>4.87</v>
      </c>
      <c r="G42" s="147" t="str">
        <f>HLOOKUP($D42,'-1'!$C$94:$AF$102,G$95,FALSE)</f>
        <v>$\phi12@23$</v>
      </c>
      <c r="I42" s="267" t="str">
        <f>IF(G42='[1]Tabla -1'!G42,"IGUAL","CAMBIO")</f>
        <v>IGUAL</v>
      </c>
      <c r="J42" s="202"/>
      <c r="K42" s="202"/>
      <c r="L42" s="202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</row>
    <row r="43" spans="2:30" x14ac:dyDescent="0.25">
      <c r="D43" s="145" t="str">
        <f>'-1'!O93&amp;"-"&amp;'-1'!P93</f>
        <v>0104-0110</v>
      </c>
      <c r="E43" s="146">
        <f>HLOOKUP($D43,'-1'!$C$94:$AF$102,E$95,FALSE)</f>
        <v>3186.7187634146344</v>
      </c>
      <c r="F43" s="254">
        <f>HLOOKUP($D43,'-1'!$C$94:$AF$102,F$95,FALSE)</f>
        <v>5.54</v>
      </c>
      <c r="G43" s="147" t="str">
        <f>HLOOKUP($D43,'-1'!$C$94:$AF$102,G$95,FALSE)</f>
        <v>$\phi10@14$</v>
      </c>
      <c r="I43" s="267" t="str">
        <f>IF(G43='[1]Tabla -1'!G43,"IGUAL","CAMBIO")</f>
        <v>IGUAL</v>
      </c>
      <c r="J43" s="202"/>
      <c r="K43" s="202"/>
      <c r="L43" s="202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</row>
    <row r="44" spans="2:30" x14ac:dyDescent="0.25">
      <c r="D44" s="145" t="str">
        <f>'-1'!Q93&amp;"-"&amp;'-1'!R93</f>
        <v>0104-0105</v>
      </c>
      <c r="E44" s="146">
        <f>HLOOKUP($D44,'-1'!$C$94:$AF$102,E$95,FALSE)</f>
        <v>1855.8629032258063</v>
      </c>
      <c r="F44" s="254">
        <f>HLOOKUP($D44,'-1'!$C$94:$AF$102,F$95,FALSE)</f>
        <v>3.2199999999999998</v>
      </c>
      <c r="G44" s="147" t="str">
        <f>HLOOKUP($D44,'-1'!$C$94:$AF$102,G$95,FALSE)</f>
        <v>$\phi10@24$</v>
      </c>
      <c r="I44" s="267" t="str">
        <f>IF(G44='[1]Tabla -1'!G44,"IGUAL","CAMBIO")</f>
        <v>IGUAL</v>
      </c>
      <c r="J44" s="202"/>
      <c r="K44" s="202"/>
      <c r="L44" s="202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</row>
    <row r="45" spans="2:30" x14ac:dyDescent="0.25">
      <c r="D45" s="145" t="str">
        <f>'-1'!S93&amp;"-"&amp;'-1'!T93</f>
        <v>0105-0106</v>
      </c>
      <c r="E45" s="146">
        <f>HLOOKUP($D45,'-1'!$C$94:$AF$102,E$95,FALSE)</f>
        <v>1517.0866935483871</v>
      </c>
      <c r="F45" s="254">
        <f>HLOOKUP($D45,'-1'!$C$94:$AF$102,F$95,FALSE)</f>
        <v>2.63</v>
      </c>
      <c r="G45" s="147" t="str">
        <f>HLOOKUP($D45,'-1'!$C$94:$AF$102,G$95,FALSE)</f>
        <v>$\phi8@16$</v>
      </c>
      <c r="I45" s="267" t="str">
        <f>IF(G45='[1]Tabla -1'!G45,"IGUAL","CAMBIO")</f>
        <v>IGUAL</v>
      </c>
      <c r="J45" s="202"/>
      <c r="K45" s="202"/>
      <c r="L45" s="202"/>
    </row>
    <row r="46" spans="2:30" x14ac:dyDescent="0.25">
      <c r="D46" s="145" t="str">
        <f>'-1'!U93&amp;"-"&amp;'-1'!V93</f>
        <v>0105-0110</v>
      </c>
      <c r="E46" s="146">
        <f>HLOOKUP($D46,'-1'!$C$94:$AF$102,E$95,FALSE)</f>
        <v>2879.0821179069767</v>
      </c>
      <c r="F46" s="254">
        <f>HLOOKUP($D46,'-1'!$C$94:$AF$102,F$95,FALSE)</f>
        <v>5</v>
      </c>
      <c r="G46" s="147" t="str">
        <f>HLOOKUP($D46,'-1'!$C$94:$AF$102,G$95,FALSE)</f>
        <v>$\phi8@10$</v>
      </c>
      <c r="I46" s="267" t="str">
        <f>IF(G46='[1]Tabla -1'!G46,"IGUAL","CAMBIO")</f>
        <v>IGUAL</v>
      </c>
      <c r="J46" s="202"/>
      <c r="K46" s="202"/>
      <c r="L46" s="202"/>
    </row>
    <row r="47" spans="2:30" x14ac:dyDescent="0.25">
      <c r="D47" s="145" t="str">
        <f>'-1'!W93&amp;"-"&amp;'-1'!X93</f>
        <v>0106-0111</v>
      </c>
      <c r="E47" s="146">
        <f>HLOOKUP($D47,'-1'!$C$94:$AF$102,E$95,FALSE)</f>
        <v>1030.6176695194208</v>
      </c>
      <c r="F47" s="254">
        <f>HLOOKUP($D47,'-1'!$C$94:$AF$102,F$95,FALSE)</f>
        <v>1.79</v>
      </c>
      <c r="G47" s="147" t="str">
        <f>HLOOKUP($D47,'-1'!$C$94:$AF$102,G$95,FALSE)</f>
        <v>$\phi8@16$</v>
      </c>
      <c r="I47" s="267" t="str">
        <f>IF(G47='[1]Tabla -1'!G47,"IGUAL","CAMBIO")</f>
        <v>IGUAL</v>
      </c>
      <c r="J47" s="202"/>
      <c r="K47" s="202"/>
      <c r="L47" s="202"/>
    </row>
    <row r="48" spans="2:30" x14ac:dyDescent="0.25">
      <c r="D48" s="145" t="str">
        <f>'-1'!Y93&amp;"-"&amp;'-1'!Z93</f>
        <v>0107-0108</v>
      </c>
      <c r="E48" s="146">
        <f>HLOOKUP($D48,'-1'!$C$94:$AF$102,E$95,FALSE)</f>
        <v>2355.1754110842703</v>
      </c>
      <c r="F48" s="254">
        <f>HLOOKUP($D48,'-1'!$C$94:$AF$102,F$95,FALSE)</f>
        <v>4.09</v>
      </c>
      <c r="G48" s="147" t="str">
        <f>HLOOKUP($D48,'-1'!$C$94:$AF$102,G$95,FALSE)</f>
        <v>$\phi10@19$</v>
      </c>
      <c r="I48" s="267" t="str">
        <f>IF(G48='[1]Tabla -1'!G48,"IGUAL","CAMBIO")</f>
        <v>IGUAL</v>
      </c>
      <c r="J48" s="202"/>
      <c r="K48" s="202"/>
      <c r="L48" s="202"/>
    </row>
    <row r="49" spans="4:12" x14ac:dyDescent="0.25">
      <c r="D49" s="145" t="str">
        <f>'-1'!AA93&amp;"-"&amp;'-1'!AB93</f>
        <v>0107-0112</v>
      </c>
      <c r="E49" s="146">
        <f>HLOOKUP($D49,'-1'!$C$94:$AF$102,E$95,FALSE)</f>
        <v>2941.0088803556414</v>
      </c>
      <c r="F49" s="254">
        <f>HLOOKUP($D49,'-1'!$C$94:$AF$102,F$95,FALSE)</f>
        <v>5.1099999999999994</v>
      </c>
      <c r="G49" s="147" t="str">
        <f>HLOOKUP($D49,'-1'!$C$94:$AF$102,G$95,FALSE)</f>
        <v>$\phi12@22$</v>
      </c>
      <c r="I49" s="267" t="str">
        <f>IF(G49='[1]Tabla -1'!G49,"IGUAL","CAMBIO")</f>
        <v>IGUAL</v>
      </c>
      <c r="J49" s="202"/>
      <c r="K49" s="202"/>
      <c r="L49" s="202"/>
    </row>
    <row r="50" spans="4:12" x14ac:dyDescent="0.25">
      <c r="D50" s="145" t="str">
        <f>'-1'!AC93&amp;"-"&amp;'-1'!AD93</f>
        <v>0108-0112</v>
      </c>
      <c r="E50" s="146">
        <f>HLOOKUP($D50,'-1'!$C$94:$AF$102,E$95,FALSE)</f>
        <v>3269.8947493513238</v>
      </c>
      <c r="F50" s="254">
        <f>HLOOKUP($D50,'-1'!$C$94:$AF$102,F$95,FALSE)</f>
        <v>5.68</v>
      </c>
      <c r="G50" s="147" t="str">
        <f>HLOOKUP($D50,'-1'!$C$94:$AF$102,G$95,FALSE)</f>
        <v>$\phi12@20$</v>
      </c>
      <c r="I50" s="267" t="str">
        <f>IF(G50='[1]Tabla -1'!G50,"IGUAL","CAMBIO")</f>
        <v>IGUAL</v>
      </c>
      <c r="J50" s="202"/>
      <c r="K50" s="202"/>
      <c r="L50" s="202"/>
    </row>
    <row r="51" spans="4:12" x14ac:dyDescent="0.25">
      <c r="D51" s="145" t="str">
        <f>'-1'!AE93&amp;"-"&amp;'-1'!AF93</f>
        <v>0108-0109</v>
      </c>
      <c r="E51" s="146">
        <f>HLOOKUP($D51,'-1'!$C$94:$AF$102,E$95,FALSE)</f>
        <v>2476.8880349344981</v>
      </c>
      <c r="F51" s="254">
        <f>HLOOKUP($D51,'-1'!$C$94:$AF$102,F$95,FALSE)</f>
        <v>4.3</v>
      </c>
      <c r="G51" s="147" t="str">
        <f>HLOOKUP($D51,'-1'!$C$94:$AF$102,G$95,FALSE)</f>
        <v>$\phi10@18$</v>
      </c>
      <c r="I51" s="267" t="str">
        <f>IF(G51='[1]Tabla -1'!G51,"IGUAL","CAMBIO")</f>
        <v>IGUAL</v>
      </c>
      <c r="J51" s="202"/>
      <c r="K51" s="202"/>
      <c r="L51" s="202"/>
    </row>
    <row r="52" spans="4:12" x14ac:dyDescent="0.25">
      <c r="D52" s="145" t="str">
        <f>'-1'!C104&amp;"-"&amp;'-1'!D104</f>
        <v>0108-0113</v>
      </c>
      <c r="E52" s="146">
        <f>HLOOKUP($D52,'-1'!$C$105:'-1'!$AF$113,E$95,FALSE)</f>
        <v>2518.3026382978728</v>
      </c>
      <c r="F52" s="254">
        <f>HLOOKUP($D52,'-1'!$C$105:'-1'!$AF$113,F$95,FALSE)</f>
        <v>4.37</v>
      </c>
      <c r="G52" s="147" t="str">
        <f>HLOOKUP($D52,'-1'!$C$105:'-1'!$AF$113,G$95,FALSE)</f>
        <v>$\phi10@18$</v>
      </c>
      <c r="I52" s="267" t="str">
        <f>IF(G52='[1]Tabla -1'!G52,"IGUAL","CAMBIO")</f>
        <v>IGUAL</v>
      </c>
      <c r="J52" s="202"/>
      <c r="K52" s="202"/>
      <c r="L52" s="202"/>
    </row>
    <row r="53" spans="4:12" x14ac:dyDescent="0.25">
      <c r="D53" s="145" t="str">
        <f>'-1'!E104&amp;"-"&amp;'-1'!F104</f>
        <v>0109-0110</v>
      </c>
      <c r="E53" s="146">
        <f>HLOOKUP($D53,'-1'!$C$105:'-1'!$AF$113,E$95,FALSE)</f>
        <v>2485.3998803243921</v>
      </c>
      <c r="F53" s="254">
        <f>HLOOKUP($D53,'-1'!$C$105:'-1'!$AF$113,F$95,FALSE)</f>
        <v>4.3199999999999994</v>
      </c>
      <c r="G53" s="147" t="str">
        <f>HLOOKUP($D53,'-1'!$C$105:'-1'!$AF$113,G$95,FALSE)</f>
        <v>$\phi10@18$</v>
      </c>
      <c r="I53" s="267" t="str">
        <f>IF(G53='[1]Tabla -1'!G53,"IGUAL","CAMBIO")</f>
        <v>IGUAL</v>
      </c>
      <c r="J53" s="202"/>
      <c r="K53" s="202"/>
      <c r="L53" s="202"/>
    </row>
    <row r="54" spans="4:12" x14ac:dyDescent="0.25">
      <c r="D54" s="145" t="str">
        <f>'-1'!G104&amp;"-"&amp;'-1'!H104</f>
        <v>0109-0114</v>
      </c>
      <c r="E54" s="146">
        <f>HLOOKUP($D54,'-1'!$C$105:'-1'!$AF$113,E$95,FALSE)</f>
        <v>2598.0847659574474</v>
      </c>
      <c r="F54" s="254">
        <f>HLOOKUP($D54,'-1'!$C$105:'-1'!$AF$113,F$95,FALSE)</f>
        <v>4.51</v>
      </c>
      <c r="G54" s="147" t="str">
        <f>HLOOKUP($D54,'-1'!$C$105:'-1'!$AF$113,G$95,FALSE)</f>
        <v>$\phi8@11$</v>
      </c>
      <c r="I54" s="267" t="str">
        <f>IF(G54='[1]Tabla -1'!G54,"IGUAL","CAMBIO")</f>
        <v>IGUAL</v>
      </c>
      <c r="J54" s="202"/>
      <c r="K54" s="202"/>
      <c r="L54" s="202"/>
    </row>
    <row r="55" spans="4:12" x14ac:dyDescent="0.25">
      <c r="D55" s="145" t="str">
        <f>'-1'!I104&amp;"-"&amp;'-1'!J104</f>
        <v>0109-0115</v>
      </c>
      <c r="E55" s="146">
        <f>HLOOKUP($D55,'-1'!$C$105:'-1'!$AF$113,E$95,FALSE)</f>
        <v>3499.8331152049823</v>
      </c>
      <c r="F55" s="254">
        <f>HLOOKUP($D55,'-1'!$C$105:'-1'!$AF$113,F$95,FALSE)</f>
        <v>6.08</v>
      </c>
      <c r="G55" s="147" t="str">
        <f>HLOOKUP($D55,'-1'!$C$105:'-1'!$AF$113,G$95,FALSE)</f>
        <v>$\phi10@13$</v>
      </c>
      <c r="I55" s="267" t="str">
        <f>IF(G55='[1]Tabla -1'!G55,"IGUAL","CAMBIO")</f>
        <v>IGUAL</v>
      </c>
      <c r="J55" s="202"/>
      <c r="K55" s="202"/>
      <c r="L55" s="202"/>
    </row>
    <row r="56" spans="4:12" x14ac:dyDescent="0.25">
      <c r="D56" s="145" t="str">
        <f>'-1'!K104&amp;"-"&amp;'-1'!L104</f>
        <v>0110-0111</v>
      </c>
      <c r="E56" s="146">
        <f>HLOOKUP($D56,'-1'!$C$105:'-1'!$AF$113,E$95,FALSE)</f>
        <v>2049.7200695749129</v>
      </c>
      <c r="F56" s="254">
        <f>HLOOKUP($D56,'-1'!$C$105:'-1'!$AF$113,F$95,FALSE)</f>
        <v>3.5599999999999996</v>
      </c>
      <c r="G56" s="147" t="str">
        <f>HLOOKUP($D56,'-1'!$C$105:'-1'!$AF$113,G$95,FALSE)</f>
        <v>$\phi8@14$</v>
      </c>
      <c r="I56" s="267" t="str">
        <f>IF(G56='[1]Tabla -1'!G56,"IGUAL","CAMBIO")</f>
        <v>IGUAL</v>
      </c>
      <c r="J56" s="202"/>
      <c r="K56" s="202"/>
      <c r="L56" s="202"/>
    </row>
    <row r="57" spans="4:12" x14ac:dyDescent="0.25">
      <c r="D57" s="145" t="str">
        <f>'-1'!M104&amp;"-"&amp;'-1'!N104</f>
        <v>0110-0115</v>
      </c>
      <c r="E57" s="146">
        <f>HLOOKUP($D57,'-1'!$C$105:'-1'!$AF$113,E$95,FALSE)</f>
        <v>3809.7802024390244</v>
      </c>
      <c r="F57" s="254">
        <f>HLOOKUP($D57,'-1'!$C$105:'-1'!$AF$113,F$95,FALSE)</f>
        <v>6.62</v>
      </c>
      <c r="G57" s="147" t="str">
        <f>HLOOKUP($D57,'-1'!$C$105:'-1'!$AF$113,G$95,FALSE)</f>
        <v>$\phi12@17$</v>
      </c>
      <c r="I57" s="267" t="str">
        <f>IF(G57='[1]Tabla -1'!G57,"IGUAL","CAMBIO")</f>
        <v>IGUAL</v>
      </c>
      <c r="J57" s="202"/>
      <c r="K57" s="202"/>
      <c r="L57" s="202"/>
    </row>
    <row r="58" spans="4:12" x14ac:dyDescent="0.25">
      <c r="D58" s="145" t="str">
        <f>'-1'!O104&amp;"-"&amp;'-1'!P104</f>
        <v>0110-0116</v>
      </c>
      <c r="E58" s="146">
        <f>HLOOKUP($D58,'-1'!$C$105:'-1'!$AF$113,E$95,FALSE)</f>
        <v>2927.2035900000001</v>
      </c>
      <c r="F58" s="254">
        <f>HLOOKUP($D58,'-1'!$C$105:'-1'!$AF$113,F$95,FALSE)</f>
        <v>5.08</v>
      </c>
      <c r="G58" s="147" t="str">
        <f>HLOOKUP($D58,'-1'!$C$105:'-1'!$AF$113,G$95,FALSE)</f>
        <v>$\phi12@22$</v>
      </c>
      <c r="I58" s="267" t="str">
        <f>IF(G58='[1]Tabla -1'!G58,"IGUAL","CAMBIO")</f>
        <v>IGUAL</v>
      </c>
      <c r="J58" s="202"/>
      <c r="K58" s="202"/>
      <c r="L58" s="202"/>
    </row>
    <row r="59" spans="4:12" x14ac:dyDescent="0.25">
      <c r="D59" s="145" t="str">
        <f>'-1'!Q104&amp;"-"&amp;'-1'!R104</f>
        <v>0111-0117</v>
      </c>
      <c r="E59" s="146">
        <f>HLOOKUP($D59,'-1'!$C$105:'-1'!$AF$113,E$95,FALSE)</f>
        <v>1034.796608294931</v>
      </c>
      <c r="F59" s="254">
        <f>HLOOKUP($D59,'-1'!$C$105:'-1'!$AF$113,F$95,FALSE)</f>
        <v>1.8</v>
      </c>
      <c r="G59" s="147" t="str">
        <f>HLOOKUP($D59,'-1'!$C$105:'-1'!$AF$113,G$95,FALSE)</f>
        <v>$\phi8@16$</v>
      </c>
      <c r="I59" s="267" t="str">
        <f>IF(G59='[1]Tabla -1'!G59,"IGUAL","CAMBIO")</f>
        <v>IGUAL</v>
      </c>
      <c r="J59" s="202"/>
      <c r="K59" s="202"/>
      <c r="L59" s="202"/>
    </row>
    <row r="60" spans="4:12" x14ac:dyDescent="0.25">
      <c r="D60" s="145" t="str">
        <f>'-1'!S104&amp;"-"&amp;'-1'!T104</f>
        <v>0112-0118</v>
      </c>
      <c r="E60" s="146">
        <f>HLOOKUP($D60,'-1'!$C$105:'-1'!$AF$113,E$95,FALSE)</f>
        <v>4446.1582595121963</v>
      </c>
      <c r="F60" s="254">
        <f>HLOOKUP($D60,'-1'!$C$105:'-1'!$AF$113,F$95,FALSE)</f>
        <v>7.7299999999999995</v>
      </c>
      <c r="G60" s="147" t="str">
        <f>HLOOKUP($D60,'-1'!$C$105:'-1'!$AF$113,G$95,FALSE)</f>
        <v>$\phi12@15$</v>
      </c>
      <c r="I60" s="267" t="str">
        <f>IF(G60='[1]Tabla -1'!G60,"IGUAL","CAMBIO")</f>
        <v>IGUAL</v>
      </c>
      <c r="J60" s="202"/>
      <c r="K60" s="202"/>
      <c r="L60" s="202"/>
    </row>
    <row r="61" spans="4:12" x14ac:dyDescent="0.25">
      <c r="D61" s="145" t="str">
        <f>'-1'!U104&amp;"-"&amp;'-1'!V104</f>
        <v>0112-0113</v>
      </c>
      <c r="E61" s="146">
        <f>HLOOKUP($D61,'-1'!$C$105:'-1'!$AF$113,E$95,FALSE)</f>
        <v>2134.3257692632769</v>
      </c>
      <c r="F61" s="254">
        <f>HLOOKUP($D61,'-1'!$C$105:'-1'!$AF$113,F$95,FALSE)</f>
        <v>3.71</v>
      </c>
      <c r="G61" s="147" t="str">
        <f>HLOOKUP($D61,'-1'!$C$105:'-1'!$AF$113,G$95,FALSE)</f>
        <v>$\phi10@21$</v>
      </c>
      <c r="I61" s="267" t="str">
        <f>IF(G61='[1]Tabla -1'!G61,"IGUAL","CAMBIO")</f>
        <v>IGUAL</v>
      </c>
      <c r="J61" s="202"/>
      <c r="K61" s="202"/>
      <c r="L61" s="202"/>
    </row>
    <row r="62" spans="4:12" x14ac:dyDescent="0.25">
      <c r="D62" s="145" t="str">
        <f>'-1'!W104&amp;"-"&amp;'-1'!X104</f>
        <v>0112-0119</v>
      </c>
      <c r="E62" s="146">
        <f>HLOOKUP($D62,'-1'!$C$105:'-1'!$AF$113,E$95,FALSE)</f>
        <v>1854.8104129032258</v>
      </c>
      <c r="F62" s="254">
        <f>HLOOKUP($D62,'-1'!$C$105:'-1'!$AF$113,F$95,FALSE)</f>
        <v>3.2199999999999998</v>
      </c>
      <c r="G62" s="147" t="str">
        <f>HLOOKUP($D62,'-1'!$C$105:'-1'!$AF$113,G$95,FALSE)</f>
        <v>$\phi10@24$</v>
      </c>
      <c r="I62" s="267" t="str">
        <f>IF(G62='[1]Tabla -1'!G62,"IGUAL","CAMBIO")</f>
        <v>IGUAL</v>
      </c>
      <c r="J62" s="202"/>
      <c r="K62" s="202"/>
      <c r="L62" s="202"/>
    </row>
    <row r="63" spans="4:12" x14ac:dyDescent="0.25">
      <c r="D63" s="145" t="str">
        <f>'-1'!Y104&amp;"-"&amp;'-1'!Z104</f>
        <v>0113-0114</v>
      </c>
      <c r="E63" s="146">
        <f>HLOOKUP($D63,'-1'!$C$105:'-1'!$AF$113,E$95,FALSE)</f>
        <v>1535.109170305677</v>
      </c>
      <c r="F63" s="254">
        <f>HLOOKUP($D63,'-1'!$C$105:'-1'!$AF$113,F$95,FALSE)</f>
        <v>2.67</v>
      </c>
      <c r="G63" s="147" t="str">
        <f>HLOOKUP($D63,'-1'!$C$105:'-1'!$AF$113,G$95,FALSE)</f>
        <v>$\phi8@16$</v>
      </c>
      <c r="I63" s="267" t="str">
        <f>IF(G63='[1]Tabla -1'!G63,"IGUAL","CAMBIO")</f>
        <v>IGUAL</v>
      </c>
      <c r="J63" s="202"/>
      <c r="K63" s="202"/>
      <c r="L63" s="202"/>
    </row>
    <row r="64" spans="4:12" x14ac:dyDescent="0.25">
      <c r="D64" s="145" t="str">
        <f>'-1'!AA104&amp;"-"&amp;'-1'!AB104</f>
        <v>0113-0119</v>
      </c>
      <c r="E64" s="146">
        <f>HLOOKUP($D64,'-1'!$C$105:'-1'!$AF$113,E$95,FALSE)</f>
        <v>1301.7381702127659</v>
      </c>
      <c r="F64" s="254">
        <f>HLOOKUP($D64,'-1'!$C$105:'-1'!$AF$113,F$95,FALSE)</f>
        <v>2.2599999999999998</v>
      </c>
      <c r="G64" s="147" t="str">
        <f>HLOOKUP($D64,'-1'!$C$105:'-1'!$AF$113,G$95,FALSE)</f>
        <v>$\phi8@16$</v>
      </c>
      <c r="I64" s="267" t="str">
        <f>IF(G64='[1]Tabla -1'!G64,"IGUAL","CAMBIO")</f>
        <v>IGUAL</v>
      </c>
      <c r="J64" s="202"/>
      <c r="K64" s="202"/>
      <c r="L64" s="202"/>
    </row>
    <row r="65" spans="4:12" x14ac:dyDescent="0.25">
      <c r="D65" s="145" t="str">
        <f>'-1'!AC104&amp;"-"&amp;'-1'!AD104</f>
        <v>0114-0115</v>
      </c>
      <c r="E65" s="146">
        <f>HLOOKUP($D65,'-1'!$C$105:'-1'!$AF$113,E$95,FALSE)</f>
        <v>2402.5651153683621</v>
      </c>
      <c r="F65" s="254">
        <f>HLOOKUP($D65,'-1'!$C$105:'-1'!$AF$113,F$95,FALSE)</f>
        <v>4.17</v>
      </c>
      <c r="G65" s="147" t="str">
        <f>HLOOKUP($D65,'-1'!$C$105:'-1'!$AF$113,G$95,FALSE)</f>
        <v>$\phi8@12$</v>
      </c>
      <c r="I65" s="267" t="str">
        <f>IF(G65='[1]Tabla -1'!G65,"IGUAL","CAMBIO")</f>
        <v>IGUAL</v>
      </c>
      <c r="J65" s="202"/>
      <c r="K65" s="202"/>
      <c r="L65" s="202"/>
    </row>
    <row r="66" spans="4:12" x14ac:dyDescent="0.25">
      <c r="D66" s="145" t="str">
        <f>'-1'!AE104&amp;"-"&amp;'-1'!AF104</f>
        <v>0114-0119</v>
      </c>
      <c r="E66" s="146">
        <f>HLOOKUP($D66,'-1'!$C$105:'-1'!$AF$113,E$95,FALSE)</f>
        <v>1441.3568936170213</v>
      </c>
      <c r="F66" s="254">
        <f>HLOOKUP($D66,'-1'!$C$105:'-1'!$AF$113,F$95,FALSE)</f>
        <v>2.5</v>
      </c>
      <c r="G66" s="147" t="str">
        <f>HLOOKUP($D66,'-1'!$C$105:'-1'!$AF$113,G$95,FALSE)</f>
        <v>$\phi8@16$</v>
      </c>
      <c r="I66" s="267" t="str">
        <f>IF(G66='[1]Tabla -1'!G66,"IGUAL","CAMBIO")</f>
        <v>IGUAL</v>
      </c>
    </row>
    <row r="67" spans="4:12" x14ac:dyDescent="0.25">
      <c r="D67" s="145" t="str">
        <f>'-1'!C115&amp;"-"&amp;'-1'!D115</f>
        <v>0115-0122</v>
      </c>
      <c r="E67" s="146">
        <f>HLOOKUP($D67,'-1'!$C$116:'-1'!$AF$124,E$95,FALSE)</f>
        <v>2342.5916882541251</v>
      </c>
      <c r="F67" s="254">
        <f>HLOOKUP($D67,'-1'!$C$116:'-1'!$AF$124,F$95,FALSE)</f>
        <v>4.0699999999999994</v>
      </c>
      <c r="G67" s="147" t="str">
        <f>HLOOKUP($D67,'-1'!$C$116:'-1'!$AF$124,G$95,FALSE)</f>
        <v>$\phi10@19$</v>
      </c>
      <c r="I67" s="267" t="str">
        <f>IF(G67='[1]Tabla -1'!G67,"IGUAL","CAMBIO")</f>
        <v>IGUAL</v>
      </c>
    </row>
    <row r="68" spans="4:12" x14ac:dyDescent="0.25">
      <c r="D68" s="145" t="str">
        <f>'-1'!E115&amp;"-"&amp;'-1'!F115</f>
        <v>0115-0123</v>
      </c>
      <c r="E68" s="146">
        <f>HLOOKUP($D68,'-1'!$C$116:'-1'!$AF$124,E$95,FALSE)</f>
        <v>3528.0020838343735</v>
      </c>
      <c r="F68" s="254">
        <f>HLOOKUP($D68,'-1'!$C$116:'-1'!$AF$124,F$95,FALSE)</f>
        <v>6.13</v>
      </c>
      <c r="G68" s="147" t="str">
        <f>HLOOKUP($D68,'-1'!$C$116:'-1'!$AF$124,G$95,FALSE)</f>
        <v>$\phi10@13$</v>
      </c>
      <c r="I68" s="267" t="str">
        <f>IF(G68='[1]Tabla -1'!G68,"IGUAL","CAMBIO")</f>
        <v>IGUAL</v>
      </c>
    </row>
    <row r="69" spans="4:12" x14ac:dyDescent="0.25">
      <c r="D69" s="145" t="str">
        <f>'-1'!G115&amp;"-"&amp;'-1'!H115</f>
        <v>0115-0116</v>
      </c>
      <c r="E69" s="146">
        <f>HLOOKUP($D69,'-1'!$C$116:'-1'!$AF$124,E$95,FALSE)</f>
        <v>2636.4418346774196</v>
      </c>
      <c r="F69" s="254">
        <f>HLOOKUP($D69,'-1'!$C$116:'-1'!$AF$124,F$95,FALSE)</f>
        <v>4.58</v>
      </c>
      <c r="G69" s="147" t="str">
        <f>HLOOKUP($D69,'-1'!$C$116:'-1'!$AF$124,G$95,FALSE)</f>
        <v>$\phi10@17$</v>
      </c>
      <c r="I69" s="267" t="str">
        <f>IF(G69='[1]Tabla -1'!G69,"IGUAL","CAMBIO")</f>
        <v>IGUAL</v>
      </c>
    </row>
    <row r="70" spans="4:12" x14ac:dyDescent="0.25">
      <c r="D70" s="145" t="str">
        <f>'-1'!I115&amp;"-"&amp;'-1'!J115</f>
        <v>0116-0117</v>
      </c>
      <c r="E70" s="146">
        <f>HLOOKUP($D70,'-1'!$C$116:'-1'!$AF$124,E$95,FALSE)</f>
        <v>2022.2617500000003</v>
      </c>
      <c r="F70" s="254">
        <f>HLOOKUP($D70,'-1'!$C$116:'-1'!$AF$124,F$95,FALSE)</f>
        <v>3.51</v>
      </c>
      <c r="G70" s="147" t="str">
        <f>HLOOKUP($D70,'-1'!$C$116:'-1'!$AF$124,G$95,FALSE)</f>
        <v>$\phi8@14$</v>
      </c>
      <c r="I70" s="267" t="str">
        <f>IF(G70='[1]Tabla -1'!G70,"IGUAL","CAMBIO")</f>
        <v>IGUAL</v>
      </c>
    </row>
    <row r="71" spans="4:12" x14ac:dyDescent="0.25">
      <c r="D71" s="145" t="str">
        <f>'-1'!K115&amp;"-"&amp;'-1'!L115</f>
        <v>0116-0123</v>
      </c>
      <c r="E71" s="146">
        <f>HLOOKUP($D71,'-1'!$C$116:'-1'!$AF$124,E$95,FALSE)</f>
        <v>3070.1889774193551</v>
      </c>
      <c r="F71" s="254">
        <f>HLOOKUP($D71,'-1'!$C$116:'-1'!$AF$124,F$95,FALSE)</f>
        <v>5.33</v>
      </c>
      <c r="G71" s="147" t="str">
        <f>HLOOKUP($D71,'-1'!$C$116:'-1'!$AF$124,G$95,FALSE)</f>
        <v>$\phi12@21$</v>
      </c>
      <c r="I71" s="267" t="str">
        <f>IF(G71='[1]Tabla -1'!G71,"IGUAL","CAMBIO")</f>
        <v>IGUAL</v>
      </c>
    </row>
    <row r="72" spans="4:12" x14ac:dyDescent="0.25">
      <c r="D72" s="145" t="str">
        <f>'-1'!M115&amp;"-"&amp;'-1'!N115</f>
        <v>0116-0127</v>
      </c>
      <c r="E72" s="146">
        <f>HLOOKUP($D72,'-1'!$C$116:'-1'!$AF$124,E$95,FALSE)</f>
        <v>3101.9564988549619</v>
      </c>
      <c r="F72" s="254">
        <f>HLOOKUP($D72,'-1'!$C$116:'-1'!$AF$124,F$95,FALSE)</f>
        <v>5.39</v>
      </c>
      <c r="G72" s="147" t="str">
        <f>HLOOKUP($D72,'-1'!$C$116:'-1'!$AF$124,G$95,FALSE)</f>
        <v>$\phi12@21$</v>
      </c>
      <c r="I72" s="267" t="str">
        <f>IF(G72='[1]Tabla -1'!G72,"IGUAL","CAMBIO")</f>
        <v>IGUAL</v>
      </c>
    </row>
    <row r="73" spans="4:12" x14ac:dyDescent="0.25">
      <c r="D73" s="145" t="str">
        <f>'-1'!O115&amp;"-"&amp;'-1'!P115</f>
        <v>0117-0128</v>
      </c>
      <c r="E73" s="146">
        <f>HLOOKUP($D73,'-1'!$C$116:'-1'!$AF$124,E$95,FALSE)</f>
        <v>1053.0925714285718</v>
      </c>
      <c r="F73" s="254">
        <f>HLOOKUP($D73,'-1'!$C$116:'-1'!$AF$124,F$95,FALSE)</f>
        <v>1.83</v>
      </c>
      <c r="G73" s="147" t="str">
        <f>HLOOKUP($D73,'-1'!$C$116:'-1'!$AF$124,G$95,FALSE)</f>
        <v>$\phi8@16$</v>
      </c>
      <c r="I73" s="267" t="str">
        <f>IF(G73='[1]Tabla -1'!G73,"IGUAL","CAMBIO")</f>
        <v>IGUAL</v>
      </c>
    </row>
    <row r="74" spans="4:12" x14ac:dyDescent="0.25">
      <c r="D74" s="145" t="str">
        <f>'-1'!Q115&amp;"-"&amp;'-1'!R115</f>
        <v>0118-0124</v>
      </c>
      <c r="E74" s="146">
        <f>HLOOKUP($D74,'-1'!$C$116:'-1'!$AF$124,E$95,FALSE)</f>
        <v>6852.2304468292687</v>
      </c>
      <c r="F74" s="254">
        <f>HLOOKUP($D74,'-1'!$C$116:'-1'!$AF$124,F$95,FALSE)</f>
        <v>11.94</v>
      </c>
      <c r="G74" s="147" t="str">
        <f>HLOOKUP($D74,'-1'!$C$116:'-1'!$AF$124,G$95,FALSE)</f>
        <v>$\phi16@17$</v>
      </c>
      <c r="I74" s="267" t="str">
        <f>IF(G74='[1]Tabla -1'!G74,"IGUAL","CAMBIO")</f>
        <v>IGUAL</v>
      </c>
    </row>
    <row r="75" spans="4:12" x14ac:dyDescent="0.25">
      <c r="D75" s="145" t="str">
        <f>'-1'!S115&amp;"-"&amp;'-1'!T115</f>
        <v>0118-0119</v>
      </c>
      <c r="E75" s="146">
        <f>HLOOKUP($D75,'-1'!$C$116:'-1'!$AF$124,E$95,FALSE)</f>
        <v>3605.8664019512194</v>
      </c>
      <c r="F75" s="254">
        <f>HLOOKUP($D75,'-1'!$C$116:'-1'!$AF$124,F$95,FALSE)</f>
        <v>6.27</v>
      </c>
      <c r="G75" s="147" t="str">
        <f>HLOOKUP($D75,'-1'!$C$116:'-1'!$AF$124,G$95,FALSE)</f>
        <v>$\phi12@18$</v>
      </c>
      <c r="I75" s="267" t="str">
        <f>IF(G75='[1]Tabla -1'!G75,"IGUAL","CAMBIO")</f>
        <v>IGUAL</v>
      </c>
    </row>
    <row r="76" spans="4:12" x14ac:dyDescent="0.25">
      <c r="D76" s="145" t="str">
        <f>'-1'!U115&amp;"-"&amp;'-1'!V115</f>
        <v>0118-0120</v>
      </c>
      <c r="E76" s="146">
        <f>HLOOKUP($D76,'-1'!$C$116:'-1'!$AF$124,E$95,FALSE)</f>
        <v>2788.2753756598245</v>
      </c>
      <c r="F76" s="254">
        <f>HLOOKUP($D76,'-1'!$C$116:'-1'!$AF$124,F$95,FALSE)</f>
        <v>4.84</v>
      </c>
      <c r="G76" s="147" t="str">
        <f>HLOOKUP($D76,'-1'!$C$116:'-1'!$AF$124,G$95,FALSE)</f>
        <v>$\phi12@23$</v>
      </c>
      <c r="I76" s="267" t="str">
        <f>IF(G76='[1]Tabla -1'!G76,"IGUAL","CAMBIO")</f>
        <v>IGUAL</v>
      </c>
    </row>
    <row r="77" spans="4:12" x14ac:dyDescent="0.25">
      <c r="D77" s="145" t="str">
        <f>'-1'!W115&amp;"-"&amp;'-1'!X115</f>
        <v>0118-0129</v>
      </c>
      <c r="E77" s="146">
        <f>HLOOKUP($D77,'-1'!$C$116:'-1'!$AF$124,E$95,FALSE)</f>
        <v>2725.268014629135</v>
      </c>
      <c r="F77" s="254">
        <f>HLOOKUP($D77,'-1'!$C$116:'-1'!$AF$124,F$95,FALSE)</f>
        <v>4.7299999999999995</v>
      </c>
      <c r="G77" s="147" t="str">
        <f>HLOOKUP($D77,'-1'!$C$116:'-1'!$AF$124,G$95,FALSE)</f>
        <v>$\phi12@24$</v>
      </c>
      <c r="I77" s="267" t="str">
        <f>IF(G77='[1]Tabla -1'!G77,"IGUAL","CAMBIO")</f>
        <v>IGUAL</v>
      </c>
    </row>
    <row r="78" spans="4:12" x14ac:dyDescent="0.25">
      <c r="D78" s="145" t="str">
        <f>'-1'!Y115&amp;"-"&amp;'-1'!Z115</f>
        <v>0119-0120</v>
      </c>
      <c r="E78" s="146">
        <f>HLOOKUP($D78,'-1'!$C$116:'-1'!$AF$124,E$95,FALSE)</f>
        <v>359.54919512195124</v>
      </c>
      <c r="F78" s="254">
        <f>HLOOKUP($D78,'-1'!$C$116:'-1'!$AF$124,F$95,FALSE)</f>
        <v>0.63</v>
      </c>
      <c r="G78" s="147" t="str">
        <f>HLOOKUP($D78,'-1'!$C$116:'-1'!$AF$124,G$95,FALSE)</f>
        <v>$\phi8@16$</v>
      </c>
      <c r="I78" s="267" t="str">
        <f>IF(G78='[1]Tabla -1'!G78,"IGUAL","CAMBIO")</f>
        <v>IGUAL</v>
      </c>
    </row>
    <row r="79" spans="4:12" x14ac:dyDescent="0.25">
      <c r="D79" s="145" t="str">
        <f>'-1'!AA115&amp;"-"&amp;'-1'!AB115</f>
        <v>0119-0121</v>
      </c>
      <c r="E79" s="146">
        <f>HLOOKUP($D79,'-1'!$C$116:'-1'!$AF$124,E$95,FALSE)</f>
        <v>472.26968571428574</v>
      </c>
      <c r="F79" s="254">
        <f>HLOOKUP($D79,'-1'!$C$116:'-1'!$AF$124,F$95,FALSE)</f>
        <v>0.82000000000000006</v>
      </c>
      <c r="G79" s="147" t="str">
        <f>HLOOKUP($D79,'-1'!$C$116:'-1'!$AF$124,G$95,FALSE)</f>
        <v>$\phi8@16$</v>
      </c>
      <c r="I79" s="267" t="str">
        <f>IF(G79='[1]Tabla -1'!G79,"IGUAL","CAMBIO")</f>
        <v>IGUAL</v>
      </c>
    </row>
    <row r="80" spans="4:12" x14ac:dyDescent="0.25">
      <c r="D80" s="145" t="str">
        <f>'-1'!AC115&amp;"-"&amp;'-1'!AD115</f>
        <v>0119-0122</v>
      </c>
      <c r="E80" s="146">
        <f>HLOOKUP($D80,'-1'!$C$116:'-1'!$AF$124,E$95,FALSE)</f>
        <v>1089.5556641221372</v>
      </c>
      <c r="F80" s="254">
        <f>HLOOKUP($D80,'-1'!$C$116:'-1'!$AF$124,F$95,FALSE)</f>
        <v>1.89</v>
      </c>
      <c r="G80" s="147" t="str">
        <f>HLOOKUP($D80,'-1'!$C$116:'-1'!$AF$124,G$95,FALSE)</f>
        <v>$\phi8@16$</v>
      </c>
      <c r="I80" s="267" t="str">
        <f>IF(G80='[1]Tabla -1'!G80,"IGUAL","CAMBIO")</f>
        <v>IGUAL</v>
      </c>
    </row>
    <row r="81" spans="4:9" hidden="1" x14ac:dyDescent="0.25">
      <c r="D81" s="145" t="str">
        <f>'-1'!AE115&amp;"-"&amp;'-1'!AF115</f>
        <v>0120-0129</v>
      </c>
      <c r="E81" s="146">
        <f>HLOOKUP($D81,'-1'!$C$116:'-1'!$AF$124,E$95,FALSE)</f>
        <v>510.1345277161862</v>
      </c>
      <c r="F81" s="254">
        <f>HLOOKUP($D81,'-1'!$C$116:'-1'!$AF$124,F$95,FALSE)</f>
        <v>0.89</v>
      </c>
      <c r="G81" s="147" t="str">
        <f>HLOOKUP($D81,'-1'!$C$116:'-1'!$AF$124,G$95,FALSE)</f>
        <v>$\phi8@16$</v>
      </c>
      <c r="I81" s="267" t="str">
        <f>IF(G81='[1]Tabla -1'!G81,"IGUAL","CAMBIO")</f>
        <v>IGUAL</v>
      </c>
    </row>
    <row r="82" spans="4:9" x14ac:dyDescent="0.25">
      <c r="D82" s="145" t="str">
        <f>'-1'!C126&amp;"-"&amp;'-1'!D126</f>
        <v>0121-0129</v>
      </c>
      <c r="E82" s="146">
        <f>HLOOKUP($D82,'-1'!$C$127:'-1'!$AF$135,E$95,FALSE)</f>
        <v>724.29259394904466</v>
      </c>
      <c r="F82" s="254">
        <f>HLOOKUP($D82,'-1'!$C$127:'-1'!$AF$135,F$95,FALSE)</f>
        <v>1.26</v>
      </c>
      <c r="G82" s="147" t="str">
        <f>HLOOKUP($D82,'-1'!$C$127:'-1'!$AF$135,G$95,FALSE)</f>
        <v>$\phi8@16$</v>
      </c>
      <c r="I82" s="267" t="str">
        <f>IF(G82='[1]Tabla -1'!G82,"IGUAL","CAMBIO")</f>
        <v>IGUAL</v>
      </c>
    </row>
    <row r="83" spans="4:9" x14ac:dyDescent="0.25">
      <c r="D83" s="145" t="str">
        <f>'-1'!E126&amp;"-"&amp;'-1'!F126</f>
        <v>0121-0122</v>
      </c>
      <c r="E83" s="146">
        <f>HLOOKUP($D83,'-1'!$C$127:'-1'!$AF$135,E$95,FALSE)</f>
        <v>1575.2922954545456</v>
      </c>
      <c r="F83" s="254">
        <f>HLOOKUP($D83,'-1'!$C$127:'-1'!$AF$135,F$95,FALSE)</f>
        <v>2.7399999999999998</v>
      </c>
      <c r="G83" s="147" t="str">
        <f>HLOOKUP($D83,'-1'!$C$127:'-1'!$AF$135,G$95,FALSE)</f>
        <v>$\phi8@16$</v>
      </c>
      <c r="I83" s="267" t="str">
        <f>IF(G83='[1]Tabla -1'!G83,"IGUAL","CAMBIO")</f>
        <v>IGUAL</v>
      </c>
    </row>
    <row r="84" spans="4:9" x14ac:dyDescent="0.25">
      <c r="D84" s="145" t="str">
        <f>'-1'!G126&amp;"-"&amp;'-1'!H126</f>
        <v>0121-0124</v>
      </c>
      <c r="E84" s="146">
        <f>HLOOKUP($D84,'-1'!$C$127:'-1'!$AF$135,E$95,FALSE)</f>
        <v>5816.3570057142861</v>
      </c>
      <c r="F84" s="254">
        <f>HLOOKUP($D84,'-1'!$C$127:'-1'!$AF$135,F$95,FALSE)</f>
        <v>10.119999999999999</v>
      </c>
      <c r="G84" s="147" t="str">
        <f>HLOOKUP($D84,'-1'!$C$127:'-1'!$AF$135,G$95,FALSE)</f>
        <v>$\phi16@20$</v>
      </c>
      <c r="I84" s="267" t="str">
        <f>IF(G84='[1]Tabla -1'!G84,"IGUAL","CAMBIO")</f>
        <v>IGUAL</v>
      </c>
    </row>
    <row r="85" spans="4:9" x14ac:dyDescent="0.25">
      <c r="D85" s="145" t="str">
        <f>'-1'!I126&amp;"-"&amp;'-1'!J126</f>
        <v>0122-0125</v>
      </c>
      <c r="E85" s="146">
        <f>HLOOKUP($D85,'-1'!$C$127:'-1'!$AF$135,E$95,FALSE)</f>
        <v>1846.7418172863825</v>
      </c>
      <c r="F85" s="254">
        <f>HLOOKUP($D85,'-1'!$C$127:'-1'!$AF$135,F$95,FALSE)</f>
        <v>3.21</v>
      </c>
      <c r="G85" s="147" t="str">
        <f>HLOOKUP($D85,'-1'!$C$127:'-1'!$AF$135,G$95,FALSE)</f>
        <v>$\phi10@24$</v>
      </c>
      <c r="I85" s="267" t="str">
        <f>IF(G85='[1]Tabla -1'!G85,"IGUAL","CAMBIO")</f>
        <v>IGUAL</v>
      </c>
    </row>
    <row r="86" spans="4:9" x14ac:dyDescent="0.25">
      <c r="D86" s="145" t="str">
        <f>'-1'!K126&amp;"-"&amp;'-1'!L126</f>
        <v>0122-0123</v>
      </c>
      <c r="E86" s="146">
        <f>HLOOKUP($D86,'-1'!$C$127:'-1'!$AF$135,E$95,FALSE)</f>
        <v>2908.0486592375369</v>
      </c>
      <c r="F86" s="254">
        <f>HLOOKUP($D86,'-1'!$C$127:'-1'!$AF$135,F$95,FALSE)</f>
        <v>5.05</v>
      </c>
      <c r="G86" s="147" t="str">
        <f>HLOOKUP($D86,'-1'!$C$127:'-1'!$AF$135,G$95,FALSE)</f>
        <v>$\phi12@22$</v>
      </c>
      <c r="I86" s="267" t="str">
        <f>IF(G86='[1]Tabla -1'!G86,"IGUAL","CAMBIO")</f>
        <v>IGUAL</v>
      </c>
    </row>
    <row r="87" spans="4:9" x14ac:dyDescent="0.25">
      <c r="D87" s="145" t="str">
        <f>'-1'!M126&amp;"-"&amp;'-1'!N126</f>
        <v>0123-0126</v>
      </c>
      <c r="E87" s="146">
        <f>HLOOKUP($D87,'-1'!$C$127:'-1'!$AF$135,E$95,FALSE)</f>
        <v>2771.038601242677</v>
      </c>
      <c r="F87" s="254">
        <f>HLOOKUP($D87,'-1'!$C$127:'-1'!$AF$135,F$95,FALSE)</f>
        <v>4.8099999999999996</v>
      </c>
      <c r="G87" s="147" t="str">
        <f>HLOOKUP($D87,'-1'!$C$127:'-1'!$AF$135,G$95,FALSE)</f>
        <v>$\phi12@24$</v>
      </c>
      <c r="I87" s="267" t="str">
        <f>IF(G87='[1]Tabla -1'!G87,"IGUAL","CAMBIO")</f>
        <v>IGUAL</v>
      </c>
    </row>
    <row r="88" spans="4:9" x14ac:dyDescent="0.25">
      <c r="D88" s="145" t="str">
        <f>'-1'!O126&amp;"-"&amp;'-1'!P126</f>
        <v>0123-0127</v>
      </c>
      <c r="E88" s="146">
        <f>HLOOKUP($D88,'-1'!$C$127:'-1'!$AF$135,E$95,FALSE)</f>
        <v>4522.0062879765383</v>
      </c>
      <c r="F88" s="254">
        <f>HLOOKUP($D88,'-1'!$C$127:'-1'!$AF$135,F$95,FALSE)</f>
        <v>7.8599999999999994</v>
      </c>
      <c r="G88" s="147" t="str">
        <f>HLOOKUP($D88,'-1'!$C$127:'-1'!$AF$135,G$95,FALSE)</f>
        <v>$\phi10@10$</v>
      </c>
      <c r="I88" s="267" t="str">
        <f>IF(G88='[1]Tabla -1'!G88,"IGUAL","CAMBIO")</f>
        <v>IGUAL</v>
      </c>
    </row>
    <row r="89" spans="4:9" x14ac:dyDescent="0.25">
      <c r="D89" s="145" t="str">
        <f>'-1'!Q126&amp;"-"&amp;'-1'!R126</f>
        <v>0123-0127</v>
      </c>
      <c r="E89" s="146">
        <f>HLOOKUP($D89,'-1'!$C$127:'-1'!$AF$135,E$95,FALSE)</f>
        <v>4522.0062879765383</v>
      </c>
      <c r="F89" s="254">
        <f>HLOOKUP($D89,'-1'!$C$127:'-1'!$AF$135,F$95,FALSE)</f>
        <v>7.8599999999999994</v>
      </c>
      <c r="G89" s="147" t="str">
        <f>HLOOKUP($D89,'-1'!$C$127:'-1'!$AF$135,G$95,FALSE)</f>
        <v>$\phi10@10$</v>
      </c>
      <c r="I89" s="267" t="str">
        <f>IF(G89='[1]Tabla -1'!G89,"IGUAL","CAMBIO")</f>
        <v>IGUAL</v>
      </c>
    </row>
    <row r="90" spans="4:9" x14ac:dyDescent="0.25">
      <c r="D90" s="145" t="str">
        <f>'-1'!S126&amp;"-"&amp;'-1'!T126</f>
        <v>0124-0125</v>
      </c>
      <c r="E90" s="146">
        <f>HLOOKUP($D90,'-1'!$C$127:'-1'!$AF$135,E$95,FALSE)</f>
        <v>4453.4482580069689</v>
      </c>
      <c r="F90" s="254">
        <f>HLOOKUP($D90,'-1'!$C$127:'-1'!$AF$135,F$95,FALSE)</f>
        <v>7.74</v>
      </c>
      <c r="G90" s="147" t="str">
        <f>HLOOKUP($D90,'-1'!$C$127:'-1'!$AF$135,G$95,FALSE)</f>
        <v>$\phi12@15$</v>
      </c>
      <c r="I90" s="267" t="str">
        <f>IF(G90='[1]Tabla -1'!G90,"IGUAL","CAMBIO")</f>
        <v>IGUAL</v>
      </c>
    </row>
    <row r="91" spans="4:9" x14ac:dyDescent="0.25">
      <c r="D91" s="145" t="str">
        <f>'-1'!U126&amp;"-"&amp;'-1'!V126</f>
        <v>0124-0129</v>
      </c>
      <c r="E91" s="146">
        <f>HLOOKUP($D91,'-1'!$C$127:'-1'!$AF$135,E$95,FALSE)</f>
        <v>5805.9603927272728</v>
      </c>
      <c r="F91" s="254">
        <f>HLOOKUP($D91,'-1'!$C$127:'-1'!$AF$135,F$95,FALSE)</f>
        <v>10.11</v>
      </c>
      <c r="G91" s="147" t="str">
        <f>HLOOKUP($D91,'-1'!$C$127:'-1'!$AF$135,G$95,FALSE)</f>
        <v>$\phi16@20$</v>
      </c>
      <c r="I91" s="267" t="str">
        <f>IF(G91='[1]Tabla -1'!G91,"IGUAL","CAMBIO")</f>
        <v>IGUAL</v>
      </c>
    </row>
    <row r="92" spans="4:9" x14ac:dyDescent="0.25">
      <c r="D92" s="145" t="str">
        <f>'-1'!W126&amp;"-"&amp;'-1'!X126</f>
        <v>0125-0126</v>
      </c>
      <c r="E92" s="146">
        <f>HLOOKUP($D92,'-1'!$C$127:'-1'!$AF$135,E$95,FALSE)</f>
        <v>3062.2544035476717</v>
      </c>
      <c r="F92" s="254">
        <f>HLOOKUP($D92,'-1'!$C$127:'-1'!$AF$135,F$95,FALSE)</f>
        <v>5.3199999999999994</v>
      </c>
      <c r="G92" s="147" t="str">
        <f>HLOOKUP($D92,'-1'!$C$127:'-1'!$AF$135,G$95,FALSE)</f>
        <v>$\phi12@21$</v>
      </c>
      <c r="I92" s="267" t="str">
        <f>IF(G92='[1]Tabla -1'!G92,"IGUAL","CAMBIO")</f>
        <v>IGUAL</v>
      </c>
    </row>
    <row r="93" spans="4:9" x14ac:dyDescent="0.25">
      <c r="D93" s="145" t="str">
        <f>'-1'!Y126&amp;"-"&amp;'-1'!Z126</f>
        <v>0126-0127</v>
      </c>
      <c r="E93" s="146">
        <f>HLOOKUP($D93,'-1'!$C$127:'-1'!$AF$135,E$95,FALSE)</f>
        <v>4407.6268909090904</v>
      </c>
      <c r="F93" s="254">
        <f>HLOOKUP($D93,'-1'!$C$127:'-1'!$AF$135,F$95,FALSE)</f>
        <v>7.66</v>
      </c>
      <c r="G93" s="147" t="str">
        <f>HLOOKUP($D93,'-1'!$C$127:'-1'!$AF$135,G$95,FALSE)</f>
        <v>$\phi12@15$</v>
      </c>
      <c r="I93" s="267" t="str">
        <f>IF(G93='[1]Tabla -1'!G93,"IGUAL","CAMBIO")</f>
        <v>IGUAL</v>
      </c>
    </row>
    <row r="94" spans="4:9" ht="15.75" thickBot="1" x14ac:dyDescent="0.3">
      <c r="D94" s="148" t="str">
        <f>'-1'!AA126&amp;"-"&amp;'-1'!AB126</f>
        <v>0127-0128</v>
      </c>
      <c r="E94" s="149">
        <f>HLOOKUP($D94,'-1'!$C$127:'-1'!$AF$135,E$95,FALSE)</f>
        <v>4078.5294090909078</v>
      </c>
      <c r="F94" s="255">
        <f>HLOOKUP($D94,'-1'!$C$127:'-1'!$AF$135,F$95,FALSE)</f>
        <v>7.09</v>
      </c>
      <c r="G94" s="150" t="str">
        <f>HLOOKUP($D94,'-1'!$C$127:'-1'!$AF$135,G$95,FALSE)</f>
        <v>$\phi10@11$</v>
      </c>
      <c r="I94" s="268" t="str">
        <f>IF(G94='[1]Tabla -1'!G94,"IGUAL","CAMBIO")</f>
        <v>IGUAL</v>
      </c>
    </row>
    <row r="95" spans="4:9" x14ac:dyDescent="0.25">
      <c r="E95" s="121">
        <v>5</v>
      </c>
      <c r="F95" s="248">
        <v>8</v>
      </c>
      <c r="G95" s="121">
        <v>9</v>
      </c>
    </row>
  </sheetData>
  <mergeCells count="12">
    <mergeCell ref="D35:E35"/>
    <mergeCell ref="L3:M3"/>
    <mergeCell ref="B2:G2"/>
    <mergeCell ref="H2:J2"/>
    <mergeCell ref="K2:M2"/>
    <mergeCell ref="B3:B4"/>
    <mergeCell ref="D3:D4"/>
    <mergeCell ref="E3:E4"/>
    <mergeCell ref="F3:G3"/>
    <mergeCell ref="H3:I3"/>
    <mergeCell ref="J3:K3"/>
    <mergeCell ref="C3:C4"/>
  </mergeCells>
  <conditionalFormatting sqref="P5:S33">
    <cfRule type="containsText" dxfId="24" priority="2" operator="containsText" text="CAMBIO">
      <formula>NOT(ISERROR(SEARCH("CAMBIO",P5)))</formula>
    </cfRule>
  </conditionalFormatting>
  <conditionalFormatting sqref="I37:L65">
    <cfRule type="containsText" dxfId="23" priority="1" operator="containsText" text="CAMBIO">
      <formula>NOT(ISERROR(SEARCH("CAMBIO",I37)))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CEC0-8C66-41AA-B60E-F73836411637}">
  <dimension ref="B2:AG124"/>
  <sheetViews>
    <sheetView showGridLines="0" zoomScale="70" zoomScaleNormal="70" workbookViewId="0">
      <selection activeCell="M13" sqref="M13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23" width="17.140625" customWidth="1"/>
    <col min="24" max="24" width="10.85546875" customWidth="1"/>
  </cols>
  <sheetData>
    <row r="2" spans="2:21" ht="18.75" x14ac:dyDescent="0.3">
      <c r="B2" s="52" t="s">
        <v>137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1" t="s">
        <v>19</v>
      </c>
      <c r="C4" s="110">
        <v>16</v>
      </c>
      <c r="E4" s="297" t="s">
        <v>282</v>
      </c>
      <c r="F4" s="298"/>
      <c r="H4" s="297" t="s">
        <v>283</v>
      </c>
      <c r="I4" s="298"/>
      <c r="K4" s="297" t="s">
        <v>39</v>
      </c>
      <c r="L4" s="298"/>
      <c r="N4" s="154" t="s">
        <v>281</v>
      </c>
      <c r="O4" s="154" t="str">
        <f>E4</f>
        <v>Sobrecargas $[kgf/m^2]$</v>
      </c>
      <c r="P4" s="40"/>
      <c r="Q4" s="154" t="s">
        <v>284</v>
      </c>
      <c r="R4" s="154" t="str">
        <f>H4</f>
        <v>Peso Propio $[kgf/m^2]$</v>
      </c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41</v>
      </c>
      <c r="N5" s="155" t="str">
        <f t="shared" ref="N5:O9" si="0">E5</f>
        <v>Habitacional</v>
      </c>
      <c r="O5" s="155">
        <f t="shared" si="0"/>
        <v>200</v>
      </c>
      <c r="P5" s="40"/>
      <c r="Q5" s="155" t="str">
        <f t="shared" ref="Q5:R8" si="1">H5</f>
        <v>Tabique</v>
      </c>
      <c r="R5" s="155">
        <f t="shared" si="1"/>
        <v>100</v>
      </c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3.57</v>
      </c>
      <c r="N6" s="128" t="str">
        <f t="shared" si="0"/>
        <v>Área común y escalera</v>
      </c>
      <c r="O6" s="128">
        <f t="shared" si="0"/>
        <v>400</v>
      </c>
      <c r="P6" s="40"/>
      <c r="Q6" s="128" t="str">
        <f t="shared" si="1"/>
        <v>Yeso</v>
      </c>
      <c r="R6" s="128">
        <f t="shared" si="1"/>
        <v>25</v>
      </c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N7" s="128" t="str">
        <f t="shared" si="0"/>
        <v>Balcones</v>
      </c>
      <c r="O7" s="128">
        <f t="shared" si="0"/>
        <v>300</v>
      </c>
      <c r="P7" s="40"/>
      <c r="Q7" s="156" t="str">
        <f t="shared" si="1"/>
        <v>Sobrelosa</v>
      </c>
      <c r="R7" s="156">
        <f t="shared" si="1"/>
        <v>100</v>
      </c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276</v>
      </c>
      <c r="I8" s="35">
        <f>$I$5+$I$6+$I$7</f>
        <v>225</v>
      </c>
      <c r="K8" s="44" t="s">
        <v>239</v>
      </c>
      <c r="L8" s="38" t="s">
        <v>42</v>
      </c>
      <c r="N8" s="128" t="str">
        <f t="shared" si="0"/>
        <v>Autos</v>
      </c>
      <c r="O8" s="128">
        <f t="shared" si="0"/>
        <v>500</v>
      </c>
      <c r="P8" s="40"/>
      <c r="Q8" s="154" t="str">
        <f t="shared" si="1"/>
        <v>$PP_{adic}$</v>
      </c>
      <c r="R8" s="154">
        <f t="shared" si="1"/>
        <v>225</v>
      </c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N9" s="156" t="str">
        <f t="shared" si="0"/>
        <v>Techo</v>
      </c>
      <c r="O9" s="156">
        <f t="shared" si="0"/>
        <v>100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07"/>
      <c r="Q12" s="39"/>
      <c r="T12" s="40"/>
      <c r="U12" s="41"/>
    </row>
    <row r="13" spans="2:21" ht="17.45" customHeight="1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$\phi8@17$</v>
      </c>
      <c r="I13" s="39"/>
      <c r="J13" s="39"/>
      <c r="K13" s="39"/>
      <c r="L13" s="39"/>
      <c r="M13" s="39"/>
      <c r="N13" s="39"/>
      <c r="O13" s="39"/>
      <c r="P13" s="107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07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55" t="s">
        <v>48</v>
      </c>
      <c r="I15" s="108"/>
      <c r="J15" s="277" t="s">
        <v>43</v>
      </c>
      <c r="K15" s="277"/>
      <c r="L15" s="177"/>
      <c r="M15" s="278" t="str">
        <f>P46</f>
        <v>114</v>
      </c>
      <c r="N15" s="323"/>
      <c r="P15" s="108"/>
      <c r="Q15" s="108"/>
      <c r="T15" s="40"/>
      <c r="U15" s="41"/>
    </row>
    <row r="16" spans="2:21" ht="15.75" hidden="1" thickBot="1" x14ac:dyDescent="0.3">
      <c r="B16" s="63" t="s">
        <v>117</v>
      </c>
      <c r="C16" s="6">
        <v>5</v>
      </c>
      <c r="D16" s="6">
        <v>5.33</v>
      </c>
      <c r="E16" s="6">
        <v>16</v>
      </c>
      <c r="F16" s="6" t="s">
        <v>9</v>
      </c>
      <c r="G16" s="6">
        <v>500</v>
      </c>
      <c r="H16" s="7" t="s">
        <v>41</v>
      </c>
      <c r="I16" s="6"/>
      <c r="J16" s="300" t="s">
        <v>95</v>
      </c>
      <c r="K16" s="300"/>
      <c r="L16" s="180"/>
      <c r="M16" s="300" t="s">
        <v>96</v>
      </c>
      <c r="N16" s="300"/>
    </row>
    <row r="17" spans="2:16" hidden="1" x14ac:dyDescent="0.25">
      <c r="B17" s="63" t="s">
        <v>118</v>
      </c>
      <c r="C17" s="6">
        <v>5</v>
      </c>
      <c r="D17" s="6">
        <v>7.2</v>
      </c>
      <c r="E17" s="6">
        <v>16</v>
      </c>
      <c r="F17" s="6">
        <v>6</v>
      </c>
      <c r="G17" s="6">
        <v>500</v>
      </c>
      <c r="H17" s="7" t="s">
        <v>41</v>
      </c>
      <c r="I17" s="6"/>
      <c r="J17" s="181" t="s">
        <v>291</v>
      </c>
      <c r="K17" s="167">
        <f>P48</f>
        <v>1.4</v>
      </c>
      <c r="L17" s="180"/>
      <c r="M17" s="181" t="s">
        <v>293</v>
      </c>
      <c r="N17" s="173">
        <f>P71</f>
        <v>160.25882352941176</v>
      </c>
    </row>
    <row r="18" spans="2:16" hidden="1" x14ac:dyDescent="0.25">
      <c r="B18" s="63" t="s">
        <v>119</v>
      </c>
      <c r="C18" s="6">
        <v>5</v>
      </c>
      <c r="D18" s="6">
        <v>7.2</v>
      </c>
      <c r="E18" s="6">
        <v>16</v>
      </c>
      <c r="F18" s="6">
        <v>6</v>
      </c>
      <c r="G18" s="6">
        <v>500</v>
      </c>
      <c r="H18" s="7" t="s">
        <v>41</v>
      </c>
      <c r="I18" s="6"/>
      <c r="J18" s="246" t="s">
        <v>290</v>
      </c>
      <c r="K18" s="168">
        <f>P49</f>
        <v>9.1999999999999993</v>
      </c>
      <c r="L18" s="180"/>
      <c r="M18" s="246" t="s">
        <v>280</v>
      </c>
      <c r="N18" s="174">
        <f t="shared" ref="N18:N21" si="2">P72</f>
        <v>0.33019092025872299</v>
      </c>
      <c r="P18" s="191"/>
    </row>
    <row r="19" spans="2:16" hidden="1" x14ac:dyDescent="0.25">
      <c r="B19" s="63" t="s">
        <v>120</v>
      </c>
      <c r="C19" s="6">
        <v>5</v>
      </c>
      <c r="D19" s="6">
        <v>7.89</v>
      </c>
      <c r="E19" s="6">
        <v>16</v>
      </c>
      <c r="F19" s="6">
        <v>6</v>
      </c>
      <c r="G19" s="6">
        <v>500</v>
      </c>
      <c r="H19" s="7" t="s">
        <v>41</v>
      </c>
      <c r="I19" s="6"/>
      <c r="J19" s="182" t="s">
        <v>289</v>
      </c>
      <c r="K19" s="168">
        <f>P50</f>
        <v>4</v>
      </c>
      <c r="L19" s="180"/>
      <c r="M19" s="246" t="s">
        <v>98</v>
      </c>
      <c r="N19" s="175">
        <f t="shared" si="2"/>
        <v>4.6571663822947253E-3</v>
      </c>
      <c r="P19" s="191"/>
    </row>
    <row r="20" spans="2:16" ht="15.75" hidden="1" thickBot="1" x14ac:dyDescent="0.3">
      <c r="B20" s="63" t="s">
        <v>121</v>
      </c>
      <c r="C20" s="6">
        <v>4.93</v>
      </c>
      <c r="D20" s="6">
        <v>5.33</v>
      </c>
      <c r="E20" s="6">
        <v>16</v>
      </c>
      <c r="F20" s="6">
        <v>4</v>
      </c>
      <c r="G20" s="6">
        <v>500</v>
      </c>
      <c r="H20" s="7" t="s">
        <v>41</v>
      </c>
      <c r="I20" s="6"/>
      <c r="J20" s="246" t="s">
        <v>299</v>
      </c>
      <c r="K20" s="322">
        <f>P51</f>
        <v>6</v>
      </c>
      <c r="L20" s="180"/>
      <c r="M20" s="247" t="s">
        <v>280</v>
      </c>
      <c r="N20" s="169">
        <f t="shared" si="2"/>
        <v>0.3</v>
      </c>
      <c r="P20" s="179"/>
    </row>
    <row r="21" spans="2:16" ht="16.5" hidden="1" thickBot="1" x14ac:dyDescent="0.3">
      <c r="B21" s="63" t="s">
        <v>122</v>
      </c>
      <c r="C21" s="6">
        <v>5.54</v>
      </c>
      <c r="D21" s="6">
        <v>7.2</v>
      </c>
      <c r="E21" s="6">
        <v>16</v>
      </c>
      <c r="F21" s="6">
        <v>6</v>
      </c>
      <c r="G21" s="6">
        <v>500</v>
      </c>
      <c r="H21" s="7" t="s">
        <v>41</v>
      </c>
      <c r="I21" s="6"/>
      <c r="J21" s="246"/>
      <c r="K21" s="188"/>
      <c r="L21" s="168"/>
      <c r="M21" s="184" t="s">
        <v>100</v>
      </c>
      <c r="N21" s="176" t="str">
        <f t="shared" si="2"/>
        <v>$\phi8@17$</v>
      </c>
      <c r="P21" s="191"/>
    </row>
    <row r="22" spans="2:16" ht="16.5" hidden="1" thickBot="1" x14ac:dyDescent="0.3">
      <c r="B22" s="63" t="s">
        <v>123</v>
      </c>
      <c r="C22" s="6">
        <v>5.54</v>
      </c>
      <c r="D22" s="6">
        <v>7.2</v>
      </c>
      <c r="E22" s="6">
        <v>16</v>
      </c>
      <c r="F22" s="6">
        <v>6</v>
      </c>
      <c r="G22" s="6">
        <v>500</v>
      </c>
      <c r="H22" s="7" t="s">
        <v>41</v>
      </c>
      <c r="I22" s="6"/>
      <c r="J22" s="277" t="s">
        <v>94</v>
      </c>
      <c r="K22" s="277"/>
      <c r="L22" s="180"/>
      <c r="M22" s="189"/>
      <c r="N22" s="190"/>
      <c r="P22" s="191"/>
    </row>
    <row r="23" spans="2:16" hidden="1" x14ac:dyDescent="0.25">
      <c r="B23" s="63" t="s">
        <v>124</v>
      </c>
      <c r="C23" s="6">
        <v>5.54</v>
      </c>
      <c r="D23" s="6">
        <v>7.89</v>
      </c>
      <c r="E23" s="6">
        <v>16</v>
      </c>
      <c r="F23" s="6">
        <v>6</v>
      </c>
      <c r="G23" s="6">
        <v>500</v>
      </c>
      <c r="H23" s="7" t="s">
        <v>41</v>
      </c>
      <c r="I23" s="6"/>
      <c r="J23" s="185" t="s">
        <v>306</v>
      </c>
      <c r="K23" s="167">
        <f>P53</f>
        <v>6.6</v>
      </c>
      <c r="L23" s="180"/>
      <c r="M23" s="246" t="s">
        <v>294</v>
      </c>
      <c r="N23" s="171" t="str">
        <f>P76</f>
        <v>0</v>
      </c>
      <c r="P23" s="191"/>
    </row>
    <row r="24" spans="2:16" hidden="1" x14ac:dyDescent="0.25">
      <c r="B24" s="63" t="s">
        <v>125</v>
      </c>
      <c r="C24" s="6">
        <v>4.45</v>
      </c>
      <c r="D24" s="6">
        <v>5.54</v>
      </c>
      <c r="E24" s="6">
        <v>16</v>
      </c>
      <c r="F24" s="6" t="s">
        <v>10</v>
      </c>
      <c r="G24" s="6">
        <v>500</v>
      </c>
      <c r="H24" s="7" t="s">
        <v>41</v>
      </c>
      <c r="I24" s="6"/>
      <c r="J24" s="182" t="s">
        <v>11</v>
      </c>
      <c r="K24" s="168">
        <f t="shared" ref="K24:K31" si="3">P54</f>
        <v>0.57999999999999996</v>
      </c>
      <c r="L24" s="180"/>
      <c r="M24" s="246" t="s">
        <v>280</v>
      </c>
      <c r="N24" s="174">
        <f t="shared" ref="N24:N27" si="4">P77</f>
        <v>0</v>
      </c>
      <c r="P24" s="191"/>
    </row>
    <row r="25" spans="2:16" hidden="1" x14ac:dyDescent="0.25">
      <c r="B25" s="63" t="s">
        <v>126</v>
      </c>
      <c r="C25" s="6">
        <v>4.6500000000000004</v>
      </c>
      <c r="D25" s="6">
        <v>5.6</v>
      </c>
      <c r="E25" s="6">
        <v>16</v>
      </c>
      <c r="F25" s="6">
        <v>6</v>
      </c>
      <c r="G25" s="6">
        <v>400</v>
      </c>
      <c r="H25" s="7" t="s">
        <v>41</v>
      </c>
      <c r="I25" s="6"/>
      <c r="J25" s="182" t="s">
        <v>307</v>
      </c>
      <c r="K25" s="168">
        <f t="shared" si="3"/>
        <v>47</v>
      </c>
      <c r="L25" s="180"/>
      <c r="M25" s="246" t="s">
        <v>98</v>
      </c>
      <c r="N25" s="175">
        <f t="shared" si="4"/>
        <v>0</v>
      </c>
      <c r="P25" s="191"/>
    </row>
    <row r="26" spans="2:16" ht="15.75" hidden="1" thickBot="1" x14ac:dyDescent="0.3">
      <c r="B26" s="63" t="s">
        <v>127</v>
      </c>
      <c r="C26" s="6">
        <v>4.6500000000000004</v>
      </c>
      <c r="D26" s="6">
        <v>5.6</v>
      </c>
      <c r="E26" s="6">
        <v>16</v>
      </c>
      <c r="F26" s="6">
        <v>6</v>
      </c>
      <c r="G26" s="6">
        <v>500</v>
      </c>
      <c r="H26" s="7" t="s">
        <v>41</v>
      </c>
      <c r="I26" s="6"/>
      <c r="J26" s="246" t="s">
        <v>4</v>
      </c>
      <c r="K26" s="168" t="str">
        <f t="shared" si="3"/>
        <v>Franja de losa</v>
      </c>
      <c r="L26" s="180"/>
      <c r="M26" s="247" t="s">
        <v>280</v>
      </c>
      <c r="N26" s="169">
        <f t="shared" si="4"/>
        <v>0</v>
      </c>
      <c r="P26" s="191"/>
    </row>
    <row r="27" spans="2:16" ht="16.5" hidden="1" thickBot="1" x14ac:dyDescent="0.3">
      <c r="B27" s="63" t="s">
        <v>128</v>
      </c>
      <c r="C27" s="6">
        <v>6.05</v>
      </c>
      <c r="D27" s="6">
        <v>9.49</v>
      </c>
      <c r="E27" s="6">
        <v>16</v>
      </c>
      <c r="F27" s="6">
        <v>6</v>
      </c>
      <c r="G27" s="6">
        <v>500</v>
      </c>
      <c r="H27" s="7" t="s">
        <v>41</v>
      </c>
      <c r="I27" s="6"/>
      <c r="J27" s="246" t="s">
        <v>5</v>
      </c>
      <c r="K27" s="168" t="str">
        <f t="shared" si="3"/>
        <v>Franja de losa</v>
      </c>
      <c r="L27" s="180"/>
      <c r="M27" s="184" t="s">
        <v>101</v>
      </c>
      <c r="N27" s="176" t="str">
        <f t="shared" si="4"/>
        <v>$\phi8@17$</v>
      </c>
      <c r="P27" s="191"/>
    </row>
    <row r="28" spans="2:16" ht="15.75" hidden="1" x14ac:dyDescent="0.25">
      <c r="B28" s="63" t="s">
        <v>129</v>
      </c>
      <c r="C28" s="6">
        <v>2</v>
      </c>
      <c r="D28" s="6">
        <v>2.8250000000000002</v>
      </c>
      <c r="E28" s="6">
        <v>16</v>
      </c>
      <c r="F28" s="6">
        <v>4</v>
      </c>
      <c r="G28" s="6">
        <v>400</v>
      </c>
      <c r="H28" s="7" t="s">
        <v>41</v>
      </c>
      <c r="I28" s="6"/>
      <c r="J28" s="246" t="s">
        <v>6</v>
      </c>
      <c r="K28" s="168" t="str">
        <f t="shared" si="3"/>
        <v>Franja de losa</v>
      </c>
      <c r="L28" s="180"/>
      <c r="M28" s="189"/>
      <c r="N28" s="190"/>
      <c r="P28" s="191"/>
    </row>
    <row r="29" spans="2:16" hidden="1" x14ac:dyDescent="0.25">
      <c r="B29" s="63" t="s">
        <v>130</v>
      </c>
      <c r="C29" s="6">
        <v>1.4</v>
      </c>
      <c r="D29" s="6">
        <v>9.1999999999999993</v>
      </c>
      <c r="E29" s="6">
        <v>16</v>
      </c>
      <c r="F29" s="6">
        <v>6</v>
      </c>
      <c r="G29" s="6">
        <v>400</v>
      </c>
      <c r="H29" s="7" t="s">
        <v>41</v>
      </c>
      <c r="I29" s="6"/>
      <c r="J29" s="246" t="s">
        <v>7</v>
      </c>
      <c r="K29" s="168" t="str">
        <f t="shared" si="3"/>
        <v>Franja de losa</v>
      </c>
      <c r="L29" s="180"/>
      <c r="M29" s="246" t="s">
        <v>295</v>
      </c>
      <c r="N29" s="171">
        <f>P81</f>
        <v>227.0333333333333</v>
      </c>
      <c r="P29" s="191"/>
    </row>
    <row r="30" spans="2:16" hidden="1" x14ac:dyDescent="0.25">
      <c r="B30" s="63" t="s">
        <v>131</v>
      </c>
      <c r="C30" s="6">
        <v>2.9</v>
      </c>
      <c r="D30" s="6">
        <v>6.36</v>
      </c>
      <c r="E30" s="6">
        <v>16</v>
      </c>
      <c r="F30" s="6">
        <v>6</v>
      </c>
      <c r="G30" s="6">
        <v>400</v>
      </c>
      <c r="H30" s="7" t="s">
        <v>41</v>
      </c>
      <c r="I30" s="6"/>
      <c r="J30" s="182" t="s">
        <v>304</v>
      </c>
      <c r="K30" s="168" t="str">
        <f t="shared" si="3"/>
        <v>Franja de losa</v>
      </c>
      <c r="L30" s="180"/>
      <c r="M30" s="246" t="s">
        <v>280</v>
      </c>
      <c r="N30" s="174">
        <f t="shared" ref="N30:N33" si="5">P82</f>
        <v>0.46777047036652414</v>
      </c>
      <c r="P30" s="179"/>
    </row>
    <row r="31" spans="2:16" hidden="1" x14ac:dyDescent="0.25">
      <c r="B31" s="63" t="s">
        <v>132</v>
      </c>
      <c r="C31" s="6">
        <v>5</v>
      </c>
      <c r="D31" s="6">
        <v>5.0199999999999996</v>
      </c>
      <c r="E31" s="6">
        <v>16</v>
      </c>
      <c r="F31" s="6">
        <v>6</v>
      </c>
      <c r="G31" s="6">
        <v>200</v>
      </c>
      <c r="H31" s="7" t="s">
        <v>41</v>
      </c>
      <c r="I31" s="6"/>
      <c r="J31" s="246" t="s">
        <v>305</v>
      </c>
      <c r="K31" s="168" t="str">
        <f t="shared" si="3"/>
        <v>Franja de losa</v>
      </c>
      <c r="L31" s="180"/>
      <c r="M31" s="246" t="s">
        <v>98</v>
      </c>
      <c r="N31" s="175">
        <f t="shared" si="5"/>
        <v>6.5976523749175274E-3</v>
      </c>
      <c r="P31" s="191"/>
    </row>
    <row r="32" spans="2:16" ht="15.75" hidden="1" thickBot="1" x14ac:dyDescent="0.3">
      <c r="B32" s="63" t="s">
        <v>133</v>
      </c>
      <c r="C32" s="6">
        <v>5.82</v>
      </c>
      <c r="D32" s="6">
        <v>6.49</v>
      </c>
      <c r="E32" s="6">
        <v>16</v>
      </c>
      <c r="F32" s="6">
        <v>6</v>
      </c>
      <c r="G32" s="6">
        <v>200</v>
      </c>
      <c r="H32" s="7" t="s">
        <v>41</v>
      </c>
      <c r="I32" s="6"/>
      <c r="J32" s="246"/>
      <c r="K32" s="168"/>
      <c r="L32" s="180"/>
      <c r="M32" s="247" t="s">
        <v>280</v>
      </c>
      <c r="N32" s="169">
        <f t="shared" si="5"/>
        <v>0.43</v>
      </c>
      <c r="P32" s="191"/>
    </row>
    <row r="33" spans="2:23" ht="16.5" hidden="1" thickBot="1" x14ac:dyDescent="0.3">
      <c r="B33" s="63" t="s">
        <v>134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7" t="s">
        <v>41</v>
      </c>
      <c r="I33" s="6"/>
      <c r="J33" s="277" t="s">
        <v>87</v>
      </c>
      <c r="K33" s="277"/>
      <c r="L33" s="180"/>
      <c r="M33" s="184" t="s">
        <v>105</v>
      </c>
      <c r="N33" s="176" t="str">
        <f t="shared" si="5"/>
        <v>$\phi8@17$</v>
      </c>
      <c r="P33" s="191"/>
    </row>
    <row r="34" spans="2:23" ht="15.75" hidden="1" x14ac:dyDescent="0.25">
      <c r="B34" s="63" t="s">
        <v>135</v>
      </c>
      <c r="C34" s="6">
        <v>2.1</v>
      </c>
      <c r="D34" s="6">
        <v>4.04</v>
      </c>
      <c r="E34" s="6">
        <v>16</v>
      </c>
      <c r="F34" s="6" t="s">
        <v>10</v>
      </c>
      <c r="G34" s="6">
        <v>400</v>
      </c>
      <c r="H34" s="7" t="s">
        <v>41</v>
      </c>
      <c r="I34" s="6"/>
      <c r="J34" s="181" t="s">
        <v>298</v>
      </c>
      <c r="K34" s="170">
        <f>P64</f>
        <v>400</v>
      </c>
      <c r="L34" s="180"/>
      <c r="M34" s="189"/>
      <c r="N34" s="190"/>
      <c r="P34" s="191"/>
    </row>
    <row r="35" spans="2:23" hidden="1" x14ac:dyDescent="0.25">
      <c r="B35" s="63" t="s">
        <v>136</v>
      </c>
      <c r="C35" s="6">
        <v>2.3199999999999998</v>
      </c>
      <c r="D35" s="6">
        <v>4.3</v>
      </c>
      <c r="E35" s="6">
        <v>16</v>
      </c>
      <c r="F35" s="6">
        <v>6</v>
      </c>
      <c r="G35" s="6">
        <v>400</v>
      </c>
      <c r="H35" s="7" t="s">
        <v>41</v>
      </c>
      <c r="I35" s="6"/>
      <c r="J35" s="246" t="s">
        <v>300</v>
      </c>
      <c r="K35" s="168">
        <f t="shared" ref="K35:K39" si="6">P65</f>
        <v>400</v>
      </c>
      <c r="L35" s="180"/>
      <c r="M35" s="246" t="s">
        <v>296</v>
      </c>
      <c r="N35" s="171">
        <f>P86</f>
        <v>155.67999999999998</v>
      </c>
      <c r="P35" s="191"/>
    </row>
    <row r="36" spans="2:23" ht="15.75" hidden="1" thickBot="1" x14ac:dyDescent="0.3">
      <c r="B36" s="66" t="s">
        <v>138</v>
      </c>
      <c r="C36" s="9">
        <v>1.6</v>
      </c>
      <c r="D36" s="9">
        <v>6.05</v>
      </c>
      <c r="E36" s="9">
        <v>16</v>
      </c>
      <c r="F36" s="106">
        <v>6</v>
      </c>
      <c r="G36" s="9">
        <v>400</v>
      </c>
      <c r="H36" s="10" t="s">
        <v>41</v>
      </c>
      <c r="I36" s="6"/>
      <c r="J36" s="246" t="s">
        <v>301</v>
      </c>
      <c r="K36" s="168">
        <f t="shared" si="6"/>
        <v>625</v>
      </c>
      <c r="L36" s="180"/>
      <c r="M36" s="246" t="s">
        <v>280</v>
      </c>
      <c r="N36" s="174">
        <f t="shared" ref="N36:N39" si="7">P87</f>
        <v>0.32075689396561657</v>
      </c>
      <c r="P36" s="191"/>
      <c r="Q36" s="6"/>
    </row>
    <row r="37" spans="2:23" hidden="1" x14ac:dyDescent="0.25">
      <c r="B37" s="64"/>
      <c r="C37" s="6"/>
      <c r="D37" s="6"/>
      <c r="E37" s="6"/>
      <c r="F37" s="109"/>
      <c r="G37" s="6"/>
      <c r="H37" s="6"/>
      <c r="I37" s="6"/>
      <c r="J37" s="246" t="s">
        <v>302</v>
      </c>
      <c r="K37" s="168">
        <f t="shared" si="6"/>
        <v>1390</v>
      </c>
      <c r="L37" s="180"/>
      <c r="M37" s="246" t="s">
        <v>98</v>
      </c>
      <c r="N37" s="175">
        <f t="shared" si="7"/>
        <v>4.5241044856577329E-3</v>
      </c>
      <c r="P37" s="179"/>
      <c r="Q37" s="6"/>
    </row>
    <row r="38" spans="2:23" ht="15.75" hidden="1" thickBot="1" x14ac:dyDescent="0.3">
      <c r="B38" s="64"/>
      <c r="C38" s="6"/>
      <c r="D38" s="6"/>
      <c r="E38" s="6"/>
      <c r="F38" s="109"/>
      <c r="G38" s="6"/>
      <c r="H38" s="6"/>
      <c r="I38" s="6"/>
      <c r="J38" s="186" t="s">
        <v>297</v>
      </c>
      <c r="K38" s="171">
        <f t="shared" si="6"/>
        <v>17903.199999999997</v>
      </c>
      <c r="L38" s="178"/>
      <c r="M38" s="247" t="s">
        <v>280</v>
      </c>
      <c r="N38" s="168">
        <f t="shared" si="7"/>
        <v>0.29000000000000004</v>
      </c>
      <c r="P38" s="171"/>
      <c r="Q38" s="6"/>
    </row>
    <row r="39" spans="2:23" ht="16.5" hidden="1" thickBot="1" x14ac:dyDescent="0.3">
      <c r="B39" s="64"/>
      <c r="C39" s="6"/>
      <c r="D39" s="6"/>
      <c r="E39" s="6"/>
      <c r="F39" s="109"/>
      <c r="G39" s="6"/>
      <c r="H39" s="6"/>
      <c r="I39" s="6"/>
      <c r="J39" s="187" t="s">
        <v>303</v>
      </c>
      <c r="K39" s="172">
        <f t="shared" si="6"/>
        <v>0.14388489208633093</v>
      </c>
      <c r="L39" s="156"/>
      <c r="M39" s="184" t="s">
        <v>106</v>
      </c>
      <c r="N39" s="176" t="str">
        <f t="shared" si="7"/>
        <v>$\phi8@17$</v>
      </c>
      <c r="P39" s="174"/>
      <c r="Q39" s="6"/>
    </row>
    <row r="40" spans="2:23" hidden="1" x14ac:dyDescent="0.25">
      <c r="B40" s="64"/>
      <c r="C40" s="6"/>
      <c r="D40" s="6"/>
      <c r="E40" s="6"/>
      <c r="F40" s="109"/>
      <c r="G40" s="6"/>
      <c r="H40" s="6"/>
      <c r="I40" s="6"/>
      <c r="J40" s="64"/>
      <c r="K40" s="6"/>
      <c r="L40" s="6"/>
      <c r="M40" s="6"/>
      <c r="N40" s="109"/>
      <c r="O40" s="6"/>
      <c r="P40" s="127"/>
      <c r="Q40" s="6"/>
    </row>
    <row r="41" spans="2:23" hidden="1" x14ac:dyDescent="0.25">
      <c r="B41" s="64"/>
      <c r="C41" s="6"/>
      <c r="D41" s="6"/>
      <c r="E41" s="6"/>
      <c r="F41" s="109"/>
      <c r="G41" s="6"/>
      <c r="H41" s="6"/>
      <c r="I41" s="6"/>
      <c r="J41" s="64"/>
      <c r="K41" s="6"/>
      <c r="L41" s="6"/>
      <c r="M41" s="6"/>
      <c r="N41" s="109"/>
      <c r="O41" s="6"/>
      <c r="P41" s="128"/>
      <c r="Q41" s="6"/>
      <c r="T41" s="40"/>
      <c r="U41" s="41"/>
    </row>
    <row r="42" spans="2:23" hidden="1" x14ac:dyDescent="0.25">
      <c r="B42" s="64"/>
      <c r="C42" s="6"/>
      <c r="D42" s="6"/>
      <c r="E42" s="6"/>
      <c r="F42" s="109"/>
      <c r="G42" s="6"/>
      <c r="H42" s="6"/>
      <c r="I42" s="6"/>
      <c r="J42" s="64"/>
      <c r="K42" s="6"/>
      <c r="L42" s="6"/>
      <c r="M42" s="6"/>
      <c r="N42" s="109"/>
      <c r="O42" s="6"/>
      <c r="P42" s="6"/>
      <c r="Q42" s="6"/>
      <c r="T42" s="40"/>
      <c r="U42" s="41"/>
    </row>
    <row r="43" spans="2:23" hidden="1" x14ac:dyDescent="0.25">
      <c r="B43" s="64"/>
      <c r="C43" s="6"/>
      <c r="D43" s="6"/>
      <c r="E43" s="6"/>
      <c r="F43" s="109"/>
      <c r="G43" s="6"/>
      <c r="H43" s="6"/>
      <c r="I43" s="6"/>
      <c r="J43" s="64"/>
      <c r="K43" s="6"/>
      <c r="L43" s="6"/>
      <c r="M43" s="6"/>
      <c r="N43" s="109"/>
      <c r="O43" s="6"/>
      <c r="P43" s="6"/>
      <c r="Q43" s="6"/>
      <c r="T43" s="40"/>
      <c r="U43" s="41"/>
    </row>
    <row r="44" spans="2:23" hidden="1" x14ac:dyDescent="0.25">
      <c r="B44" s="64"/>
      <c r="C44" s="6"/>
      <c r="D44" s="6"/>
      <c r="E44" s="6"/>
      <c r="F44" s="109"/>
      <c r="G44" s="6"/>
      <c r="H44" s="6"/>
      <c r="I44" s="6"/>
      <c r="J44" s="64"/>
      <c r="K44" s="6"/>
      <c r="L44" s="6"/>
      <c r="M44" s="6"/>
      <c r="N44" s="109"/>
      <c r="O44" s="6"/>
      <c r="P44" s="6"/>
      <c r="Q44" s="6"/>
      <c r="T44" s="40"/>
      <c r="U44" s="41"/>
    </row>
    <row r="45" spans="2:23" ht="15.75" thickBot="1" x14ac:dyDescent="0.3">
      <c r="B45" s="51"/>
      <c r="C45" s="62"/>
      <c r="P45" s="40"/>
      <c r="T45" s="40"/>
      <c r="U45" s="41"/>
    </row>
    <row r="46" spans="2:23" ht="15.75" thickBot="1" x14ac:dyDescent="0.3">
      <c r="B46" s="73" t="s">
        <v>43</v>
      </c>
      <c r="C46" s="74" t="s">
        <v>117</v>
      </c>
      <c r="D46" s="74" t="s">
        <v>118</v>
      </c>
      <c r="E46" s="74" t="s">
        <v>119</v>
      </c>
      <c r="F46" s="74" t="s">
        <v>120</v>
      </c>
      <c r="G46" s="74" t="s">
        <v>121</v>
      </c>
      <c r="H46" s="74" t="s">
        <v>122</v>
      </c>
      <c r="I46" s="74" t="s">
        <v>123</v>
      </c>
      <c r="J46" s="74" t="s">
        <v>124</v>
      </c>
      <c r="K46" s="74" t="s">
        <v>125</v>
      </c>
      <c r="L46" s="74" t="s">
        <v>126</v>
      </c>
      <c r="M46" s="74" t="s">
        <v>127</v>
      </c>
      <c r="N46" s="74" t="s">
        <v>128</v>
      </c>
      <c r="O46" s="74" t="s">
        <v>129</v>
      </c>
      <c r="P46" s="74" t="s">
        <v>130</v>
      </c>
      <c r="Q46" s="74" t="s">
        <v>131</v>
      </c>
      <c r="R46" s="74" t="s">
        <v>132</v>
      </c>
      <c r="S46" s="74" t="s">
        <v>133</v>
      </c>
      <c r="T46" s="74" t="s">
        <v>134</v>
      </c>
      <c r="U46" s="74" t="s">
        <v>135</v>
      </c>
      <c r="V46" s="74" t="s">
        <v>136</v>
      </c>
      <c r="W46" s="74" t="s">
        <v>138</v>
      </c>
    </row>
    <row r="47" spans="2:23" ht="15.75" thickBot="1" x14ac:dyDescent="0.3">
      <c r="B47" s="71" t="s">
        <v>95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72"/>
    </row>
    <row r="48" spans="2:23" x14ac:dyDescent="0.25">
      <c r="B48" s="94" t="s">
        <v>81</v>
      </c>
      <c r="C48" s="76">
        <f t="shared" ref="C48:V48" si="8">VLOOKUP(C$46,$B$16:$H$35,2)</f>
        <v>5</v>
      </c>
      <c r="D48" s="77">
        <f t="shared" si="8"/>
        <v>5</v>
      </c>
      <c r="E48" s="77">
        <f t="shared" si="8"/>
        <v>5</v>
      </c>
      <c r="F48" s="77">
        <f t="shared" si="8"/>
        <v>5</v>
      </c>
      <c r="G48" s="77">
        <f t="shared" si="8"/>
        <v>4.93</v>
      </c>
      <c r="H48" s="77">
        <f t="shared" si="8"/>
        <v>5.54</v>
      </c>
      <c r="I48" s="77">
        <f t="shared" si="8"/>
        <v>5.54</v>
      </c>
      <c r="J48" s="77">
        <f t="shared" si="8"/>
        <v>5.54</v>
      </c>
      <c r="K48" s="77">
        <f t="shared" si="8"/>
        <v>4.45</v>
      </c>
      <c r="L48" s="77">
        <f t="shared" si="8"/>
        <v>4.6500000000000004</v>
      </c>
      <c r="M48" s="77">
        <f t="shared" si="8"/>
        <v>4.6500000000000004</v>
      </c>
      <c r="N48" s="77">
        <f t="shared" si="8"/>
        <v>6.05</v>
      </c>
      <c r="O48" s="77">
        <f t="shared" si="8"/>
        <v>2</v>
      </c>
      <c r="P48" s="77">
        <f t="shared" si="8"/>
        <v>1.4</v>
      </c>
      <c r="Q48" s="77">
        <f t="shared" si="8"/>
        <v>2.9</v>
      </c>
      <c r="R48" s="77">
        <f t="shared" si="8"/>
        <v>5</v>
      </c>
      <c r="S48" s="77">
        <f t="shared" si="8"/>
        <v>5.82</v>
      </c>
      <c r="T48" s="77">
        <f t="shared" si="8"/>
        <v>1.34</v>
      </c>
      <c r="U48" s="77">
        <f t="shared" si="8"/>
        <v>2.1</v>
      </c>
      <c r="V48" s="77">
        <f t="shared" si="8"/>
        <v>2.3199999999999998</v>
      </c>
      <c r="W48" s="77">
        <f>VLOOKUP(W$46,$B$16:$H$36,2,TRUE)</f>
        <v>1.6</v>
      </c>
    </row>
    <row r="49" spans="2:33" x14ac:dyDescent="0.25">
      <c r="B49" s="94" t="s">
        <v>82</v>
      </c>
      <c r="C49" s="76">
        <f t="shared" ref="C49:V49" si="9">VLOOKUP(C$46,$B$16:$H$35,3)</f>
        <v>5.33</v>
      </c>
      <c r="D49" s="77">
        <f t="shared" si="9"/>
        <v>7.2</v>
      </c>
      <c r="E49" s="77">
        <f t="shared" si="9"/>
        <v>7.2</v>
      </c>
      <c r="F49" s="77">
        <f t="shared" si="9"/>
        <v>7.89</v>
      </c>
      <c r="G49" s="77">
        <f t="shared" si="9"/>
        <v>5.33</v>
      </c>
      <c r="H49" s="77">
        <f t="shared" si="9"/>
        <v>7.2</v>
      </c>
      <c r="I49" s="77">
        <f t="shared" si="9"/>
        <v>7.2</v>
      </c>
      <c r="J49" s="77">
        <f t="shared" si="9"/>
        <v>7.89</v>
      </c>
      <c r="K49" s="77">
        <f t="shared" si="9"/>
        <v>5.54</v>
      </c>
      <c r="L49" s="77">
        <f t="shared" si="9"/>
        <v>5.6</v>
      </c>
      <c r="M49" s="77">
        <f t="shared" si="9"/>
        <v>5.6</v>
      </c>
      <c r="N49" s="77">
        <f t="shared" si="9"/>
        <v>9.49</v>
      </c>
      <c r="O49" s="77">
        <f t="shared" si="9"/>
        <v>2.8250000000000002</v>
      </c>
      <c r="P49" s="77">
        <f t="shared" si="9"/>
        <v>9.1999999999999993</v>
      </c>
      <c r="Q49" s="77">
        <f t="shared" si="9"/>
        <v>6.36</v>
      </c>
      <c r="R49" s="77">
        <f t="shared" si="9"/>
        <v>5.0199999999999996</v>
      </c>
      <c r="S49" s="77">
        <f t="shared" si="9"/>
        <v>6.49</v>
      </c>
      <c r="T49" s="77">
        <f t="shared" si="9"/>
        <v>7.01</v>
      </c>
      <c r="U49" s="77">
        <f t="shared" si="9"/>
        <v>4.04</v>
      </c>
      <c r="V49" s="77">
        <f t="shared" si="9"/>
        <v>4.3</v>
      </c>
      <c r="W49" s="77">
        <f>VLOOKUP(W$46,$B$16:$H$36,3)</f>
        <v>6.05</v>
      </c>
    </row>
    <row r="50" spans="2:33" x14ac:dyDescent="0.25">
      <c r="B50" s="97" t="s">
        <v>86</v>
      </c>
      <c r="C50" s="76">
        <f t="shared" ref="C50:W50" si="10">ROUNDUP((C54*C48*100)/C55+$C$5,0)</f>
        <v>11</v>
      </c>
      <c r="D50" s="77">
        <f t="shared" si="10"/>
        <v>11</v>
      </c>
      <c r="E50" s="77">
        <f t="shared" si="10"/>
        <v>11</v>
      </c>
      <c r="F50" s="77">
        <f t="shared" si="10"/>
        <v>10</v>
      </c>
      <c r="G50" s="77">
        <f t="shared" si="10"/>
        <v>12</v>
      </c>
      <c r="H50" s="77">
        <f t="shared" si="10"/>
        <v>10</v>
      </c>
      <c r="I50" s="77">
        <f t="shared" si="10"/>
        <v>10</v>
      </c>
      <c r="J50" s="77">
        <f t="shared" si="10"/>
        <v>10</v>
      </c>
      <c r="K50" s="77">
        <f t="shared" si="10"/>
        <v>10</v>
      </c>
      <c r="L50" s="77">
        <f t="shared" si="10"/>
        <v>9</v>
      </c>
      <c r="M50" s="77">
        <f t="shared" si="10"/>
        <v>8</v>
      </c>
      <c r="N50" s="77">
        <f t="shared" si="10"/>
        <v>10</v>
      </c>
      <c r="O50" s="77">
        <f t="shared" si="10"/>
        <v>6</v>
      </c>
      <c r="P50" s="77">
        <f t="shared" si="10"/>
        <v>4</v>
      </c>
      <c r="Q50" s="77">
        <f t="shared" si="10"/>
        <v>6</v>
      </c>
      <c r="R50" s="77">
        <f t="shared" si="10"/>
        <v>8</v>
      </c>
      <c r="S50" s="77">
        <f t="shared" si="10"/>
        <v>9</v>
      </c>
      <c r="T50" s="77">
        <f t="shared" si="10"/>
        <v>5</v>
      </c>
      <c r="U50" s="77">
        <f t="shared" si="10"/>
        <v>6</v>
      </c>
      <c r="V50" s="77">
        <f t="shared" si="10"/>
        <v>5</v>
      </c>
      <c r="W50" s="77">
        <f t="shared" si="10"/>
        <v>4</v>
      </c>
    </row>
    <row r="51" spans="2:33" ht="15.75" thickBot="1" x14ac:dyDescent="0.3">
      <c r="B51" s="98" t="s">
        <v>0</v>
      </c>
      <c r="C51" s="78" t="str">
        <f>VLOOKUP($C$46,$B$16:$H$35,5)</f>
        <v>5a</v>
      </c>
      <c r="D51" s="79">
        <f t="shared" ref="D51:V51" si="11">VLOOKUP(D$46,$B$16:$H$35,5,TRUE)</f>
        <v>6</v>
      </c>
      <c r="E51" s="79">
        <f t="shared" si="11"/>
        <v>6</v>
      </c>
      <c r="F51" s="79">
        <f t="shared" si="11"/>
        <v>6</v>
      </c>
      <c r="G51" s="79">
        <f t="shared" si="11"/>
        <v>4</v>
      </c>
      <c r="H51" s="79">
        <f t="shared" si="11"/>
        <v>6</v>
      </c>
      <c r="I51" s="79">
        <f t="shared" si="11"/>
        <v>6</v>
      </c>
      <c r="J51" s="79">
        <f t="shared" si="11"/>
        <v>6</v>
      </c>
      <c r="K51" s="79" t="str">
        <f t="shared" si="11"/>
        <v>5b</v>
      </c>
      <c r="L51" s="79">
        <f t="shared" si="11"/>
        <v>6</v>
      </c>
      <c r="M51" s="79">
        <f t="shared" si="11"/>
        <v>6</v>
      </c>
      <c r="N51" s="79">
        <f t="shared" si="11"/>
        <v>6</v>
      </c>
      <c r="O51" s="79">
        <f t="shared" si="11"/>
        <v>4</v>
      </c>
      <c r="P51" s="79">
        <f t="shared" si="11"/>
        <v>6</v>
      </c>
      <c r="Q51" s="79">
        <f t="shared" si="11"/>
        <v>6</v>
      </c>
      <c r="R51" s="79">
        <f t="shared" si="11"/>
        <v>6</v>
      </c>
      <c r="S51" s="79">
        <f t="shared" si="11"/>
        <v>6</v>
      </c>
      <c r="T51" s="79" t="str">
        <f t="shared" si="11"/>
        <v>2a</v>
      </c>
      <c r="U51" s="79" t="str">
        <f t="shared" si="11"/>
        <v>5b</v>
      </c>
      <c r="V51" s="79">
        <f t="shared" si="11"/>
        <v>6</v>
      </c>
      <c r="W51" s="79">
        <f>VLOOKUP(W$46,$B$16:$H$36,5,TRUE)</f>
        <v>6</v>
      </c>
      <c r="X51" s="39"/>
      <c r="Y51" s="39"/>
      <c r="Z51" s="39"/>
      <c r="AA51" s="39"/>
      <c r="AB51" s="39"/>
      <c r="AC51" s="39"/>
      <c r="AD51" s="39"/>
      <c r="AE51" s="39"/>
      <c r="AF51" s="39"/>
      <c r="AG51" s="39"/>
    </row>
    <row r="52" spans="2:33" ht="15.75" thickBot="1" x14ac:dyDescent="0.3">
      <c r="B52" s="71" t="s">
        <v>94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72"/>
      <c r="X52" s="39"/>
      <c r="Y52" s="39"/>
      <c r="Z52" s="39"/>
      <c r="AA52" s="39"/>
      <c r="AB52" s="39"/>
      <c r="AC52" s="39"/>
      <c r="AD52" s="39"/>
      <c r="AE52" s="39"/>
      <c r="AF52" s="39"/>
      <c r="AG52" s="39"/>
    </row>
    <row r="53" spans="2:33" x14ac:dyDescent="0.25">
      <c r="B53" s="97" t="s">
        <v>84</v>
      </c>
      <c r="C53" s="80">
        <f>ROUNDUP(C49/C48,1)</f>
        <v>1.1000000000000001</v>
      </c>
      <c r="D53" s="81">
        <f>ROUNDUP(D49/D48,1)</f>
        <v>1.5</v>
      </c>
      <c r="E53" s="81">
        <f t="shared" ref="E53:V53" si="12">ROUNDUP(E49/E48,1)</f>
        <v>1.5</v>
      </c>
      <c r="F53" s="81">
        <f t="shared" si="12"/>
        <v>1.6</v>
      </c>
      <c r="G53" s="81">
        <f t="shared" si="12"/>
        <v>1.1000000000000001</v>
      </c>
      <c r="H53" s="81">
        <f t="shared" si="12"/>
        <v>1.3</v>
      </c>
      <c r="I53" s="81">
        <f t="shared" si="12"/>
        <v>1.3</v>
      </c>
      <c r="J53" s="81">
        <f t="shared" si="12"/>
        <v>1.5</v>
      </c>
      <c r="K53" s="81">
        <f t="shared" si="12"/>
        <v>1.3</v>
      </c>
      <c r="L53" s="81">
        <f t="shared" si="12"/>
        <v>1.3</v>
      </c>
      <c r="M53" s="81">
        <f t="shared" si="12"/>
        <v>1.3</v>
      </c>
      <c r="N53" s="81">
        <f t="shared" si="12"/>
        <v>1.6</v>
      </c>
      <c r="O53" s="81">
        <f t="shared" si="12"/>
        <v>1.5</v>
      </c>
      <c r="P53" s="81">
        <f t="shared" si="12"/>
        <v>6.6</v>
      </c>
      <c r="Q53" s="81">
        <f t="shared" si="12"/>
        <v>2.2000000000000002</v>
      </c>
      <c r="R53" s="81">
        <f t="shared" si="12"/>
        <v>1.1000000000000001</v>
      </c>
      <c r="S53" s="81">
        <f t="shared" si="12"/>
        <v>1.2000000000000002</v>
      </c>
      <c r="T53" s="81">
        <f t="shared" si="12"/>
        <v>5.3</v>
      </c>
      <c r="U53" s="81">
        <f t="shared" si="12"/>
        <v>2</v>
      </c>
      <c r="V53" s="81">
        <f t="shared" si="12"/>
        <v>1.9000000000000001</v>
      </c>
      <c r="W53" s="81">
        <f>ROUNDUP(W49/W48,1)</f>
        <v>3.8000000000000003</v>
      </c>
      <c r="X53" s="39"/>
      <c r="Y53" s="39"/>
      <c r="Z53" s="39"/>
      <c r="AA53" s="39"/>
      <c r="AB53" s="39"/>
      <c r="AC53" s="39"/>
      <c r="AD53" s="39"/>
      <c r="AE53" s="39"/>
      <c r="AF53" s="39"/>
      <c r="AG53" s="39"/>
    </row>
    <row r="54" spans="2:33" x14ac:dyDescent="0.25">
      <c r="B54" s="97" t="s">
        <v>337</v>
      </c>
      <c r="C54" s="76">
        <f>IF(C53&gt;1.5,VLOOKUP(C51&amp;1.5,tablas!$M$3:$P$56,4,FALSE),VLOOKUP(C51&amp;C53,tablas!$M$3:$P$56,4,FALSE))</f>
        <v>0.57999999999999996</v>
      </c>
      <c r="D54" s="194">
        <f>IF(D53&gt;1.5,VLOOKUP(D51&amp;1.5,tablas!$M$3:$P$56,4,FALSE),VLOOKUP(D51&amp;D53,tablas!$M$3:$P$56,4,FALSE))</f>
        <v>0.57999999999999996</v>
      </c>
      <c r="E54" s="194">
        <f>IF(E53&gt;1.5,VLOOKUP(E51&amp;1.5,tablas!$M$3:$P$56,4,FALSE),VLOOKUP(E51&amp;E53,tablas!$M$3:$P$56,4,FALSE))</f>
        <v>0.57999999999999996</v>
      </c>
      <c r="F54" s="194">
        <f>IF(F53&gt;1.5,VLOOKUP(F51&amp;1.5,tablas!$M$3:$P$56,4,FALSE),VLOOKUP(F51&amp;F53,tablas!$M$3:$P$56,4,FALSE))</f>
        <v>0.57999999999999996</v>
      </c>
      <c r="G54" s="194">
        <f>IF(G53&gt;1.5,VLOOKUP(G51&amp;1.5,tablas!$M$3:$P$56,4,FALSE),VLOOKUP(G51&amp;G53,tablas!$M$3:$P$56,4,FALSE))</f>
        <v>0.7</v>
      </c>
      <c r="H54" s="194">
        <f>IF(H53&gt;1.5,VLOOKUP(H51&amp;1.5,tablas!$M$3:$P$56,4,FALSE),VLOOKUP(H51&amp;H53,tablas!$M$3:$P$56,4,FALSE))</f>
        <v>0.56000000000000005</v>
      </c>
      <c r="I54" s="194">
        <f>IF(I53&gt;1.5,VLOOKUP(I51&amp;1.5,tablas!$M$3:$P$56,4,FALSE),VLOOKUP(I51&amp;I53,tablas!$M$3:$P$56,4,FALSE))</f>
        <v>0.56000000000000005</v>
      </c>
      <c r="J54" s="194">
        <f>IF(J53&gt;1.5,VLOOKUP(J51&amp;1.5,tablas!$M$3:$P$56,4,FALSE),VLOOKUP(J51&amp;J53,tablas!$M$3:$P$56,4,FALSE))</f>
        <v>0.57999999999999996</v>
      </c>
      <c r="K54" s="194">
        <f>IF(K53&gt;1.5,VLOOKUP(K51&amp;1.5,tablas!$M$3:$P$56,4,FALSE),VLOOKUP(K51&amp;K53,tablas!$M$3:$P$56,4,FALSE))</f>
        <v>0.7</v>
      </c>
      <c r="L54" s="194">
        <f>IF(L53&gt;1.5,VLOOKUP(L51&amp;1.5,tablas!$M$3:$P$56,4,FALSE),VLOOKUP(L51&amp;L53,tablas!$M$3:$P$56,4,FALSE))</f>
        <v>0.56000000000000005</v>
      </c>
      <c r="M54" s="194">
        <f>IF(M53&gt;1.5,VLOOKUP(M51&amp;1.5,tablas!$M$3:$P$56,4,FALSE),VLOOKUP(M51&amp;M53,tablas!$M$3:$P$56,4,FALSE))</f>
        <v>0.56000000000000005</v>
      </c>
      <c r="N54" s="194">
        <f>IF(N53&gt;1.5,VLOOKUP(N51&amp;1.5,tablas!$M$3:$P$56,4,FALSE),VLOOKUP(N51&amp;N53,tablas!$M$3:$P$56,4,FALSE))</f>
        <v>0.57999999999999996</v>
      </c>
      <c r="O54" s="194">
        <f>IF(O53&gt;1.5,VLOOKUP(O51&amp;1.5,tablas!$M$3:$P$56,4,FALSE),VLOOKUP(O51&amp;O53,tablas!$M$3:$P$56,4,FALSE))</f>
        <v>0.76</v>
      </c>
      <c r="P54" s="194">
        <f>IF(P53&gt;1.5,VLOOKUP(P51&amp;1.5,tablas!$M$3:$P$56,4,FALSE),VLOOKUP(P51&amp;P53,tablas!$M$3:$P$56,4,FALSE))</f>
        <v>0.57999999999999996</v>
      </c>
      <c r="Q54" s="194">
        <f>IF(Q53&gt;1.5,VLOOKUP(Q51&amp;1.5,tablas!$M$3:$P$56,4,FALSE),VLOOKUP(Q51&amp;Q53,tablas!$M$3:$P$56,4,FALSE))</f>
        <v>0.57999999999999996</v>
      </c>
      <c r="R54" s="194">
        <f>IF(R53&gt;1.5,VLOOKUP(R51&amp;1.5,tablas!$M$3:$P$56,4,FALSE),VLOOKUP(R51&amp;R53,tablas!$M$3:$P$56,4,FALSE))</f>
        <v>0.55000000000000004</v>
      </c>
      <c r="S54" s="194">
        <f>IF(S53&gt;1.5,VLOOKUP(S51&amp;1.5,tablas!$M$3:$P$56,4,FALSE),VLOOKUP(S51&amp;S53,tablas!$M$3:$P$56,4,FALSE))</f>
        <v>0.56000000000000005</v>
      </c>
      <c r="T54" s="194">
        <f>IF(T53&gt;1.5,VLOOKUP(T51&amp;1.5,tablas!$M$3:$P$56,4,FALSE),VLOOKUP(T51&amp;T53,tablas!$M$3:$P$56,4,FALSE))</f>
        <v>0.8</v>
      </c>
      <c r="U54" s="194">
        <f>IF(U53&gt;1.5,VLOOKUP(U51&amp;1.5,tablas!$M$3:$P$56,4,FALSE),VLOOKUP(U51&amp;U53,tablas!$M$3:$P$56,4,FALSE))</f>
        <v>0.75</v>
      </c>
      <c r="V54" s="194">
        <f>IF(V53&gt;1.5,VLOOKUP(V51&amp;1.5,tablas!$M$3:$P$56,4,FALSE),VLOOKUP(V51&amp;V53,tablas!$M$3:$P$56,4,FALSE))</f>
        <v>0.57999999999999996</v>
      </c>
      <c r="W54" s="194">
        <f>IF(W53&gt;1.5,VLOOKUP(W51&amp;1.5,tablas!$M$3:$P$56,4,FALSE),VLOOKUP(W51&amp;W53,tablas!$M$3:$P$56,4,FALSE))</f>
        <v>0.57999999999999996</v>
      </c>
      <c r="X54" s="193"/>
      <c r="Y54" s="193"/>
      <c r="Z54" s="193"/>
      <c r="AA54" s="193"/>
      <c r="AB54" s="193"/>
      <c r="AC54" s="193"/>
      <c r="AD54" s="193"/>
      <c r="AE54" s="193"/>
      <c r="AF54" s="39"/>
      <c r="AG54" s="39"/>
    </row>
    <row r="55" spans="2:33" x14ac:dyDescent="0.25">
      <c r="B55" s="97" t="s">
        <v>85</v>
      </c>
      <c r="C55" s="76">
        <v>35</v>
      </c>
      <c r="D55" s="77">
        <v>35</v>
      </c>
      <c r="E55" s="77">
        <v>36</v>
      </c>
      <c r="F55" s="77">
        <v>37</v>
      </c>
      <c r="G55" s="77">
        <v>38</v>
      </c>
      <c r="H55" s="77">
        <v>39</v>
      </c>
      <c r="I55" s="77">
        <v>40</v>
      </c>
      <c r="J55" s="77">
        <v>41</v>
      </c>
      <c r="K55" s="77">
        <v>42</v>
      </c>
      <c r="L55" s="77">
        <v>43</v>
      </c>
      <c r="M55" s="77">
        <v>44</v>
      </c>
      <c r="N55" s="77">
        <v>45</v>
      </c>
      <c r="O55" s="77">
        <v>46</v>
      </c>
      <c r="P55" s="77">
        <v>47</v>
      </c>
      <c r="Q55" s="77">
        <v>48</v>
      </c>
      <c r="R55" s="77">
        <v>49</v>
      </c>
      <c r="S55" s="77">
        <v>50</v>
      </c>
      <c r="T55" s="77">
        <v>51</v>
      </c>
      <c r="U55" s="77">
        <v>52</v>
      </c>
      <c r="V55" s="77">
        <v>53</v>
      </c>
      <c r="W55" s="77">
        <v>54</v>
      </c>
      <c r="X55" s="39"/>
      <c r="Y55" s="39"/>
      <c r="Z55" s="39"/>
      <c r="AA55" s="39"/>
      <c r="AB55" s="39"/>
      <c r="AC55" s="39"/>
      <c r="AD55" s="39"/>
      <c r="AE55" s="39"/>
      <c r="AF55" s="39"/>
      <c r="AG55" s="39"/>
    </row>
    <row r="56" spans="2:33" x14ac:dyDescent="0.25">
      <c r="B56" s="97" t="s">
        <v>11</v>
      </c>
      <c r="C56" s="76">
        <f>IF(C53&lt;=2,VLOOKUP(C51&amp;C53,tablas!$B$3:$K$92,4,FALSE),"Franja de losa")</f>
        <v>1</v>
      </c>
      <c r="D56" s="76">
        <f>IF(D53&lt;=2,VLOOKUP(D51&amp;D53,tablas!$B$3:$K$92,4,FALSE),"Franja de losa")</f>
        <v>1</v>
      </c>
      <c r="E56" s="76">
        <f>IF(E53&lt;=2,VLOOKUP(E51&amp;E53,tablas!$B$3:$K$92,4,FALSE),"Franja de losa")</f>
        <v>1</v>
      </c>
      <c r="F56" s="76">
        <f>IF(F53&lt;=2,VLOOKUP(F51&amp;F53,tablas!$B$3:$K$92,4,FALSE),"Franja de losa")</f>
        <v>1</v>
      </c>
      <c r="G56" s="76">
        <f>IF(G53&lt;=2,VLOOKUP(G51&amp;G53,tablas!$B$3:$K$92,4,FALSE),"Franja de losa")</f>
        <v>1.1499999999999999</v>
      </c>
      <c r="H56" s="76">
        <f>IF(H53&lt;=2,VLOOKUP(H51&amp;H53,tablas!$B$3:$K$92,4,FALSE),"Franja de losa")</f>
        <v>1</v>
      </c>
      <c r="I56" s="76">
        <f>IF(I53&lt;=2,VLOOKUP(I51&amp;I53,tablas!$B$3:$K$92,4,FALSE),"Franja de losa")</f>
        <v>1</v>
      </c>
      <c r="J56" s="76">
        <f>IF(J53&lt;=2,VLOOKUP(J51&amp;J53,tablas!$B$3:$K$92,4,FALSE),"Franja de losa")</f>
        <v>1</v>
      </c>
      <c r="K56" s="76">
        <f>IF(K53&lt;=2,VLOOKUP(K51&amp;K53,tablas!$B$3:$K$92,4,FALSE),"Franja de losa")</f>
        <v>1</v>
      </c>
      <c r="L56" s="76">
        <f>IF(L53&lt;=2,VLOOKUP(L51&amp;L53,tablas!$B$3:$K$92,4,FALSE),"Franja de losa")</f>
        <v>1</v>
      </c>
      <c r="M56" s="76">
        <f>IF(M53&lt;=2,VLOOKUP(M51&amp;M53,tablas!$B$3:$K$92,4,FALSE),"Franja de losa")</f>
        <v>1</v>
      </c>
      <c r="N56" s="76">
        <f>IF(N53&lt;=2,VLOOKUP(N51&amp;N53,tablas!$B$3:$K$92,4,FALSE),"Franja de losa")</f>
        <v>1</v>
      </c>
      <c r="O56" s="76">
        <f>IF(O53&lt;=2,VLOOKUP(O51&amp;O53,tablas!$B$3:$K$92,4,FALSE),"Franja de losa")</f>
        <v>1.1100000000000001</v>
      </c>
      <c r="P56" s="76" t="str">
        <f>IF(P53&lt;=2,VLOOKUP(P51&amp;P53,tablas!$B$3:$K$92,4,FALSE),"Franja de losa")</f>
        <v>Franja de losa</v>
      </c>
      <c r="Q56" s="76" t="str">
        <f>IF(Q53&lt;=2,VLOOKUP(Q51&amp;Q53,tablas!$B$3:$K$92,4,FALSE),"Franja de losa")</f>
        <v>Franja de losa</v>
      </c>
      <c r="R56" s="76">
        <f>IF(R53&lt;=2,VLOOKUP(R51&amp;R53,tablas!$B$3:$K$92,4,FALSE),"Franja de losa")</f>
        <v>1</v>
      </c>
      <c r="S56" s="76">
        <f>IF(S53&lt;=2,VLOOKUP(S51&amp;S53,tablas!$B$3:$K$92,4,FALSE),"Franja de losa")</f>
        <v>1</v>
      </c>
      <c r="T56" s="76" t="str">
        <f>IF(T53&lt;=2,VLOOKUP(T51&amp;T53,tablas!$B$3:$K$92,4,FALSE),"Franja de losa")</f>
        <v>Franja de losa</v>
      </c>
      <c r="U56" s="76">
        <f>IF(U53&lt;=2,VLOOKUP(U51&amp;U53,tablas!$B$3:$K$92,4,FALSE),"Franja de losa")</f>
        <v>1</v>
      </c>
      <c r="V56" s="76">
        <f>IF(V53&lt;=2,VLOOKUP(V51&amp;V53-0.1,tablas!$B$3:$K$92,4,FALSE),"Franja de losa")</f>
        <v>1</v>
      </c>
      <c r="W56" s="76" t="str">
        <f>IF(W53&lt;=2,VLOOKUP(W51&amp;W53,tablas!$B$3:$K$92,4,FALSE),"Franja de losa")</f>
        <v>Franja de losa</v>
      </c>
      <c r="X56" s="193"/>
      <c r="Y56" s="193"/>
      <c r="Z56" s="193"/>
      <c r="AA56" s="193"/>
      <c r="AB56" s="193"/>
      <c r="AC56" s="193"/>
      <c r="AD56" s="193"/>
      <c r="AE56" s="193"/>
      <c r="AF56" s="39"/>
      <c r="AG56" s="39"/>
    </row>
    <row r="57" spans="2:33" x14ac:dyDescent="0.25">
      <c r="B57" s="94" t="s">
        <v>4</v>
      </c>
      <c r="C57" s="76">
        <f>IF(C53&lt;=2,VLOOKUP(C51&amp;C53,tablas!$B$3:$K$92,7,FALSE),"Franja de losa")</f>
        <v>41.6</v>
      </c>
      <c r="D57" s="76">
        <f>IF(D53&lt;=2,VLOOKUP(D51&amp;D53,tablas!$B$3:$K$92,7,FALSE),"Franja de losa")</f>
        <v>44.4</v>
      </c>
      <c r="E57" s="76">
        <f>IF(E53&lt;=2,VLOOKUP(E51&amp;E53,tablas!$B$3:$K$92,7,FALSE),"Franja de losa")</f>
        <v>44.4</v>
      </c>
      <c r="F57" s="76">
        <f>IF(F53&lt;=2,VLOOKUP(F51&amp;F53,tablas!$B$3:$K$92,7,FALSE),"Franja de losa")</f>
        <v>46.1</v>
      </c>
      <c r="G57" s="76">
        <f>IF(G53&lt;=2,VLOOKUP(G51&amp;G53,tablas!$B$3:$K$92,7,FALSE),"Franja de losa")</f>
        <v>36.799999999999997</v>
      </c>
      <c r="H57" s="76">
        <f>IF(H53&lt;=2,VLOOKUP(H51&amp;H53,tablas!$B$3:$K$92,7,FALSE),"Franja de losa")</f>
        <v>45.2</v>
      </c>
      <c r="I57" s="76">
        <f>IF(I53&lt;=2,VLOOKUP(I51&amp;I53,tablas!$B$3:$K$92,7,FALSE),"Franja de losa")</f>
        <v>45.2</v>
      </c>
      <c r="J57" s="76">
        <f>IF(J53&lt;=2,VLOOKUP(J51&amp;J53,tablas!$B$3:$K$92,7,FALSE),"Franja de losa")</f>
        <v>44.4</v>
      </c>
      <c r="K57" s="76">
        <f>IF(K53&lt;=2,VLOOKUP(K51&amp;K53,tablas!$B$3:$K$92,7,FALSE),"Franja de losa")</f>
        <v>41.3</v>
      </c>
      <c r="L57" s="76">
        <f>IF(L53&lt;=2,VLOOKUP(L51&amp;L53,tablas!$B$3:$K$92,7,FALSE),"Franja de losa")</f>
        <v>45.2</v>
      </c>
      <c r="M57" s="76">
        <f>IF(M53&lt;=2,VLOOKUP(M51&amp;M53,tablas!$B$3:$K$92,7,FALSE),"Franja de losa")</f>
        <v>45.2</v>
      </c>
      <c r="N57" s="76">
        <f>IF(N53&lt;=2,VLOOKUP(N51&amp;N53,tablas!$B$3:$K$92,7,FALSE),"Franja de losa")</f>
        <v>46.1</v>
      </c>
      <c r="O57" s="76">
        <f>IF(O53&lt;=2,VLOOKUP(O51&amp;O53,tablas!$B$3:$K$92,7,FALSE),"Franja de losa")</f>
        <v>33.299999999999997</v>
      </c>
      <c r="P57" s="76" t="str">
        <f>IF(P53&lt;=2,VLOOKUP(P51&amp;P53,tablas!$B$3:$K$92,7,FALSE),"Franja de losa")</f>
        <v>Franja de losa</v>
      </c>
      <c r="Q57" s="76" t="str">
        <f>IF(Q53&lt;=2,VLOOKUP(Q51&amp;Q53,tablas!$B$3:$K$92,7,FALSE),"Franja de losa")</f>
        <v>Franja de losa</v>
      </c>
      <c r="R57" s="76">
        <f>IF(R53&lt;=2,VLOOKUP(R51&amp;R53,tablas!$B$3:$K$92,7,FALSE),"Franja de losa")</f>
        <v>50.7</v>
      </c>
      <c r="S57" s="76">
        <f>IF(S53&lt;=2,VLOOKUP(S51&amp;S53,tablas!$B$3:$K$92,7,FALSE),"Franja de losa")</f>
        <v>47.2</v>
      </c>
      <c r="T57" s="76" t="str">
        <f>IF(T53&lt;=2,VLOOKUP(T51&amp;T53,tablas!$B$3:$K$92,7,FALSE),"Franja de losa")</f>
        <v>Franja de losa</v>
      </c>
      <c r="U57" s="76">
        <f>IF(U53&lt;=2,VLOOKUP(U51&amp;U53,tablas!$B$3:$K$92,7,FALSE),"Franja de losa")</f>
        <v>37.5</v>
      </c>
      <c r="V57" s="76">
        <f>IF(V53&lt;=2,VLOOKUP(V51&amp;V53-0.1,tablas!$B$3:$K$92,7,FALSE),"Franja de losa")</f>
        <v>48.8</v>
      </c>
      <c r="W57" s="76" t="str">
        <f>IF(W53&lt;=2,VLOOKUP(W51&amp;W53,tablas!$B$3:$K$92,7,FALSE),"Franja de losa")</f>
        <v>Franja de losa</v>
      </c>
      <c r="X57" s="39"/>
      <c r="Y57" s="39"/>
      <c r="Z57" s="39"/>
      <c r="AA57" s="39"/>
      <c r="AB57" s="39"/>
      <c r="AC57" s="39"/>
      <c r="AD57" s="39"/>
      <c r="AE57" s="39"/>
      <c r="AF57" s="39"/>
      <c r="AG57" s="39"/>
    </row>
    <row r="58" spans="2:33" x14ac:dyDescent="0.25">
      <c r="B58" s="94" t="s">
        <v>5</v>
      </c>
      <c r="C58" s="76">
        <f>IF(C53&lt;=2,VLOOKUP(C51&amp;C53,tablas!$B$3:$K$92,8,FALSE),"Franja de losa")</f>
        <v>66.5</v>
      </c>
      <c r="D58" s="76">
        <f>IF(D53&lt;=2,VLOOKUP(D51&amp;D53,tablas!$B$3:$K$92,8,FALSE),"Franja de losa")</f>
        <v>140.5</v>
      </c>
      <c r="E58" s="76">
        <f>IF(E53&lt;=2,VLOOKUP(E51&amp;E53,tablas!$B$3:$K$92,8,FALSE),"Franja de losa")</f>
        <v>140.5</v>
      </c>
      <c r="F58" s="76">
        <f>IF(F53&lt;=2,VLOOKUP(F51&amp;F53,tablas!$B$3:$K$92,8,FALSE),"Franja de losa")</f>
        <v>163</v>
      </c>
      <c r="G58" s="76">
        <f>IF(G53&lt;=2,VLOOKUP(G51&amp;G53,tablas!$B$3:$K$92,8,FALSE),"Franja de losa")</f>
        <v>46.2</v>
      </c>
      <c r="H58" s="76">
        <f>IF(H53&lt;=2,VLOOKUP(H51&amp;H53,tablas!$B$3:$K$92,8,FALSE),"Franja de losa")</f>
        <v>95.6</v>
      </c>
      <c r="I58" s="76">
        <f>IF(I53&lt;=2,VLOOKUP(I51&amp;I53,tablas!$B$3:$K$92,8,FALSE),"Franja de losa")</f>
        <v>95.6</v>
      </c>
      <c r="J58" s="76">
        <f>IF(J53&lt;=2,VLOOKUP(J51&amp;J53,tablas!$B$3:$K$92,8,FALSE),"Franja de losa")</f>
        <v>140.5</v>
      </c>
      <c r="K58" s="76">
        <f>IF(K53&lt;=2,VLOOKUP(K51&amp;K53,tablas!$B$3:$K$92,8,FALSE),"Franja de losa")</f>
        <v>61</v>
      </c>
      <c r="L58" s="76">
        <f>IF(L53&lt;=2,VLOOKUP(L51&amp;L53,tablas!$B$3:$K$92,8,FALSE),"Franja de losa")</f>
        <v>95.6</v>
      </c>
      <c r="M58" s="76">
        <f>IF(M53&lt;=2,VLOOKUP(M51&amp;M53,tablas!$B$3:$K$92,8,FALSE),"Franja de losa")</f>
        <v>95.6</v>
      </c>
      <c r="N58" s="76">
        <f>IF(N53&lt;=2,VLOOKUP(N51&amp;N53,tablas!$B$3:$K$92,8,FALSE),"Franja de losa")</f>
        <v>163</v>
      </c>
      <c r="O58" s="76">
        <f>IF(O53&lt;=2,VLOOKUP(O51&amp;O53,tablas!$B$3:$K$92,8,FALSE),"Franja de losa")</f>
        <v>79.599999999999994</v>
      </c>
      <c r="P58" s="76" t="str">
        <f>IF(P53&lt;=2,VLOOKUP(P51&amp;P53,tablas!$B$3:$K$92,8,FALSE),"Franja de losa")</f>
        <v>Franja de losa</v>
      </c>
      <c r="Q58" s="76" t="str">
        <f>IF(Q53&lt;=2,VLOOKUP(Q51&amp;Q53,tablas!$B$3:$K$92,8,FALSE),"Franja de losa")</f>
        <v>Franja de losa</v>
      </c>
      <c r="R58" s="76">
        <f>IF(R53&lt;=2,VLOOKUP(R51&amp;R53,tablas!$B$3:$K$92,8,FALSE),"Franja de losa")</f>
        <v>66.3</v>
      </c>
      <c r="S58" s="76">
        <f>IF(S53&lt;=2,VLOOKUP(S51&amp;S53,tablas!$B$3:$K$92,8,FALSE),"Franja de losa")</f>
        <v>78.900000000000006</v>
      </c>
      <c r="T58" s="76" t="str">
        <f>IF(T53&lt;=2,VLOOKUP(T51&amp;T53,tablas!$B$3:$K$92,8,FALSE),"Franja de losa")</f>
        <v>Franja de losa</v>
      </c>
      <c r="U58" s="76">
        <f>IF(U53&lt;=2,VLOOKUP(U51&amp;U53,tablas!$B$3:$K$92,8,FALSE),"Franja de losa")</f>
        <v>202</v>
      </c>
      <c r="V58" s="76">
        <f>IF(V53&lt;=2,VLOOKUP(V51&amp;V53-0.1,tablas!$B$3:$K$92,8,FALSE),"Franja de losa")</f>
        <v>190</v>
      </c>
      <c r="W58" s="76" t="str">
        <f>IF(W53&lt;=2,VLOOKUP(W51&amp;W53,tablas!$B$3:$K$92,8,FALSE),"Franja de losa")</f>
        <v>Franja de losa</v>
      </c>
      <c r="X58" s="39"/>
      <c r="Y58" s="39"/>
      <c r="Z58" s="39"/>
      <c r="AA58" s="39"/>
      <c r="AB58" s="39"/>
      <c r="AC58" s="39"/>
      <c r="AD58" s="39"/>
      <c r="AE58" s="39"/>
      <c r="AF58" s="39"/>
      <c r="AG58" s="39"/>
    </row>
    <row r="59" spans="2:33" x14ac:dyDescent="0.25">
      <c r="B59" s="94" t="s">
        <v>6</v>
      </c>
      <c r="C59" s="76">
        <f>IF(C53&lt;=2,VLOOKUP(C51&amp;C53,tablas!$B$3:$K$92,9,FALSE),"Franja de losa")</f>
        <v>16.3</v>
      </c>
      <c r="D59" s="76">
        <f>IF(D53&lt;=2,VLOOKUP(D51&amp;D53,tablas!$B$3:$K$92,9,FALSE),"Franja de losa")</f>
        <v>19.8</v>
      </c>
      <c r="E59" s="76">
        <f>IF(E53&lt;=2,VLOOKUP(E51&amp;E53,tablas!$B$3:$K$92,9,FALSE),"Franja de losa")</f>
        <v>19.8</v>
      </c>
      <c r="F59" s="76">
        <f>IF(F53&lt;=2,VLOOKUP(F51&amp;F53,tablas!$B$3:$K$92,9,FALSE),"Franja de losa")</f>
        <v>20.5</v>
      </c>
      <c r="G59" s="76">
        <f>IF(G53&lt;=2,VLOOKUP(G51&amp;G53,tablas!$B$3:$K$92,9,FALSE),"Franja de losa")</f>
        <v>14</v>
      </c>
      <c r="H59" s="76">
        <f>IF(H53&lt;=2,VLOOKUP(H51&amp;H53,tablas!$B$3:$K$92,9,FALSE),"Franja de losa")</f>
        <v>18.8</v>
      </c>
      <c r="I59" s="76">
        <f>IF(I53&lt;=2,VLOOKUP(I51&amp;I53,tablas!$B$3:$K$92,9,FALSE),"Franja de losa")</f>
        <v>18.8</v>
      </c>
      <c r="J59" s="76">
        <f>IF(J53&lt;=2,VLOOKUP(J51&amp;J53,tablas!$B$3:$K$92,9,FALSE),"Franja de losa")</f>
        <v>19.8</v>
      </c>
      <c r="K59" s="76">
        <f>IF(K53&lt;=2,VLOOKUP(K51&amp;K53,tablas!$B$3:$K$92,9,FALSE),"Franja de losa")</f>
        <v>15.8</v>
      </c>
      <c r="L59" s="76">
        <f>IF(L53&lt;=2,VLOOKUP(L51&amp;L53,tablas!$B$3:$K$92,9,FALSE),"Franja de losa")</f>
        <v>18.8</v>
      </c>
      <c r="M59" s="76">
        <f>IF(M53&lt;=2,VLOOKUP(M51&amp;M53,tablas!$B$3:$K$92,9,FALSE),"Franja de losa")</f>
        <v>18.8</v>
      </c>
      <c r="N59" s="76">
        <f>IF(N53&lt;=2,VLOOKUP(N51&amp;N53,tablas!$B$3:$K$92,9,FALSE),"Franja de losa")</f>
        <v>20.5</v>
      </c>
      <c r="O59" s="76">
        <f>IF(O53&lt;=2,VLOOKUP(O51&amp;O53,tablas!$B$3:$K$92,9,FALSE),"Franja de losa")</f>
        <v>14.4</v>
      </c>
      <c r="P59" s="76" t="str">
        <f>IF(P53&lt;=2,VLOOKUP(P51&amp;P53,tablas!$B$3:$K$92,9,FALSE),"Franja de losa")</f>
        <v>Franja de losa</v>
      </c>
      <c r="Q59" s="76" t="str">
        <f>IF(Q53&lt;=2,VLOOKUP(Q51&amp;Q53,tablas!$B$3:$K$92,9,FALSE),"Franja de losa")</f>
        <v>Franja de losa</v>
      </c>
      <c r="R59" s="76">
        <f>IF(R53&lt;=2,VLOOKUP(R51&amp;R53,tablas!$B$3:$K$92,9,FALSE),"Franja de losa")</f>
        <v>18.8</v>
      </c>
      <c r="S59" s="76">
        <f>IF(S53&lt;=2,VLOOKUP(S51&amp;S53,tablas!$B$3:$K$92,9,FALSE),"Franja de losa")</f>
        <v>18.600000000000001</v>
      </c>
      <c r="T59" s="76" t="str">
        <f>IF(T53&lt;=2,VLOOKUP(T51&amp;T53,tablas!$B$3:$K$92,9,FALSE),"Franja de losa")</f>
        <v>Franja de losa</v>
      </c>
      <c r="U59" s="76">
        <f>IF(U53&lt;=2,VLOOKUP(U51&amp;U53,tablas!$B$3:$K$92,9,FALSE),"Franja de losa")</f>
        <v>17.600000000000001</v>
      </c>
      <c r="V59" s="76">
        <f>IF(V53&lt;=2,VLOOKUP(V51&amp;V53-0.1,tablas!$B$3:$K$92,9,FALSE),"Franja de losa")</f>
        <v>22</v>
      </c>
      <c r="W59" s="76" t="str">
        <f>IF(W53&lt;=2,VLOOKUP(W51&amp;W53,tablas!$B$3:$K$92,9,FALSE),"Franja de losa")</f>
        <v>Franja de losa</v>
      </c>
      <c r="X59" s="39"/>
      <c r="Y59" s="39"/>
      <c r="Z59" s="39"/>
      <c r="AA59" s="39"/>
      <c r="AB59" s="39"/>
      <c r="AC59" s="39"/>
      <c r="AD59" s="39"/>
      <c r="AE59" s="39"/>
      <c r="AF59" s="39"/>
      <c r="AG59" s="39"/>
    </row>
    <row r="60" spans="2:33" x14ac:dyDescent="0.25">
      <c r="B60" s="94" t="s">
        <v>7</v>
      </c>
      <c r="C60" s="76">
        <f>IF(C53&lt;=2,VLOOKUP(C51&amp;C53,tablas!$B$3:$K$92,10,FALSE),"Franja de losa")</f>
        <v>19.5</v>
      </c>
      <c r="D60" s="76">
        <f>IF(D53&lt;=2,VLOOKUP(D51&amp;D53,tablas!$B$3:$K$92,10,FALSE),"Franja de losa")</f>
        <v>26.2</v>
      </c>
      <c r="E60" s="76">
        <f>IF(E53&lt;=2,VLOOKUP(E51&amp;E53,tablas!$B$3:$K$92,10,FALSE),"Franja de losa")</f>
        <v>26.2</v>
      </c>
      <c r="F60" s="76">
        <f>IF(F53&lt;=2,VLOOKUP(F51&amp;F53,tablas!$B$3:$K$92,10,FALSE),"Franja de losa")</f>
        <v>27.9</v>
      </c>
      <c r="G60" s="76">
        <f>IF(G53&lt;=2,VLOOKUP(G51&amp;G53,tablas!$B$3:$K$92,10,FALSE),"Franja de losa")</f>
        <v>15</v>
      </c>
      <c r="H60" s="76">
        <f>IF(H53&lt;=2,VLOOKUP(H51&amp;H53,tablas!$B$3:$K$92,10,FALSE),"Franja de losa")</f>
        <v>22.9</v>
      </c>
      <c r="I60" s="76">
        <f>IF(I53&lt;=2,VLOOKUP(I51&amp;I53,tablas!$B$3:$K$92,10,FALSE),"Franja de losa")</f>
        <v>22.9</v>
      </c>
      <c r="J60" s="76">
        <f>IF(J53&lt;=2,VLOOKUP(J51&amp;J53,tablas!$B$3:$K$92,10,FALSE),"Franja de losa")</f>
        <v>26.2</v>
      </c>
      <c r="K60" s="76">
        <f>IF(K53&lt;=2,VLOOKUP(K51&amp;K53,tablas!$B$3:$K$92,10,FALSE),"Franja de losa")</f>
        <v>17.3</v>
      </c>
      <c r="L60" s="76">
        <f>IF(L53&lt;=2,VLOOKUP(L51&amp;L53,tablas!$B$3:$K$92,10,FALSE),"Franja de losa")</f>
        <v>22.9</v>
      </c>
      <c r="M60" s="76">
        <f>IF(M53&lt;=2,VLOOKUP(M51&amp;M53,tablas!$B$3:$K$92,10,FALSE),"Franja de losa")</f>
        <v>22.9</v>
      </c>
      <c r="N60" s="76">
        <f>IF(N53&lt;=2,VLOOKUP(N51&amp;N53,tablas!$B$3:$K$92,10,FALSE),"Franja de losa")</f>
        <v>27.9</v>
      </c>
      <c r="O60" s="76">
        <f>IF(O53&lt;=2,VLOOKUP(O51&amp;O53,tablas!$B$3:$K$92,10,FALSE),"Franja de losa")</f>
        <v>18.600000000000001</v>
      </c>
      <c r="P60" s="76" t="str">
        <f>IF(P53&lt;=2,VLOOKUP(P51&amp;P53,tablas!$B$3:$K$92,10,FALSE),"Franja de losa")</f>
        <v>Franja de losa</v>
      </c>
      <c r="Q60" s="76" t="str">
        <f>IF(Q53&lt;=2,VLOOKUP(Q51&amp;Q53,tablas!$B$3:$K$92,10,FALSE),"Franja de losa")</f>
        <v>Franja de losa</v>
      </c>
      <c r="R60" s="76">
        <f>IF(R53&lt;=2,VLOOKUP(R51&amp;R53,tablas!$B$3:$K$92,10,FALSE),"Franja de losa")</f>
        <v>20.3</v>
      </c>
      <c r="S60" s="76">
        <f>IF(S53&lt;=2,VLOOKUP(S51&amp;S53,tablas!$B$3:$K$92,10,FALSE),"Franja de losa")</f>
        <v>21.5</v>
      </c>
      <c r="T60" s="76" t="str">
        <f>IF(T53&lt;=2,VLOOKUP(T51&amp;T53,tablas!$B$3:$K$92,10,FALSE),"Franja de losa")</f>
        <v>Franja de losa</v>
      </c>
      <c r="U60" s="76">
        <f>IF(U53&lt;=2,VLOOKUP(U51&amp;U53,tablas!$B$3:$K$92,10,FALSE),"Franja de losa")</f>
        <v>24.6</v>
      </c>
      <c r="V60" s="76">
        <f>IF(V53&lt;=2,VLOOKUP(V51&amp;V53-0.1,tablas!$B$3:$K$92,10,FALSE),"Franja de losa")</f>
        <v>31.4</v>
      </c>
      <c r="W60" s="76" t="str">
        <f>IF(W53&lt;=2,VLOOKUP(W51&amp;W53,tablas!$B$3:$K$92,10,FALSE),"Franja de losa")</f>
        <v>Franja de losa</v>
      </c>
      <c r="X60" s="39"/>
      <c r="Y60" s="39"/>
      <c r="Z60" s="39"/>
      <c r="AA60" s="39"/>
      <c r="AB60" s="39"/>
      <c r="AC60" s="39"/>
      <c r="AD60" s="39"/>
      <c r="AE60" s="39"/>
      <c r="AF60" s="39"/>
      <c r="AG60" s="39"/>
    </row>
    <row r="61" spans="2:33" x14ac:dyDescent="0.25">
      <c r="B61" s="97" t="s">
        <v>2</v>
      </c>
      <c r="C61" s="76">
        <f>IF(C53&lt;=2,VLOOKUP(C51&amp;C53,tablas!$B$3:$K$92,5,FALSE),"Franja de losa")</f>
        <v>0.7</v>
      </c>
      <c r="D61" s="76">
        <f>IF(D53&lt;=2,VLOOKUP(D51&amp;D53,tablas!$B$3:$K$92,5,FALSE),"Franja de losa")</f>
        <v>1.31</v>
      </c>
      <c r="E61" s="76">
        <f>IF(E53&lt;=2,VLOOKUP(E51&amp;E53,tablas!$B$3:$K$92,5,FALSE),"Franja de losa")</f>
        <v>1.31</v>
      </c>
      <c r="F61" s="76">
        <f>IF(F53&lt;=2,VLOOKUP(F51&amp;F53,tablas!$B$3:$K$92,5,FALSE),"Franja de losa")</f>
        <v>1.39</v>
      </c>
      <c r="G61" s="76">
        <f>IF(G53&lt;=2,VLOOKUP(G51&amp;G53,tablas!$B$3:$K$92,5,FALSE),"Franja de losa")</f>
        <v>0.28000000000000003</v>
      </c>
      <c r="H61" s="76">
        <f>IF(H53&lt;=2,VLOOKUP(H51&amp;H53,tablas!$B$3:$K$92,5,FALSE),"Franja de losa")</f>
        <v>1.17</v>
      </c>
      <c r="I61" s="76">
        <f>IF(I53&lt;=2,VLOOKUP(I51&amp;I53,tablas!$B$3:$K$92,5,FALSE),"Franja de losa")</f>
        <v>1.17</v>
      </c>
      <c r="J61" s="76">
        <f>IF(J53&lt;=2,VLOOKUP(J51&amp;J53,tablas!$B$3:$K$92,5,FALSE),"Franja de losa")</f>
        <v>1.31</v>
      </c>
      <c r="K61" s="76">
        <f>IF(K53&lt;=2,VLOOKUP(K51&amp;K53,tablas!$B$3:$K$92,5,FALSE),"Franja de losa")</f>
        <v>0.7</v>
      </c>
      <c r="L61" s="76">
        <f>IF(L53&lt;=2,VLOOKUP(L51&amp;L53,tablas!$B$3:$K$92,5,FALSE),"Franja de losa")</f>
        <v>1.17</v>
      </c>
      <c r="M61" s="76">
        <f>IF(M53&lt;=2,VLOOKUP(M51&amp;M53,tablas!$B$3:$K$92,5,FALSE),"Franja de losa")</f>
        <v>1.17</v>
      </c>
      <c r="N61" s="76">
        <f>IF(N53&lt;=2,VLOOKUP(N51&amp;N53,tablas!$B$3:$K$92,5,FALSE),"Franja de losa")</f>
        <v>1.39</v>
      </c>
      <c r="O61" s="76">
        <f>IF(O53&lt;=2,VLOOKUP(O51&amp;O53,tablas!$B$3:$K$92,5,FALSE),"Franja de losa")</f>
        <v>0.42</v>
      </c>
      <c r="P61" s="76" t="str">
        <f>IF(P53&lt;=2,VLOOKUP(P51&amp;P53,tablas!$B$3:$K$92,5,FALSE),"Franja de losa")</f>
        <v>Franja de losa</v>
      </c>
      <c r="Q61" s="76" t="str">
        <f>IF(Q53&lt;=2,VLOOKUP(Q51&amp;Q53,tablas!$B$3:$K$92,5,FALSE),"Franja de losa")</f>
        <v>Franja de losa</v>
      </c>
      <c r="R61" s="76">
        <f>IF(R53&lt;=2,VLOOKUP(R51&amp;R53,tablas!$B$3:$K$92,5,FALSE),"Franja de losa")</f>
        <v>1.05</v>
      </c>
      <c r="S61" s="76">
        <f>IF(S53&lt;=2,VLOOKUP(S51&amp;S53,tablas!$B$3:$K$92,5,FALSE),"Franja de losa")</f>
        <v>1.1000000000000001</v>
      </c>
      <c r="T61" s="76" t="str">
        <f>IF(T53&lt;=2,VLOOKUP(T51&amp;T53,tablas!$B$3:$K$92,5,FALSE),"Franja de losa")</f>
        <v>Franja de losa</v>
      </c>
      <c r="U61" s="76">
        <f>IF(U53&lt;=2,VLOOKUP(U51&amp;U53,tablas!$B$3:$K$92,5,FALSE),"Franja de losa")</f>
        <v>0.68</v>
      </c>
      <c r="V61" s="76">
        <f>IF(V53&lt;=2,VLOOKUP(V51&amp;V53-0.1,tablas!$B$3:$K$92,5,FALSE),"Franja de losa")</f>
        <v>1.39</v>
      </c>
      <c r="W61" s="76" t="str">
        <f>IF(W53&lt;=2,VLOOKUP(W51&amp;W53,tablas!$B$3:$K$92,5,FALSE),"Franja de losa")</f>
        <v>Franja de losa</v>
      </c>
      <c r="X61" s="39"/>
      <c r="Y61" s="39"/>
      <c r="Z61" s="39"/>
      <c r="AA61" s="39"/>
      <c r="AB61" s="39"/>
      <c r="AC61" s="39"/>
      <c r="AD61" s="39"/>
      <c r="AE61" s="39"/>
      <c r="AF61" s="39"/>
      <c r="AG61" s="39"/>
    </row>
    <row r="62" spans="2:33" ht="15.75" thickBot="1" x14ac:dyDescent="0.3">
      <c r="B62" s="98" t="s">
        <v>3</v>
      </c>
      <c r="C62" s="82">
        <f>IF(C53&lt;=2,VLOOKUP(C51&amp;C53,tablas!$B$3:$K$92,6,FALSE),"Franja de losa")</f>
        <v>0.96</v>
      </c>
      <c r="D62" s="82">
        <f>IF(D53&lt;=2,VLOOKUP(D51&amp;D53,tablas!$B$3:$K$92,6,FALSE),"Franja de losa")</f>
        <v>1.31</v>
      </c>
      <c r="E62" s="82">
        <f>IF(E53&lt;=2,VLOOKUP(E51&amp;E53,tablas!$B$3:$K$92,6,FALSE),"Franja de losa")</f>
        <v>1.31</v>
      </c>
      <c r="F62" s="82">
        <f>IF(F53&lt;=2,VLOOKUP(F51&amp;F53,tablas!$B$3:$K$92,6,FALSE),"Franja de losa")</f>
        <v>1.39</v>
      </c>
      <c r="G62" s="82">
        <f>IF(G53&lt;=2,VLOOKUP(G51&amp;G53,tablas!$B$3:$K$92,6,FALSE),"Franja de losa")</f>
        <v>0.28000000000000003</v>
      </c>
      <c r="H62" s="82">
        <f>IF(H53&lt;=2,VLOOKUP(H51&amp;H53,tablas!$B$3:$K$92,6,FALSE),"Franja de losa")</f>
        <v>1.17</v>
      </c>
      <c r="I62" s="82">
        <f>IF(I53&lt;=2,VLOOKUP(I51&amp;I53,tablas!$B$3:$K$92,6,FALSE),"Franja de losa")</f>
        <v>1.17</v>
      </c>
      <c r="J62" s="82">
        <f>IF(J53&lt;=2,VLOOKUP(J51&amp;J53,tablas!$B$3:$K$92,6,FALSE),"Franja de losa")</f>
        <v>1.31</v>
      </c>
      <c r="K62" s="82">
        <f>IF(K53&lt;=2,VLOOKUP(K51&amp;K53,tablas!$B$3:$K$92,6,FALSE),"Franja de losa")</f>
        <v>0.49</v>
      </c>
      <c r="L62" s="82">
        <f>IF(L53&lt;=2,VLOOKUP(L51&amp;L53,tablas!$B$3:$K$92,6,FALSE),"Franja de losa")</f>
        <v>1.17</v>
      </c>
      <c r="M62" s="82">
        <f>IF(M53&lt;=2,VLOOKUP(M51&amp;M53,tablas!$B$3:$K$92,6,FALSE),"Franja de losa")</f>
        <v>1.17</v>
      </c>
      <c r="N62" s="82">
        <f>IF(N53&lt;=2,VLOOKUP(N51&amp;N53,tablas!$B$3:$K$92,6,FALSE),"Franja de losa")</f>
        <v>1.39</v>
      </c>
      <c r="O62" s="82">
        <f>IF(O53&lt;=2,VLOOKUP(O51&amp;O53,tablas!$B$3:$K$92,6,FALSE),"Franja de losa")</f>
        <v>0.42</v>
      </c>
      <c r="P62" s="82" t="str">
        <f>IF(P53&lt;=2,VLOOKUP(P51&amp;P53,tablas!$B$3:$K$92,6,FALSE),"Franja de losa")</f>
        <v>Franja de losa</v>
      </c>
      <c r="Q62" s="82" t="str">
        <f>IF(Q53&lt;=2,VLOOKUP(Q51&amp;Q53,tablas!$B$3:$K$92,6,FALSE),"Franja de losa")</f>
        <v>Franja de losa</v>
      </c>
      <c r="R62" s="82">
        <f>IF(R53&lt;=2,VLOOKUP(R51&amp;R53,tablas!$B$3:$K$92,6,FALSE),"Franja de losa")</f>
        <v>1.05</v>
      </c>
      <c r="S62" s="82">
        <f>IF(S53&lt;=2,VLOOKUP(S51&amp;S53,tablas!$B$3:$K$92,6,FALSE),"Franja de losa")</f>
        <v>1.1000000000000001</v>
      </c>
      <c r="T62" s="82" t="str">
        <f>IF(T53&lt;=2,VLOOKUP(T51&amp;T53,tablas!$B$3:$K$92,6,FALSE),"Franja de losa")</f>
        <v>Franja de losa</v>
      </c>
      <c r="U62" s="82">
        <f>IF(U53&lt;=2,VLOOKUP(U51&amp;U53,tablas!$B$3:$K$92,6,FALSE),"Franja de losa")</f>
        <v>0.46</v>
      </c>
      <c r="V62" s="82">
        <f>IF(V53&lt;=2,VLOOKUP(V51&amp;V53-0.1,tablas!$B$3:$K$92,6,FALSE),"Franja de losa")</f>
        <v>1.39</v>
      </c>
      <c r="W62" s="82" t="str">
        <f>IF(W53&lt;=2,VLOOKUP(W51&amp;W53,tablas!$B$3:$K$92,6,FALSE),"Franja de losa")</f>
        <v>Franja de losa</v>
      </c>
      <c r="X62" s="39"/>
      <c r="Y62" s="39"/>
      <c r="Z62" s="39"/>
      <c r="AA62" s="39"/>
      <c r="AB62" s="39"/>
      <c r="AC62" s="39"/>
      <c r="AD62" s="39"/>
      <c r="AE62" s="39"/>
      <c r="AF62" s="39"/>
      <c r="AG62" s="39"/>
    </row>
    <row r="63" spans="2:33" ht="15.75" thickBot="1" x14ac:dyDescent="0.3">
      <c r="B63" s="71" t="s">
        <v>87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39"/>
      <c r="Y63" s="39"/>
      <c r="Z63" s="39"/>
      <c r="AA63" s="39"/>
      <c r="AB63" s="39"/>
      <c r="AC63" s="39"/>
      <c r="AD63" s="39"/>
      <c r="AE63" s="39"/>
      <c r="AF63" s="39"/>
      <c r="AG63" s="39"/>
    </row>
    <row r="64" spans="2:33" x14ac:dyDescent="0.25">
      <c r="B64" s="94" t="s">
        <v>83</v>
      </c>
      <c r="C64" s="257">
        <f t="shared" ref="C64:W64" si="13">VLOOKUP(C$46,$B$16:$H$44,6)</f>
        <v>500</v>
      </c>
      <c r="D64" s="83">
        <f t="shared" si="13"/>
        <v>500</v>
      </c>
      <c r="E64" s="83">
        <f t="shared" si="13"/>
        <v>500</v>
      </c>
      <c r="F64" s="83">
        <f t="shared" si="13"/>
        <v>500</v>
      </c>
      <c r="G64" s="83">
        <f t="shared" si="13"/>
        <v>500</v>
      </c>
      <c r="H64" s="83">
        <f t="shared" si="13"/>
        <v>500</v>
      </c>
      <c r="I64" s="83">
        <f t="shared" si="13"/>
        <v>500</v>
      </c>
      <c r="J64" s="83">
        <f t="shared" si="13"/>
        <v>500</v>
      </c>
      <c r="K64" s="83">
        <f t="shared" si="13"/>
        <v>500</v>
      </c>
      <c r="L64" s="83">
        <f t="shared" si="13"/>
        <v>400</v>
      </c>
      <c r="M64" s="83">
        <f t="shared" si="13"/>
        <v>500</v>
      </c>
      <c r="N64" s="83">
        <f t="shared" si="13"/>
        <v>500</v>
      </c>
      <c r="O64" s="83">
        <f t="shared" si="13"/>
        <v>400</v>
      </c>
      <c r="P64" s="83">
        <f t="shared" si="13"/>
        <v>400</v>
      </c>
      <c r="Q64" s="83">
        <f t="shared" si="13"/>
        <v>400</v>
      </c>
      <c r="R64" s="83">
        <f t="shared" si="13"/>
        <v>200</v>
      </c>
      <c r="S64" s="83">
        <f t="shared" si="13"/>
        <v>200</v>
      </c>
      <c r="T64" s="83">
        <f t="shared" si="13"/>
        <v>300</v>
      </c>
      <c r="U64" s="83">
        <f t="shared" si="13"/>
        <v>400</v>
      </c>
      <c r="V64" s="83">
        <f t="shared" si="13"/>
        <v>400</v>
      </c>
      <c r="W64" s="83">
        <f t="shared" si="13"/>
        <v>400</v>
      </c>
      <c r="X64" s="39"/>
      <c r="Y64" s="39"/>
      <c r="Z64" s="39"/>
      <c r="AA64" s="39"/>
      <c r="AB64" s="39"/>
      <c r="AC64" s="39"/>
      <c r="AD64" s="39"/>
      <c r="AE64" s="39"/>
      <c r="AF64" s="39"/>
      <c r="AG64" s="39"/>
    </row>
    <row r="65" spans="2:23" x14ac:dyDescent="0.25">
      <c r="B65" s="94" t="s">
        <v>89</v>
      </c>
      <c r="C65" s="76">
        <f>$L$7*($C$4/100)</f>
        <v>400</v>
      </c>
      <c r="D65" s="194">
        <f t="shared" ref="D65:W65" si="14">$L$7*($C$4/100)</f>
        <v>400</v>
      </c>
      <c r="E65" s="194">
        <f t="shared" si="14"/>
        <v>400</v>
      </c>
      <c r="F65" s="194">
        <f t="shared" si="14"/>
        <v>400</v>
      </c>
      <c r="G65" s="194">
        <f t="shared" si="14"/>
        <v>400</v>
      </c>
      <c r="H65" s="194">
        <f t="shared" si="14"/>
        <v>400</v>
      </c>
      <c r="I65" s="194">
        <f t="shared" si="14"/>
        <v>400</v>
      </c>
      <c r="J65" s="194">
        <f t="shared" si="14"/>
        <v>400</v>
      </c>
      <c r="K65" s="194">
        <f t="shared" si="14"/>
        <v>400</v>
      </c>
      <c r="L65" s="194">
        <f t="shared" si="14"/>
        <v>400</v>
      </c>
      <c r="M65" s="194">
        <f t="shared" si="14"/>
        <v>400</v>
      </c>
      <c r="N65" s="194">
        <f t="shared" si="14"/>
        <v>400</v>
      </c>
      <c r="O65" s="194">
        <f t="shared" si="14"/>
        <v>400</v>
      </c>
      <c r="P65" s="194">
        <f t="shared" si="14"/>
        <v>400</v>
      </c>
      <c r="Q65" s="194">
        <f t="shared" si="14"/>
        <v>400</v>
      </c>
      <c r="R65" s="194">
        <f t="shared" si="14"/>
        <v>400</v>
      </c>
      <c r="S65" s="194">
        <f t="shared" si="14"/>
        <v>400</v>
      </c>
      <c r="T65" s="194">
        <f t="shared" si="14"/>
        <v>400</v>
      </c>
      <c r="U65" s="194">
        <f t="shared" si="14"/>
        <v>400</v>
      </c>
      <c r="V65" s="194">
        <f t="shared" si="14"/>
        <v>400</v>
      </c>
      <c r="W65" s="194">
        <f t="shared" si="14"/>
        <v>400</v>
      </c>
    </row>
    <row r="66" spans="2:23" x14ac:dyDescent="0.25">
      <c r="B66" s="94" t="s">
        <v>90</v>
      </c>
      <c r="C66" s="76">
        <f>C65+$I$8</f>
        <v>625</v>
      </c>
      <c r="D66" s="76">
        <f t="shared" ref="D66:W66" si="15">D65+$I$8</f>
        <v>625</v>
      </c>
      <c r="E66" s="76">
        <f t="shared" si="15"/>
        <v>625</v>
      </c>
      <c r="F66" s="76">
        <f t="shared" si="15"/>
        <v>625</v>
      </c>
      <c r="G66" s="76">
        <f t="shared" si="15"/>
        <v>625</v>
      </c>
      <c r="H66" s="76">
        <f t="shared" si="15"/>
        <v>625</v>
      </c>
      <c r="I66" s="76">
        <f t="shared" si="15"/>
        <v>625</v>
      </c>
      <c r="J66" s="76">
        <f t="shared" si="15"/>
        <v>625</v>
      </c>
      <c r="K66" s="76">
        <f t="shared" si="15"/>
        <v>625</v>
      </c>
      <c r="L66" s="76">
        <f t="shared" si="15"/>
        <v>625</v>
      </c>
      <c r="M66" s="76">
        <f t="shared" si="15"/>
        <v>625</v>
      </c>
      <c r="N66" s="76">
        <f t="shared" si="15"/>
        <v>625</v>
      </c>
      <c r="O66" s="76">
        <f t="shared" si="15"/>
        <v>625</v>
      </c>
      <c r="P66" s="76">
        <f t="shared" si="15"/>
        <v>625</v>
      </c>
      <c r="Q66" s="76">
        <f t="shared" si="15"/>
        <v>625</v>
      </c>
      <c r="R66" s="76">
        <f t="shared" si="15"/>
        <v>625</v>
      </c>
      <c r="S66" s="76">
        <f t="shared" si="15"/>
        <v>625</v>
      </c>
      <c r="T66" s="76">
        <f t="shared" si="15"/>
        <v>625</v>
      </c>
      <c r="U66" s="76">
        <f t="shared" si="15"/>
        <v>625</v>
      </c>
      <c r="V66" s="76">
        <f t="shared" si="15"/>
        <v>625</v>
      </c>
      <c r="W66" s="76">
        <f t="shared" si="15"/>
        <v>625</v>
      </c>
    </row>
    <row r="67" spans="2:23" x14ac:dyDescent="0.25">
      <c r="B67" s="94" t="s">
        <v>91</v>
      </c>
      <c r="C67" s="76">
        <f>1.2*C66+1.6*C64</f>
        <v>1550</v>
      </c>
      <c r="D67" s="76">
        <f t="shared" ref="D67:W67" si="16">1.2*D66+1.6*D64</f>
        <v>1550</v>
      </c>
      <c r="E67" s="76">
        <f t="shared" si="16"/>
        <v>1550</v>
      </c>
      <c r="F67" s="76">
        <f t="shared" si="16"/>
        <v>1550</v>
      </c>
      <c r="G67" s="76">
        <f t="shared" si="16"/>
        <v>1550</v>
      </c>
      <c r="H67" s="76">
        <f t="shared" si="16"/>
        <v>1550</v>
      </c>
      <c r="I67" s="76">
        <f t="shared" si="16"/>
        <v>1550</v>
      </c>
      <c r="J67" s="76">
        <f t="shared" si="16"/>
        <v>1550</v>
      </c>
      <c r="K67" s="76">
        <f t="shared" si="16"/>
        <v>1550</v>
      </c>
      <c r="L67" s="76">
        <f t="shared" si="16"/>
        <v>1390</v>
      </c>
      <c r="M67" s="76">
        <f t="shared" si="16"/>
        <v>1550</v>
      </c>
      <c r="N67" s="76">
        <f t="shared" si="16"/>
        <v>1550</v>
      </c>
      <c r="O67" s="76">
        <f t="shared" si="16"/>
        <v>1390</v>
      </c>
      <c r="P67" s="76">
        <f t="shared" si="16"/>
        <v>1390</v>
      </c>
      <c r="Q67" s="76">
        <f t="shared" si="16"/>
        <v>1390</v>
      </c>
      <c r="R67" s="76">
        <f t="shared" si="16"/>
        <v>1070</v>
      </c>
      <c r="S67" s="76">
        <f t="shared" si="16"/>
        <v>1070</v>
      </c>
      <c r="T67" s="76">
        <f t="shared" si="16"/>
        <v>1230</v>
      </c>
      <c r="U67" s="76">
        <f t="shared" si="16"/>
        <v>1390</v>
      </c>
      <c r="V67" s="76">
        <f t="shared" si="16"/>
        <v>1390</v>
      </c>
      <c r="W67" s="76">
        <f t="shared" si="16"/>
        <v>1390</v>
      </c>
    </row>
    <row r="68" spans="2:23" x14ac:dyDescent="0.25">
      <c r="B68" s="95" t="s">
        <v>92</v>
      </c>
      <c r="C68" s="84">
        <f>C67*C48*C49</f>
        <v>41307.5</v>
      </c>
      <c r="D68" s="84">
        <f t="shared" ref="D68:W68" si="17">D67*D48*D49</f>
        <v>55800</v>
      </c>
      <c r="E68" s="84">
        <f t="shared" si="17"/>
        <v>55800</v>
      </c>
      <c r="F68" s="84">
        <f t="shared" si="17"/>
        <v>61147.5</v>
      </c>
      <c r="G68" s="84">
        <f t="shared" si="17"/>
        <v>40729.195</v>
      </c>
      <c r="H68" s="84">
        <f t="shared" si="17"/>
        <v>61826.400000000001</v>
      </c>
      <c r="I68" s="84">
        <f t="shared" si="17"/>
        <v>61826.400000000001</v>
      </c>
      <c r="J68" s="84">
        <f t="shared" si="17"/>
        <v>67751.429999999993</v>
      </c>
      <c r="K68" s="84">
        <f t="shared" si="17"/>
        <v>38212.15</v>
      </c>
      <c r="L68" s="84">
        <f t="shared" si="17"/>
        <v>36195.600000000006</v>
      </c>
      <c r="M68" s="84">
        <f t="shared" si="17"/>
        <v>40362</v>
      </c>
      <c r="N68" s="84">
        <f t="shared" si="17"/>
        <v>88992.475000000006</v>
      </c>
      <c r="O68" s="84">
        <f t="shared" si="17"/>
        <v>7853.5000000000009</v>
      </c>
      <c r="P68" s="84">
        <f t="shared" si="17"/>
        <v>17903.199999999997</v>
      </c>
      <c r="Q68" s="84">
        <f t="shared" si="17"/>
        <v>25637.16</v>
      </c>
      <c r="R68" s="84">
        <f t="shared" si="17"/>
        <v>26856.999999999996</v>
      </c>
      <c r="S68" s="84">
        <f t="shared" si="17"/>
        <v>40415.826000000008</v>
      </c>
      <c r="T68" s="84">
        <f t="shared" si="17"/>
        <v>11553.882</v>
      </c>
      <c r="U68" s="84">
        <f t="shared" si="17"/>
        <v>11792.76</v>
      </c>
      <c r="V68" s="84">
        <f t="shared" si="17"/>
        <v>13866.639999999998</v>
      </c>
      <c r="W68" s="84">
        <f t="shared" si="17"/>
        <v>13455.199999999999</v>
      </c>
    </row>
    <row r="69" spans="2:23" ht="15.75" thickBot="1" x14ac:dyDescent="0.3">
      <c r="B69" s="96" t="s">
        <v>93</v>
      </c>
      <c r="C69" s="86">
        <f>C64/(2*C67)</f>
        <v>0.16129032258064516</v>
      </c>
      <c r="D69" s="86">
        <f t="shared" ref="D69:W69" si="18">D64/(2*D67)</f>
        <v>0.16129032258064516</v>
      </c>
      <c r="E69" s="86">
        <f t="shared" si="18"/>
        <v>0.16129032258064516</v>
      </c>
      <c r="F69" s="86">
        <f t="shared" si="18"/>
        <v>0.16129032258064516</v>
      </c>
      <c r="G69" s="86">
        <f t="shared" si="18"/>
        <v>0.16129032258064516</v>
      </c>
      <c r="H69" s="86">
        <f t="shared" si="18"/>
        <v>0.16129032258064516</v>
      </c>
      <c r="I69" s="86">
        <f t="shared" si="18"/>
        <v>0.16129032258064516</v>
      </c>
      <c r="J69" s="86">
        <f t="shared" si="18"/>
        <v>0.16129032258064516</v>
      </c>
      <c r="K69" s="86">
        <f t="shared" si="18"/>
        <v>0.16129032258064516</v>
      </c>
      <c r="L69" s="86">
        <f t="shared" si="18"/>
        <v>0.14388489208633093</v>
      </c>
      <c r="M69" s="86">
        <f t="shared" si="18"/>
        <v>0.16129032258064516</v>
      </c>
      <c r="N69" s="86">
        <f t="shared" si="18"/>
        <v>0.16129032258064516</v>
      </c>
      <c r="O69" s="86">
        <f t="shared" si="18"/>
        <v>0.14388489208633093</v>
      </c>
      <c r="P69" s="86">
        <f t="shared" si="18"/>
        <v>0.14388489208633093</v>
      </c>
      <c r="Q69" s="86">
        <f t="shared" si="18"/>
        <v>0.14388489208633093</v>
      </c>
      <c r="R69" s="86">
        <f t="shared" si="18"/>
        <v>9.3457943925233641E-2</v>
      </c>
      <c r="S69" s="86">
        <f t="shared" si="18"/>
        <v>9.3457943925233641E-2</v>
      </c>
      <c r="T69" s="86">
        <f t="shared" si="18"/>
        <v>0.12195121951219512</v>
      </c>
      <c r="U69" s="86">
        <f t="shared" si="18"/>
        <v>0.14388489208633093</v>
      </c>
      <c r="V69" s="86">
        <f t="shared" si="18"/>
        <v>0.14388489208633093</v>
      </c>
      <c r="W69" s="86">
        <f t="shared" si="18"/>
        <v>0.14388489208633093</v>
      </c>
    </row>
    <row r="70" spans="2:23" ht="15.75" thickBot="1" x14ac:dyDescent="0.3">
      <c r="B70" s="71" t="s">
        <v>96</v>
      </c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</row>
    <row r="71" spans="2:23" x14ac:dyDescent="0.25">
      <c r="B71" s="93" t="s">
        <v>97</v>
      </c>
      <c r="C71" s="88">
        <f>IF(C53&lt;=2,C68/C57*(1+C69*C61)*C56,IF(OR(C51=6,C51="5a",C51="3a"),C67*C48^2/17,(IF(OR(C51="2a",C51=4,C51="5b"),C67*C48^2/12,IF(OR(C51=1,C51="2b",C51="3b"),C67*C48^2/8)))))</f>
        <v>1105.078125</v>
      </c>
      <c r="D71" s="88">
        <f t="shared" ref="D71:W71" si="19">IF(D53&lt;=2,D68/D57*(1+D69*D61)*D56,IF(OR(D51=6,D51="5a",D51="3a"),D67*D48^2/17,(IF(OR(D51="2a",D51=4,D51="5b"),D67*D48^2/12,IF(OR(D51=1,D51="2b",D51="3b"),D67*D48^2/8)))))</f>
        <v>1522.2972972972975</v>
      </c>
      <c r="E71" s="88">
        <f t="shared" si="19"/>
        <v>1522.2972972972975</v>
      </c>
      <c r="F71" s="88">
        <f t="shared" si="19"/>
        <v>1623.7825379609544</v>
      </c>
      <c r="G71" s="88">
        <f t="shared" si="19"/>
        <v>1330.2680625</v>
      </c>
      <c r="H71" s="88">
        <f t="shared" si="19"/>
        <v>1625.9654867256636</v>
      </c>
      <c r="I71" s="88">
        <f t="shared" si="19"/>
        <v>1625.9654867256636</v>
      </c>
      <c r="J71" s="88">
        <f t="shared" si="19"/>
        <v>1848.3480067567568</v>
      </c>
      <c r="K71" s="88">
        <f t="shared" si="19"/>
        <v>1029.6955205811139</v>
      </c>
      <c r="L71" s="88">
        <f t="shared" si="19"/>
        <v>935.59646017699117</v>
      </c>
      <c r="M71" s="88">
        <f t="shared" si="19"/>
        <v>1061.4756637168141</v>
      </c>
      <c r="N71" s="88">
        <f t="shared" si="19"/>
        <v>2363.2107104121474</v>
      </c>
      <c r="O71" s="88">
        <f t="shared" si="19"/>
        <v>277.60333333333335</v>
      </c>
      <c r="P71" s="88">
        <f t="shared" si="19"/>
        <v>160.25882352941176</v>
      </c>
      <c r="Q71" s="88">
        <f t="shared" si="19"/>
        <v>687.64117647058822</v>
      </c>
      <c r="R71" s="88">
        <f t="shared" si="19"/>
        <v>581.70611439842196</v>
      </c>
      <c r="S71" s="88">
        <f t="shared" si="19"/>
        <v>944.29500000000007</v>
      </c>
      <c r="T71" s="88">
        <f t="shared" si="19"/>
        <v>184.04900000000001</v>
      </c>
      <c r="U71" s="88">
        <f t="shared" si="19"/>
        <v>345.24224000000004</v>
      </c>
      <c r="V71" s="88">
        <f t="shared" si="19"/>
        <v>340.98295081967211</v>
      </c>
      <c r="W71" s="88">
        <f t="shared" si="19"/>
        <v>209.31764705882355</v>
      </c>
    </row>
    <row r="72" spans="2:23" x14ac:dyDescent="0.25">
      <c r="B72" s="94" t="s">
        <v>15</v>
      </c>
      <c r="C72" s="89">
        <f>C71/(0.9*(0.9*($C$7/100))*($L$9*1000))</f>
        <v>2.2768591146219643</v>
      </c>
      <c r="D72" s="89">
        <f t="shared" ref="D72:W72" si="20">D71/(0.9*(0.9*($C$7/100))*($L$9*1000))</f>
        <v>3.1364809402192573</v>
      </c>
      <c r="E72" s="89">
        <f t="shared" si="20"/>
        <v>3.1364809402192573</v>
      </c>
      <c r="F72" s="89">
        <f t="shared" si="20"/>
        <v>3.3455771027232895</v>
      </c>
      <c r="G72" s="89">
        <f t="shared" si="20"/>
        <v>2.7408315253671556</v>
      </c>
      <c r="H72" s="89">
        <f t="shared" si="20"/>
        <v>3.3500747637295469</v>
      </c>
      <c r="I72" s="89">
        <f t="shared" si="20"/>
        <v>3.3500747637295469</v>
      </c>
      <c r="J72" s="89">
        <f t="shared" si="20"/>
        <v>3.808262882931885</v>
      </c>
      <c r="K72" s="89">
        <f t="shared" si="20"/>
        <v>2.1215437879747352</v>
      </c>
      <c r="L72" s="89">
        <f t="shared" si="20"/>
        <v>1.9276658181628816</v>
      </c>
      <c r="M72" s="89">
        <f t="shared" si="20"/>
        <v>2.1870223337223575</v>
      </c>
      <c r="N72" s="89">
        <f t="shared" si="20"/>
        <v>4.8690655656351405</v>
      </c>
      <c r="O72" s="89">
        <f t="shared" si="20"/>
        <v>0.57196289153713853</v>
      </c>
      <c r="P72" s="89">
        <f t="shared" si="20"/>
        <v>0.33019092025872299</v>
      </c>
      <c r="Q72" s="89">
        <f t="shared" si="20"/>
        <v>1.4167885915182961</v>
      </c>
      <c r="R72" s="89">
        <f t="shared" si="20"/>
        <v>1.1985241935717208</v>
      </c>
      <c r="S72" s="89">
        <f t="shared" si="20"/>
        <v>1.9455879444197197</v>
      </c>
      <c r="T72" s="89">
        <f t="shared" si="20"/>
        <v>0.37920725576488806</v>
      </c>
      <c r="U72" s="89">
        <f t="shared" si="20"/>
        <v>0.71132341063805227</v>
      </c>
      <c r="V72" s="89">
        <f t="shared" si="20"/>
        <v>0.70254774023733702</v>
      </c>
      <c r="W72" s="89">
        <f t="shared" si="20"/>
        <v>0.43126977339914846</v>
      </c>
    </row>
    <row r="73" spans="2:23" x14ac:dyDescent="0.25">
      <c r="B73" s="94" t="s">
        <v>98</v>
      </c>
      <c r="C73" s="91">
        <f>(C72*($L$9))/(0.85*$L$6*100)</f>
        <v>3.2113880410552013E-2</v>
      </c>
      <c r="D73" s="91">
        <f t="shared" ref="D73:W73" si="21">(D72*($L$9))/(0.85*$L$6*100)</f>
        <v>4.4238386634168472E-2</v>
      </c>
      <c r="E73" s="91">
        <f t="shared" si="21"/>
        <v>4.4238386634168472E-2</v>
      </c>
      <c r="F73" s="91">
        <f t="shared" si="21"/>
        <v>4.7187576205818683E-2</v>
      </c>
      <c r="G73" s="91">
        <f t="shared" si="21"/>
        <v>3.8657963185274105E-2</v>
      </c>
      <c r="H73" s="91">
        <f t="shared" si="21"/>
        <v>4.7251013309482497E-2</v>
      </c>
      <c r="I73" s="91">
        <f t="shared" si="21"/>
        <v>4.7251013309482497E-2</v>
      </c>
      <c r="J73" s="91">
        <f t="shared" si="21"/>
        <v>5.3713511744763458E-2</v>
      </c>
      <c r="K73" s="91">
        <f t="shared" si="21"/>
        <v>2.9923240772884718E-2</v>
      </c>
      <c r="L73" s="91">
        <f t="shared" si="21"/>
        <v>2.7188695672226509E-2</v>
      </c>
      <c r="M73" s="91">
        <f t="shared" si="21"/>
        <v>3.0846780650293924E-2</v>
      </c>
      <c r="N73" s="91">
        <f t="shared" si="21"/>
        <v>6.8675566389581166E-2</v>
      </c>
      <c r="O73" s="91">
        <f t="shared" si="21"/>
        <v>8.0672307654603842E-3</v>
      </c>
      <c r="P73" s="91">
        <f t="shared" si="21"/>
        <v>4.6571663822947253E-3</v>
      </c>
      <c r="Q73" s="91">
        <f t="shared" si="21"/>
        <v>1.9983045548519714E-2</v>
      </c>
      <c r="R73" s="91">
        <f t="shared" si="21"/>
        <v>1.6904542918065465E-2</v>
      </c>
      <c r="S73" s="91">
        <f t="shared" si="21"/>
        <v>2.7441477680396772E-2</v>
      </c>
      <c r="T73" s="91">
        <f t="shared" si="21"/>
        <v>5.3485155863362034E-3</v>
      </c>
      <c r="U73" s="91">
        <f t="shared" si="21"/>
        <v>1.0032836373474588E-2</v>
      </c>
      <c r="V73" s="91">
        <f t="shared" si="21"/>
        <v>9.9090602346871073E-3</v>
      </c>
      <c r="W73" s="91">
        <f t="shared" si="21"/>
        <v>6.0828295605482143E-3</v>
      </c>
    </row>
    <row r="74" spans="2:23" ht="15.75" thickBot="1" x14ac:dyDescent="0.3">
      <c r="B74" s="94" t="s">
        <v>15</v>
      </c>
      <c r="C74" s="76">
        <f>ROUNDUP(C71/(0.9*(($C$7-C73/2)/100)*($L$9*1000)),2)</f>
        <v>2.0599999999999996</v>
      </c>
      <c r="D74" s="76">
        <f t="shared" ref="D74:W74" si="22">ROUNDUP(D71/(0.9*(($C$7-D73/2)/100)*($L$9*1000)),2)</f>
        <v>2.8299999999999996</v>
      </c>
      <c r="E74" s="76">
        <f t="shared" si="22"/>
        <v>2.8299999999999996</v>
      </c>
      <c r="F74" s="76">
        <f t="shared" si="22"/>
        <v>3.0199999999999996</v>
      </c>
      <c r="G74" s="76">
        <f t="shared" si="22"/>
        <v>2.48</v>
      </c>
      <c r="H74" s="76">
        <f t="shared" si="22"/>
        <v>3.03</v>
      </c>
      <c r="I74" s="76">
        <f t="shared" si="22"/>
        <v>3.03</v>
      </c>
      <c r="J74" s="76">
        <f t="shared" si="22"/>
        <v>3.44</v>
      </c>
      <c r="K74" s="76">
        <f t="shared" si="22"/>
        <v>1.92</v>
      </c>
      <c r="L74" s="76">
        <f t="shared" si="22"/>
        <v>1.74</v>
      </c>
      <c r="M74" s="76">
        <f t="shared" si="22"/>
        <v>1.98</v>
      </c>
      <c r="N74" s="76">
        <f t="shared" si="22"/>
        <v>4.3999999999999995</v>
      </c>
      <c r="O74" s="76">
        <f t="shared" si="22"/>
        <v>0.52</v>
      </c>
      <c r="P74" s="76">
        <f t="shared" si="22"/>
        <v>0.3</v>
      </c>
      <c r="Q74" s="76">
        <f t="shared" si="22"/>
        <v>1.28</v>
      </c>
      <c r="R74" s="76">
        <f t="shared" si="22"/>
        <v>1.08</v>
      </c>
      <c r="S74" s="76">
        <f t="shared" si="22"/>
        <v>1.76</v>
      </c>
      <c r="T74" s="76">
        <f t="shared" si="22"/>
        <v>0.35000000000000003</v>
      </c>
      <c r="U74" s="76">
        <f t="shared" si="22"/>
        <v>0.65</v>
      </c>
      <c r="V74" s="76">
        <f t="shared" si="22"/>
        <v>0.64</v>
      </c>
      <c r="W74" s="76">
        <f t="shared" si="22"/>
        <v>0.39</v>
      </c>
    </row>
    <row r="75" spans="2:23" ht="16.5" thickBot="1" x14ac:dyDescent="0.3">
      <c r="B75" s="61" t="s">
        <v>100</v>
      </c>
      <c r="C75" s="192" t="str">
        <f>IF(C74&gt;$C$12,"$\phi"&amp;IF(VLOOKUP(VLOOKUP(C74,tablas!$S$3:$U$66,2,TRUE)&amp;VLOOKUP(C74,tablas!$S$3:$U$66,3,TRUE),tablas!$R$3:$S$66,2,FALSE)&lt;C74,VLOOKUP(C74+0.1,tablas!$S$3:$U$66,2,TRUE),VLOOKUP(C74,tablas!$S$3:$U$66,2,TRUE))&amp;"@"&amp;IF(VLOOKUP(VLOOKUP(C74,tablas!$S$3:$U$66,2,TRUE)&amp;VLOOKUP(C74,tablas!$S$3:$U$66,3,TRUE),tablas!$R$3:$S$66,2,FALSE)&lt;C74,VLOOKUP(C74+0.1,tablas!$S$3:$U$66,3,TRUE),VLOOKUP(C74,tablas!$S$3:$U$66,3,TRUE))&amp;"$",$C$13)</f>
        <v>$\phi8@17$</v>
      </c>
      <c r="D75" s="192" t="str">
        <f>IF(D74&gt;$C$12,"$\phi"&amp;IF(VLOOKUP(VLOOKUP(D74,tablas!$S$3:$U$66,2,TRUE)&amp;VLOOKUP(D74,tablas!$S$3:$U$66,3,TRUE),tablas!$R$3:$S$66,2,FALSE)&lt;D74,VLOOKUP(D74+0.1,tablas!$S$3:$U$66,2,TRUE),VLOOKUP(D74,tablas!$S$3:$U$66,2,TRUE))&amp;"@"&amp;IF(VLOOKUP(VLOOKUP(D74,tablas!$S$3:$U$66,2,TRUE)&amp;VLOOKUP(D74,tablas!$S$3:$U$66,3,TRUE),tablas!$R$3:$S$66,2,FALSE)&lt;D74,VLOOKUP(D74+0.1,tablas!$S$3:$U$66,3,TRUE),VLOOKUP(D74,tablas!$S$3:$U$66,3,TRUE))&amp;"$",$C$13)</f>
        <v>$\phi8@17$</v>
      </c>
      <c r="E75" s="192" t="str">
        <f>IF(E74&gt;$C$12,"$\phi"&amp;IF(VLOOKUP(VLOOKUP(E74,tablas!$S$3:$U$66,2,TRUE)&amp;VLOOKUP(E74,tablas!$S$3:$U$66,3,TRUE),tablas!$R$3:$S$66,2,FALSE)&lt;E74,VLOOKUP(E74+0.1,tablas!$S$3:$U$66,2,TRUE),VLOOKUP(E74,tablas!$S$3:$U$66,2,TRUE))&amp;"@"&amp;IF(VLOOKUP(VLOOKUP(E74,tablas!$S$3:$U$66,2,TRUE)&amp;VLOOKUP(E74,tablas!$S$3:$U$66,3,TRUE),tablas!$R$3:$S$66,2,FALSE)&lt;E74,VLOOKUP(E74+0.1,tablas!$S$3:$U$66,3,TRUE),VLOOKUP(E74,tablas!$S$3:$U$66,3,TRUE))&amp;"$",$C$13)</f>
        <v>$\phi8@17$</v>
      </c>
      <c r="F75" s="192" t="str">
        <f>IF(F74&gt;$C$12,"$\phi"&amp;IF(VLOOKUP(VLOOKUP(F74,tablas!$S$3:$U$66,2,TRUE)&amp;VLOOKUP(F74,tablas!$S$3:$U$66,3,TRUE),tablas!$R$3:$S$66,2,FALSE)&lt;F74,VLOOKUP(F74+0.1,tablas!$S$3:$U$66,2,TRUE),VLOOKUP(F74,tablas!$S$3:$U$66,2,TRUE))&amp;"@"&amp;IF(VLOOKUP(VLOOKUP(F74,tablas!$S$3:$U$66,2,TRUE)&amp;VLOOKUP(F74,tablas!$S$3:$U$66,3,TRUE),tablas!$R$3:$S$66,2,FALSE)&lt;F74,VLOOKUP(F74+0.1,tablas!$S$3:$U$66,3,TRUE),VLOOKUP(F74,tablas!$S$3:$U$66,3,TRUE))&amp;"$",$C$13)</f>
        <v>$\phi8@17$</v>
      </c>
      <c r="G75" s="192" t="str">
        <f>IF(G74&gt;$C$12,"$\phi"&amp;IF(VLOOKUP(VLOOKUP(G74,tablas!$S$3:$U$66,2,TRUE)&amp;VLOOKUP(G74,tablas!$S$3:$U$66,3,TRUE),tablas!$R$3:$S$66,2,FALSE)&lt;G74,VLOOKUP(G74+0.1,tablas!$S$3:$U$66,2,TRUE),VLOOKUP(G74,tablas!$S$3:$U$66,2,TRUE))&amp;"@"&amp;IF(VLOOKUP(VLOOKUP(G74,tablas!$S$3:$U$66,2,TRUE)&amp;VLOOKUP(G74,tablas!$S$3:$U$66,3,TRUE),tablas!$R$3:$S$66,2,FALSE)&lt;G74,VLOOKUP(G74+0.1,tablas!$S$3:$U$66,3,TRUE),VLOOKUP(G74,tablas!$S$3:$U$66,3,TRUE))&amp;"$",$C$13)</f>
        <v>$\phi8@17$</v>
      </c>
      <c r="H75" s="192" t="str">
        <f>IF(H74&gt;$C$12,"$\phi"&amp;IF(VLOOKUP(VLOOKUP(H74,tablas!$S$3:$U$66,2,TRUE)&amp;VLOOKUP(H74,tablas!$S$3:$U$66,3,TRUE),tablas!$R$3:$S$66,2,FALSE)&lt;H74,VLOOKUP(H74+0.1,tablas!$S$3:$U$66,2,TRUE),VLOOKUP(H74,tablas!$S$3:$U$66,2,TRUE))&amp;"@"&amp;IF(VLOOKUP(VLOOKUP(H74,tablas!$S$3:$U$66,2,TRUE)&amp;VLOOKUP(H74,tablas!$S$3:$U$66,3,TRUE),tablas!$R$3:$S$66,2,FALSE)&lt;H74,VLOOKUP(H74+0.1,tablas!$S$3:$U$66,3,TRUE),VLOOKUP(H74,tablas!$S$3:$U$66,3,TRUE))&amp;"$",$C$13)</f>
        <v>$\phi8@17$</v>
      </c>
      <c r="I75" s="192" t="str">
        <f>IF(I74&gt;$C$12,"$\phi"&amp;IF(VLOOKUP(VLOOKUP(I74,tablas!$S$3:$U$66,2,TRUE)&amp;VLOOKUP(I74,tablas!$S$3:$U$66,3,TRUE),tablas!$R$3:$S$66,2,FALSE)&lt;I74,VLOOKUP(I74+0.1,tablas!$S$3:$U$66,2,TRUE),VLOOKUP(I74,tablas!$S$3:$U$66,2,TRUE))&amp;"@"&amp;IF(VLOOKUP(VLOOKUP(I74,tablas!$S$3:$U$66,2,TRUE)&amp;VLOOKUP(I74,tablas!$S$3:$U$66,3,TRUE),tablas!$R$3:$S$66,2,FALSE)&lt;I74,VLOOKUP(I74+0.1,tablas!$S$3:$U$66,3,TRUE),VLOOKUP(I74,tablas!$S$3:$U$66,3,TRUE))&amp;"$",$C$13)</f>
        <v>$\phi8@17$</v>
      </c>
      <c r="J75" s="192" t="str">
        <f>IF(J74&gt;$C$12,"$\phi"&amp;IF(VLOOKUP(VLOOKUP(J74,tablas!$S$3:$U$66,2,TRUE)&amp;VLOOKUP(J74,tablas!$S$3:$U$66,3,TRUE),tablas!$R$3:$S$66,2,FALSE)&lt;J74,VLOOKUP(J74+0.1,tablas!$S$3:$U$66,2,TRUE),VLOOKUP(J74,tablas!$S$3:$U$66,2,TRUE))&amp;"@"&amp;IF(VLOOKUP(VLOOKUP(J74,tablas!$S$3:$U$66,2,TRUE)&amp;VLOOKUP(J74,tablas!$S$3:$U$66,3,TRUE),tablas!$R$3:$S$66,2,FALSE)&lt;J74,VLOOKUP(J74+0.1,tablas!$S$3:$U$66,3,TRUE),VLOOKUP(J74,tablas!$S$3:$U$66,3,TRUE))&amp;"$",$C$13)</f>
        <v>$\phi10@23$</v>
      </c>
      <c r="K75" s="192" t="str">
        <f>IF(K74&gt;$C$12,"$\phi"&amp;IF(VLOOKUP(VLOOKUP(K74,tablas!$S$3:$U$66,2,TRUE)&amp;VLOOKUP(K74,tablas!$S$3:$U$66,3,TRUE),tablas!$R$3:$S$66,2,FALSE)&lt;K74,VLOOKUP(K74+0.1,tablas!$S$3:$U$66,2,TRUE),VLOOKUP(K74,tablas!$S$3:$U$66,2,TRUE))&amp;"@"&amp;IF(VLOOKUP(VLOOKUP(K74,tablas!$S$3:$U$66,2,TRUE)&amp;VLOOKUP(K74,tablas!$S$3:$U$66,3,TRUE),tablas!$R$3:$S$66,2,FALSE)&lt;K74,VLOOKUP(K74+0.1,tablas!$S$3:$U$66,3,TRUE),VLOOKUP(K74,tablas!$S$3:$U$66,3,TRUE))&amp;"$",$C$13)</f>
        <v>$\phi8@17$</v>
      </c>
      <c r="L75" s="192" t="str">
        <f>IF(L74&gt;$C$12,"$\phi"&amp;IF(VLOOKUP(VLOOKUP(L74,tablas!$S$3:$U$66,2,TRUE)&amp;VLOOKUP(L74,tablas!$S$3:$U$66,3,TRUE),tablas!$R$3:$S$66,2,FALSE)&lt;L74,VLOOKUP(L74+0.1,tablas!$S$3:$U$66,2,TRUE),VLOOKUP(L74,tablas!$S$3:$U$66,2,TRUE))&amp;"@"&amp;IF(VLOOKUP(VLOOKUP(L74,tablas!$S$3:$U$66,2,TRUE)&amp;VLOOKUP(L74,tablas!$S$3:$U$66,3,TRUE),tablas!$R$3:$S$66,2,FALSE)&lt;L74,VLOOKUP(L74+0.1,tablas!$S$3:$U$66,3,TRUE),VLOOKUP(L74,tablas!$S$3:$U$66,3,TRUE))&amp;"$",$C$13)</f>
        <v>$\phi8@17$</v>
      </c>
      <c r="M75" s="192" t="str">
        <f>IF(M74&gt;$C$12,"$\phi"&amp;IF(VLOOKUP(VLOOKUP(M74,tablas!$S$3:$U$66,2,TRUE)&amp;VLOOKUP(M74,tablas!$S$3:$U$66,3,TRUE),tablas!$R$3:$S$66,2,FALSE)&lt;M74,VLOOKUP(M74+0.1,tablas!$S$3:$U$66,2,TRUE),VLOOKUP(M74,tablas!$S$3:$U$66,2,TRUE))&amp;"@"&amp;IF(VLOOKUP(VLOOKUP(M74,tablas!$S$3:$U$66,2,TRUE)&amp;VLOOKUP(M74,tablas!$S$3:$U$66,3,TRUE),tablas!$R$3:$S$66,2,FALSE)&lt;M74,VLOOKUP(M74+0.1,tablas!$S$3:$U$66,3,TRUE),VLOOKUP(M74,tablas!$S$3:$U$66,3,TRUE))&amp;"$",$C$13)</f>
        <v>$\phi8@17$</v>
      </c>
      <c r="N75" s="192" t="str">
        <f>IF(N74&gt;$C$12,"$\phi"&amp;IF(VLOOKUP(VLOOKUP(N74,tablas!$S$3:$U$66,2,TRUE)&amp;VLOOKUP(N74,tablas!$S$3:$U$66,3,TRUE),tablas!$R$3:$S$66,2,FALSE)&lt;N74,VLOOKUP(N74+0.1,tablas!$S$3:$U$66,2,TRUE),VLOOKUP(N74,tablas!$S$3:$U$66,2,TRUE))&amp;"@"&amp;IF(VLOOKUP(VLOOKUP(N74,tablas!$S$3:$U$66,2,TRUE)&amp;VLOOKUP(N74,tablas!$S$3:$U$66,3,TRUE),tablas!$R$3:$S$66,2,FALSE)&lt;N74,VLOOKUP(N74+0.1,tablas!$S$3:$U$66,3,TRUE),VLOOKUP(N74,tablas!$S$3:$U$66,3,TRUE))&amp;"$",$C$13)</f>
        <v>$\phi10@18$</v>
      </c>
      <c r="O75" s="192" t="str">
        <f>IF(O74&gt;$C$12,"$\phi"&amp;IF(VLOOKUP(VLOOKUP(O74,tablas!$S$3:$U$66,2,TRUE)&amp;VLOOKUP(O74,tablas!$S$3:$U$66,3,TRUE),tablas!$R$3:$S$66,2,FALSE)&lt;O74,VLOOKUP(O74+0.1,tablas!$S$3:$U$66,2,TRUE),VLOOKUP(O74,tablas!$S$3:$U$66,2,TRUE))&amp;"@"&amp;IF(VLOOKUP(VLOOKUP(O74,tablas!$S$3:$U$66,2,TRUE)&amp;VLOOKUP(O74,tablas!$S$3:$U$66,3,TRUE),tablas!$R$3:$S$66,2,FALSE)&lt;O74,VLOOKUP(O74+0.1,tablas!$S$3:$U$66,3,TRUE),VLOOKUP(O74,tablas!$S$3:$U$66,3,TRUE))&amp;"$",$C$13)</f>
        <v>$\phi8@17$</v>
      </c>
      <c r="P75" s="192" t="str">
        <f>IF(P74&gt;$C$12,"$\phi"&amp;IF(VLOOKUP(VLOOKUP(P74,tablas!$S$3:$U$66,2,TRUE)&amp;VLOOKUP(P74,tablas!$S$3:$U$66,3,TRUE),tablas!$R$3:$S$66,2,FALSE)&lt;P74,VLOOKUP(P74+0.1,tablas!$S$3:$U$66,2,TRUE),VLOOKUP(P74,tablas!$S$3:$U$66,2,TRUE))&amp;"@"&amp;IF(VLOOKUP(VLOOKUP(P74,tablas!$S$3:$U$66,2,TRUE)&amp;VLOOKUP(P74,tablas!$S$3:$U$66,3,TRUE),tablas!$R$3:$S$66,2,FALSE)&lt;P74,VLOOKUP(P74+0.1,tablas!$S$3:$U$66,3,TRUE),VLOOKUP(P74,tablas!$S$3:$U$66,3,TRUE))&amp;"$",$C$13)</f>
        <v>$\phi8@17$</v>
      </c>
      <c r="Q75" s="192" t="str">
        <f>IF(Q74&gt;$C$12,"$\phi"&amp;IF(VLOOKUP(VLOOKUP(Q74,tablas!$S$3:$U$66,2,TRUE)&amp;VLOOKUP(Q74,tablas!$S$3:$U$66,3,TRUE),tablas!$R$3:$S$66,2,FALSE)&lt;Q74,VLOOKUP(Q74+0.1,tablas!$S$3:$U$66,2,TRUE),VLOOKUP(Q74,tablas!$S$3:$U$66,2,TRUE))&amp;"@"&amp;IF(VLOOKUP(VLOOKUP(Q74,tablas!$S$3:$U$66,2,TRUE)&amp;VLOOKUP(Q74,tablas!$S$3:$U$66,3,TRUE),tablas!$R$3:$S$66,2,FALSE)&lt;Q74,VLOOKUP(Q74+0.1,tablas!$S$3:$U$66,3,TRUE),VLOOKUP(Q74,tablas!$S$3:$U$66,3,TRUE))&amp;"$",$C$13)</f>
        <v>$\phi8@17$</v>
      </c>
      <c r="R75" s="192" t="str">
        <f>IF(R74&gt;$C$12,"$\phi"&amp;IF(VLOOKUP(VLOOKUP(R74,tablas!$S$3:$U$66,2,TRUE)&amp;VLOOKUP(R74,tablas!$S$3:$U$66,3,TRUE),tablas!$R$3:$S$66,2,FALSE)&lt;R74,VLOOKUP(R74+0.1,tablas!$S$3:$U$66,2,TRUE),VLOOKUP(R74,tablas!$S$3:$U$66,2,TRUE))&amp;"@"&amp;IF(VLOOKUP(VLOOKUP(R74,tablas!$S$3:$U$66,2,TRUE)&amp;VLOOKUP(R74,tablas!$S$3:$U$66,3,TRUE),tablas!$R$3:$S$66,2,FALSE)&lt;R74,VLOOKUP(R74+0.1,tablas!$S$3:$U$66,3,TRUE),VLOOKUP(R74,tablas!$S$3:$U$66,3,TRUE))&amp;"$",$C$13)</f>
        <v>$\phi8@17$</v>
      </c>
      <c r="S75" s="192" t="str">
        <f>IF(S74&gt;$C$12,"$\phi"&amp;IF(VLOOKUP(VLOOKUP(S74,tablas!$S$3:$U$66,2,TRUE)&amp;VLOOKUP(S74,tablas!$S$3:$U$66,3,TRUE),tablas!$R$3:$S$66,2,FALSE)&lt;S74,VLOOKUP(S74+0.1,tablas!$S$3:$U$66,2,TRUE),VLOOKUP(S74,tablas!$S$3:$U$66,2,TRUE))&amp;"@"&amp;IF(VLOOKUP(VLOOKUP(S74,tablas!$S$3:$U$66,2,TRUE)&amp;VLOOKUP(S74,tablas!$S$3:$U$66,3,TRUE),tablas!$R$3:$S$66,2,FALSE)&lt;S74,VLOOKUP(S74+0.1,tablas!$S$3:$U$66,3,TRUE),VLOOKUP(S74,tablas!$S$3:$U$66,3,TRUE))&amp;"$",$C$13)</f>
        <v>$\phi8@17$</v>
      </c>
      <c r="T75" s="192" t="str">
        <f>IF(T74&gt;$C$12,"$\phi"&amp;IF(VLOOKUP(VLOOKUP(T74,tablas!$S$3:$U$66,2,TRUE)&amp;VLOOKUP(T74,tablas!$S$3:$U$66,3,TRUE),tablas!$R$3:$S$66,2,FALSE)&lt;T74,VLOOKUP(T74+0.1,tablas!$S$3:$U$66,2,TRUE),VLOOKUP(T74,tablas!$S$3:$U$66,2,TRUE))&amp;"@"&amp;IF(VLOOKUP(VLOOKUP(T74,tablas!$S$3:$U$66,2,TRUE)&amp;VLOOKUP(T74,tablas!$S$3:$U$66,3,TRUE),tablas!$R$3:$S$66,2,FALSE)&lt;T74,VLOOKUP(T74+0.1,tablas!$S$3:$U$66,3,TRUE),VLOOKUP(T74,tablas!$S$3:$U$66,3,TRUE))&amp;"$",$C$13)</f>
        <v>$\phi8@17$</v>
      </c>
      <c r="U75" s="192" t="str">
        <f>IF(U74&gt;$C$12,"$\phi"&amp;IF(VLOOKUP(VLOOKUP(U74,tablas!$S$3:$U$66,2,TRUE)&amp;VLOOKUP(U74,tablas!$S$3:$U$66,3,TRUE),tablas!$R$3:$S$66,2,FALSE)&lt;U74,VLOOKUP(U74+0.1,tablas!$S$3:$U$66,2,TRUE),VLOOKUP(U74,tablas!$S$3:$U$66,2,TRUE))&amp;"@"&amp;IF(VLOOKUP(VLOOKUP(U74,tablas!$S$3:$U$66,2,TRUE)&amp;VLOOKUP(U74,tablas!$S$3:$U$66,3,TRUE),tablas!$R$3:$S$66,2,FALSE)&lt;U74,VLOOKUP(U74+0.1,tablas!$S$3:$U$66,3,TRUE),VLOOKUP(U74,tablas!$S$3:$U$66,3,TRUE))&amp;"$",$C$13)</f>
        <v>$\phi8@17$</v>
      </c>
      <c r="V75" s="192" t="str">
        <f>IF(V74&gt;$C$12,"$\phi"&amp;IF(VLOOKUP(VLOOKUP(V74,tablas!$S$3:$U$66,2,TRUE)&amp;VLOOKUP(V74,tablas!$S$3:$U$66,3,TRUE),tablas!$R$3:$S$66,2,FALSE)&lt;V74,VLOOKUP(V74+0.1,tablas!$S$3:$U$66,2,TRUE),VLOOKUP(V74,tablas!$S$3:$U$66,2,TRUE))&amp;"@"&amp;IF(VLOOKUP(VLOOKUP(V74,tablas!$S$3:$U$66,2,TRUE)&amp;VLOOKUP(V74,tablas!$S$3:$U$66,3,TRUE),tablas!$R$3:$S$66,2,FALSE)&lt;V74,VLOOKUP(V74+0.1,tablas!$S$3:$U$66,3,TRUE),VLOOKUP(V74,tablas!$S$3:$U$66,3,TRUE))&amp;"$",$C$13)</f>
        <v>$\phi8@17$</v>
      </c>
      <c r="W75" s="192" t="str">
        <f>IF(W74&gt;$C$12,"$\phi"&amp;IF(VLOOKUP(VLOOKUP(W74,tablas!$S$3:$U$66,2,TRUE)&amp;VLOOKUP(W74,tablas!$S$3:$U$66,3,TRUE),tablas!$R$3:$S$66,2,FALSE)&lt;W74,VLOOKUP(W74+0.1,tablas!$S$3:$U$66,2,TRUE),VLOOKUP(W74,tablas!$S$3:$U$66,2,TRUE))&amp;"@"&amp;IF(VLOOKUP(VLOOKUP(W74,tablas!$S$3:$U$66,2,TRUE)&amp;VLOOKUP(W74,tablas!$S$3:$U$66,3,TRUE),tablas!$R$3:$S$66,2,FALSE)&lt;W74,VLOOKUP(W74+0.1,tablas!$S$3:$U$66,3,TRUE),VLOOKUP(W74,tablas!$S$3:$U$66,3,TRUE))&amp;"$",$C$13)</f>
        <v>$\phi8@17$</v>
      </c>
    </row>
    <row r="76" spans="2:23" x14ac:dyDescent="0.25">
      <c r="B76" s="93" t="s">
        <v>102</v>
      </c>
      <c r="C76" s="88">
        <f>IF(C53&lt;=2,C68/C58*(1+C69*C62)*C56,"0")</f>
        <v>717.3458646616541</v>
      </c>
      <c r="D76" s="88">
        <f t="shared" ref="D76:W76" si="23">IF(D53&lt;=2,D68/D58*(1+D69*D62)*D56,"0")</f>
        <v>481.06761565836308</v>
      </c>
      <c r="E76" s="88">
        <f t="shared" si="23"/>
        <v>481.06761565836308</v>
      </c>
      <c r="F76" s="88">
        <f t="shared" si="23"/>
        <v>459.24156441717793</v>
      </c>
      <c r="G76" s="88">
        <f t="shared" si="23"/>
        <v>1059.607461038961</v>
      </c>
      <c r="H76" s="88">
        <f t="shared" si="23"/>
        <v>768.76192468619263</v>
      </c>
      <c r="I76" s="88">
        <f t="shared" si="23"/>
        <v>768.76192468619263</v>
      </c>
      <c r="J76" s="88">
        <f t="shared" si="23"/>
        <v>584.10428113879004</v>
      </c>
      <c r="K76" s="88">
        <f t="shared" si="23"/>
        <v>675.93676229508196</v>
      </c>
      <c r="L76" s="88">
        <f t="shared" si="23"/>
        <v>442.35313807531384</v>
      </c>
      <c r="M76" s="88">
        <f t="shared" si="23"/>
        <v>501.86924686192469</v>
      </c>
      <c r="N76" s="88">
        <f t="shared" si="23"/>
        <v>668.36818251533737</v>
      </c>
      <c r="O76" s="88">
        <f t="shared" si="23"/>
        <v>116.13305276381911</v>
      </c>
      <c r="P76" s="88" t="str">
        <f t="shared" si="23"/>
        <v>0</v>
      </c>
      <c r="Q76" s="88" t="str">
        <f t="shared" si="23"/>
        <v>0</v>
      </c>
      <c r="R76" s="88">
        <f t="shared" si="23"/>
        <v>444.8340874811463</v>
      </c>
      <c r="S76" s="88">
        <f t="shared" si="23"/>
        <v>564.9014448669202</v>
      </c>
      <c r="T76" s="88" t="str">
        <f t="shared" si="23"/>
        <v>0</v>
      </c>
      <c r="U76" s="88">
        <f t="shared" si="23"/>
        <v>62.244</v>
      </c>
      <c r="V76" s="88">
        <f t="shared" si="23"/>
        <v>87.578778947368406</v>
      </c>
      <c r="W76" s="88" t="str">
        <f t="shared" si="23"/>
        <v>0</v>
      </c>
    </row>
    <row r="77" spans="2:23" x14ac:dyDescent="0.25">
      <c r="B77" s="94" t="s">
        <v>15</v>
      </c>
      <c r="C77" s="84">
        <f t="shared" ref="C77" si="24">C76/(0.9*(0.9*($C$7/100))*($L$9*1000))</f>
        <v>1.4779909522607384</v>
      </c>
      <c r="D77" s="84">
        <f t="shared" ref="D77" si="25">D76/(0.9*(0.9*($C$7/100))*($L$9*1000))</f>
        <v>0.99117262452480459</v>
      </c>
      <c r="E77" s="84">
        <f t="shared" ref="E77" si="26">E76/(0.9*(0.9*($C$7/100))*($L$9*1000))</f>
        <v>0.99117262452480459</v>
      </c>
      <c r="F77" s="84">
        <f t="shared" ref="F77" si="27">F76/(0.9*(0.9*($C$7/100))*($L$9*1000))</f>
        <v>0.94620309469658681</v>
      </c>
      <c r="G77" s="84">
        <f t="shared" ref="G77" si="28">G76/(0.9*(0.9*($C$7/100))*($L$9*1000))</f>
        <v>2.1831731630630156</v>
      </c>
      <c r="H77" s="84">
        <f t="shared" ref="H77" si="29">H76/(0.9*(0.9*($C$7/100))*($L$9*1000))</f>
        <v>1.5839265619307068</v>
      </c>
      <c r="I77" s="84">
        <f t="shared" ref="I77" si="30">I76/(0.9*(0.9*($C$7/100))*($L$9*1000))</f>
        <v>1.5839265619307068</v>
      </c>
      <c r="J77" s="84">
        <f t="shared" ref="J77" si="31">J76/(0.9*(0.9*($C$7/100))*($L$9*1000))</f>
        <v>1.2034652811542754</v>
      </c>
      <c r="K77" s="84">
        <f t="shared" ref="K77" si="32">K76/(0.9*(0.9*($C$7/100))*($L$9*1000))</f>
        <v>1.3926732810312552</v>
      </c>
      <c r="L77" s="84">
        <f t="shared" ref="L77" si="33">L76/(0.9*(0.9*($C$7/100))*($L$9*1000))</f>
        <v>0.91140685126529553</v>
      </c>
      <c r="M77" s="84">
        <f t="shared" ref="M77" si="34">M76/(0.9*(0.9*($C$7/100))*($L$9*1000))</f>
        <v>1.0340314799607802</v>
      </c>
      <c r="N77" s="84">
        <f t="shared" ref="N77" si="35">N76/(0.9*(0.9*($C$7/100))*($L$9*1000))</f>
        <v>1.3770792796060121</v>
      </c>
      <c r="O77" s="84">
        <f t="shared" ref="O77" si="36">O76/(0.9*(0.9*($C$7/100))*($L$9*1000))</f>
        <v>0.23927593326867733</v>
      </c>
      <c r="P77" s="84">
        <f t="shared" ref="P77" si="37">P76/(0.9*(0.9*($C$7/100))*($L$9*1000))</f>
        <v>0</v>
      </c>
      <c r="Q77" s="84">
        <f t="shared" ref="Q77" si="38">Q76/(0.9*(0.9*($C$7/100))*($L$9*1000))</f>
        <v>0</v>
      </c>
      <c r="R77" s="84">
        <f t="shared" ref="R77" si="39">R76/(0.9*(0.9*($C$7/100))*($L$9*1000))</f>
        <v>0.91651850096661014</v>
      </c>
      <c r="S77" s="84">
        <f t="shared" ref="S77" si="40">S76/(0.9*(0.9*($C$7/100))*($L$9*1000))</f>
        <v>1.1639005193486789</v>
      </c>
      <c r="T77" s="84">
        <f t="shared" ref="T77" si="41">T76/(0.9*(0.9*($C$7/100))*($L$9*1000))</f>
        <v>0</v>
      </c>
      <c r="U77" s="84">
        <f t="shared" ref="U77" si="42">U76/(0.9*(0.9*($C$7/100))*($L$9*1000))</f>
        <v>0.12824506749740391</v>
      </c>
      <c r="V77" s="84">
        <f t="shared" ref="V77" si="43">V76/(0.9*(0.9*($C$7/100))*($L$9*1000))</f>
        <v>0.18044384065043181</v>
      </c>
      <c r="W77" s="84">
        <f t="shared" ref="W77" si="44">W76/(0.9*(0.9*($C$7/100))*($L$9*1000))</f>
        <v>0</v>
      </c>
    </row>
    <row r="78" spans="2:23" x14ac:dyDescent="0.25">
      <c r="B78" s="94" t="s">
        <v>98</v>
      </c>
      <c r="C78" s="84">
        <f t="shared" ref="C78" si="45">(C77*($L$9))/(0.85*$L$6*100)</f>
        <v>2.0846272122840535E-2</v>
      </c>
      <c r="D78" s="84">
        <f t="shared" ref="D78" si="46">(D77*($L$9))/(0.85*$L$6*100)</f>
        <v>1.3979959904320856E-2</v>
      </c>
      <c r="E78" s="84">
        <f t="shared" ref="E78" si="47">(E77*($L$9))/(0.85*$L$6*100)</f>
        <v>1.3979959904320856E-2</v>
      </c>
      <c r="F78" s="84">
        <f t="shared" ref="F78" si="48">(F77*($L$9))/(0.85*$L$6*100)</f>
        <v>1.3345688730602708E-2</v>
      </c>
      <c r="G78" s="84">
        <f t="shared" ref="G78" si="49">(G77*($L$9))/(0.85*$L$6*100)</f>
        <v>3.0792490156235652E-2</v>
      </c>
      <c r="H78" s="84">
        <f t="shared" ref="H78" si="50">(H77*($L$9))/(0.85*$L$6*100)</f>
        <v>2.2340437255110975E-2</v>
      </c>
      <c r="I78" s="84">
        <f t="shared" ref="I78" si="51">(I77*($L$9))/(0.85*$L$6*100)</f>
        <v>2.2340437255110975E-2</v>
      </c>
      <c r="J78" s="84">
        <f t="shared" ref="J78" si="52">(J77*($L$9))/(0.85*$L$6*100)</f>
        <v>1.6974234316494644E-2</v>
      </c>
      <c r="K78" s="84">
        <f t="shared" ref="K78" si="53">(K77*($L$9))/(0.85*$L$6*100)</f>
        <v>1.964291198818182E-2</v>
      </c>
      <c r="L78" s="84">
        <f t="shared" ref="L78" si="54">(L77*($L$9))/(0.85*$L$6*100)</f>
        <v>1.2854906322015044E-2</v>
      </c>
      <c r="M78" s="84">
        <f t="shared" ref="M78" si="55">(M77*($L$9))/(0.85*$L$6*100)</f>
        <v>1.4584461144281233E-2</v>
      </c>
      <c r="N78" s="84">
        <f t="shared" ref="N78" si="56">(N77*($L$9))/(0.85*$L$6*100)</f>
        <v>1.9422966935949026E-2</v>
      </c>
      <c r="O78" s="84">
        <f t="shared" ref="O78" si="57">(O77*($L$9))/(0.85*$L$6*100)</f>
        <v>3.37485910163104E-3</v>
      </c>
      <c r="P78" s="84">
        <f t="shared" ref="P78" si="58">(P77*($L$9))/(0.85*$L$6*100)</f>
        <v>0</v>
      </c>
      <c r="Q78" s="84">
        <f t="shared" ref="Q78" si="59">(Q77*($L$9))/(0.85*$L$6*100)</f>
        <v>0</v>
      </c>
      <c r="R78" s="84">
        <f t="shared" ref="R78" si="60">(R77*($L$9))/(0.85*$L$6*100)</f>
        <v>1.2927003407932416E-2</v>
      </c>
      <c r="S78" s="84">
        <f t="shared" ref="S78" si="61">(S77*($L$9))/(0.85*$L$6*100)</f>
        <v>1.6416194505890085E-2</v>
      </c>
      <c r="T78" s="84">
        <f t="shared" ref="T78" si="62">(T77*($L$9))/(0.85*$L$6*100)</f>
        <v>0</v>
      </c>
      <c r="U78" s="84">
        <f t="shared" ref="U78" si="63">(U77*($L$9))/(0.85*$L$6*100)</f>
        <v>1.8088281064059608E-3</v>
      </c>
      <c r="V78" s="84">
        <f t="shared" ref="V78" si="64">(V77*($L$9))/(0.85*$L$6*100)</f>
        <v>2.5450638918564777E-3</v>
      </c>
      <c r="W78" s="84">
        <f t="shared" ref="W78" si="65">(W77*($L$9))/(0.85*$L$6*100)</f>
        <v>0</v>
      </c>
    </row>
    <row r="79" spans="2:23" ht="15.75" thickBot="1" x14ac:dyDescent="0.3">
      <c r="B79" s="94" t="s">
        <v>15</v>
      </c>
      <c r="C79" s="76">
        <f t="shared" ref="C79" si="66">ROUNDUP(C76/(0.9*(($C$7-C78/2)/100)*($L$9*1000)),2)</f>
        <v>1.34</v>
      </c>
      <c r="D79" s="76">
        <f t="shared" ref="D79" si="67">ROUNDUP(D76/(0.9*(($C$7-D78/2)/100)*($L$9*1000)),2)</f>
        <v>0.9</v>
      </c>
      <c r="E79" s="76">
        <f t="shared" ref="E79" si="68">ROUNDUP(E76/(0.9*(($C$7-E78/2)/100)*($L$9*1000)),2)</f>
        <v>0.9</v>
      </c>
      <c r="F79" s="76">
        <f t="shared" ref="F79" si="69">ROUNDUP(F76/(0.9*(($C$7-F78/2)/100)*($L$9*1000)),2)</f>
        <v>0.86</v>
      </c>
      <c r="G79" s="76">
        <f t="shared" ref="G79" si="70">ROUNDUP(G76/(0.9*(($C$7-G78/2)/100)*($L$9*1000)),2)</f>
        <v>1.97</v>
      </c>
      <c r="H79" s="76">
        <f t="shared" ref="H79" si="71">ROUNDUP(H76/(0.9*(($C$7-H78/2)/100)*($L$9*1000)),2)</f>
        <v>1.43</v>
      </c>
      <c r="I79" s="76">
        <f t="shared" ref="I79" si="72">ROUNDUP(I76/(0.9*(($C$7-I78/2)/100)*($L$9*1000)),2)</f>
        <v>1.43</v>
      </c>
      <c r="J79" s="76">
        <f t="shared" ref="J79" si="73">ROUNDUP(J76/(0.9*(($C$7-J78/2)/100)*($L$9*1000)),2)</f>
        <v>1.0900000000000001</v>
      </c>
      <c r="K79" s="76">
        <f t="shared" ref="K79" si="74">ROUNDUP(K76/(0.9*(($C$7-K78/2)/100)*($L$9*1000)),2)</f>
        <v>1.26</v>
      </c>
      <c r="L79" s="76">
        <f t="shared" ref="L79" si="75">ROUNDUP(L76/(0.9*(($C$7-L78/2)/100)*($L$9*1000)),2)</f>
        <v>0.83</v>
      </c>
      <c r="M79" s="76">
        <f t="shared" ref="M79" si="76">ROUNDUP(M76/(0.9*(($C$7-M78/2)/100)*($L$9*1000)),2)</f>
        <v>0.94000000000000006</v>
      </c>
      <c r="N79" s="76">
        <f t="shared" ref="N79" si="77">ROUNDUP(N76/(0.9*(($C$7-N78/2)/100)*($L$9*1000)),2)</f>
        <v>1.25</v>
      </c>
      <c r="O79" s="76">
        <f t="shared" ref="O79" si="78">ROUNDUP(O76/(0.9*(($C$7-O78/2)/100)*($L$9*1000)),2)</f>
        <v>0.22</v>
      </c>
      <c r="P79" s="76">
        <f t="shared" ref="P79" si="79">ROUNDUP(P76/(0.9*(($C$7-P78/2)/100)*($L$9*1000)),2)</f>
        <v>0</v>
      </c>
      <c r="Q79" s="76">
        <f t="shared" ref="Q79" si="80">ROUNDUP(Q76/(0.9*(($C$7-Q78/2)/100)*($L$9*1000)),2)</f>
        <v>0</v>
      </c>
      <c r="R79" s="76">
        <f t="shared" ref="R79" si="81">ROUNDUP(R76/(0.9*(($C$7-R78/2)/100)*($L$9*1000)),2)</f>
        <v>0.83</v>
      </c>
      <c r="S79" s="76">
        <f t="shared" ref="S79" si="82">ROUNDUP(S76/(0.9*(($C$7-S78/2)/100)*($L$9*1000)),2)</f>
        <v>1.05</v>
      </c>
      <c r="T79" s="76">
        <f t="shared" ref="T79" si="83">ROUNDUP(T76/(0.9*(($C$7-T78/2)/100)*($L$9*1000)),2)</f>
        <v>0</v>
      </c>
      <c r="U79" s="76">
        <f t="shared" ref="U79" si="84">ROUNDUP(U76/(0.9*(($C$7-U78/2)/100)*($L$9*1000)),2)</f>
        <v>0.12</v>
      </c>
      <c r="V79" s="76">
        <f t="shared" ref="V79" si="85">ROUNDUP(V76/(0.9*(($C$7-V78/2)/100)*($L$9*1000)),2)</f>
        <v>0.17</v>
      </c>
      <c r="W79" s="76">
        <f t="shared" ref="W79" si="86">ROUNDUP(W76/(0.9*(($C$7-W78/2)/100)*($L$9*1000)),2)</f>
        <v>0</v>
      </c>
    </row>
    <row r="80" spans="2:23" ht="16.5" thickBot="1" x14ac:dyDescent="0.3">
      <c r="B80" s="61" t="s">
        <v>101</v>
      </c>
      <c r="C80" s="192" t="str">
        <f>IF(C79&gt;$C$12,"$\phi"&amp;IF(VLOOKUP(VLOOKUP(C79,tablas!$S$3:$U$66,2,TRUE)&amp;VLOOKUP(C79,tablas!$S$3:$U$66,3,TRUE),tablas!$R$3:$S$66,2,FALSE)&lt;C79,VLOOKUP(C79+0.1,tablas!$S$3:$U$66,2,TRUE),VLOOKUP(C79,tablas!$S$3:$U$66,2,TRUE))&amp;"@"&amp;IF(VLOOKUP(VLOOKUP(C79,tablas!$S$3:$U$66,2,TRUE)&amp;VLOOKUP(C79,tablas!$S$3:$U$66,3,TRUE),tablas!$R$3:$S$66,2,FALSE)&lt;C79,VLOOKUP(C79+0.1,tablas!$S$3:$U$66,3,TRUE),VLOOKUP(C79,tablas!$S$3:$U$66,3,TRUE))&amp;"$",$C$13)</f>
        <v>$\phi8@17$</v>
      </c>
      <c r="D80" s="192" t="str">
        <f>IF(D79&gt;$C$12,"$\phi"&amp;IF(VLOOKUP(VLOOKUP(D79,tablas!$S$3:$U$66,2,TRUE)&amp;VLOOKUP(D79,tablas!$S$3:$U$66,3,TRUE),tablas!$R$3:$S$66,2,FALSE)&lt;D79,VLOOKUP(D79+0.1,tablas!$S$3:$U$66,2,TRUE),VLOOKUP(D79,tablas!$S$3:$U$66,2,TRUE))&amp;"@"&amp;IF(VLOOKUP(VLOOKUP(D79,tablas!$S$3:$U$66,2,TRUE)&amp;VLOOKUP(D79,tablas!$S$3:$U$66,3,TRUE),tablas!$R$3:$S$66,2,FALSE)&lt;D79,VLOOKUP(D79+0.1,tablas!$S$3:$U$66,3,TRUE),VLOOKUP(D79,tablas!$S$3:$U$66,3,TRUE))&amp;"$",$C$13)</f>
        <v>$\phi8@17$</v>
      </c>
      <c r="E80" s="192" t="str">
        <f>IF(E79&gt;$C$12,"$\phi"&amp;IF(VLOOKUP(VLOOKUP(E79,tablas!$S$3:$U$66,2,TRUE)&amp;VLOOKUP(E79,tablas!$S$3:$U$66,3,TRUE),tablas!$R$3:$S$66,2,FALSE)&lt;E79,VLOOKUP(E79+0.1,tablas!$S$3:$U$66,2,TRUE),VLOOKUP(E79,tablas!$S$3:$U$66,2,TRUE))&amp;"@"&amp;IF(VLOOKUP(VLOOKUP(E79,tablas!$S$3:$U$66,2,TRUE)&amp;VLOOKUP(E79,tablas!$S$3:$U$66,3,TRUE),tablas!$R$3:$S$66,2,FALSE)&lt;E79,VLOOKUP(E79+0.1,tablas!$S$3:$U$66,3,TRUE),VLOOKUP(E79,tablas!$S$3:$U$66,3,TRUE))&amp;"$",$C$13)</f>
        <v>$\phi8@17$</v>
      </c>
      <c r="F80" s="192" t="str">
        <f>IF(F79&gt;$C$12,"$\phi"&amp;IF(VLOOKUP(VLOOKUP(F79,tablas!$S$3:$U$66,2,TRUE)&amp;VLOOKUP(F79,tablas!$S$3:$U$66,3,TRUE),tablas!$R$3:$S$66,2,FALSE)&lt;F79,VLOOKUP(F79+0.1,tablas!$S$3:$U$66,2,TRUE),VLOOKUP(F79,tablas!$S$3:$U$66,2,TRUE))&amp;"@"&amp;IF(VLOOKUP(VLOOKUP(F79,tablas!$S$3:$U$66,2,TRUE)&amp;VLOOKUP(F79,tablas!$S$3:$U$66,3,TRUE),tablas!$R$3:$S$66,2,FALSE)&lt;F79,VLOOKUP(F79+0.1,tablas!$S$3:$U$66,3,TRUE),VLOOKUP(F79,tablas!$S$3:$U$66,3,TRUE))&amp;"$",$C$13)</f>
        <v>$\phi8@17$</v>
      </c>
      <c r="G80" s="192" t="str">
        <f>IF(G79&gt;$C$12,"$\phi"&amp;IF(VLOOKUP(VLOOKUP(G79,tablas!$S$3:$U$66,2,TRUE)&amp;VLOOKUP(G79,tablas!$S$3:$U$66,3,TRUE),tablas!$R$3:$S$66,2,FALSE)&lt;G79,VLOOKUP(G79+0.1,tablas!$S$3:$U$66,2,TRUE),VLOOKUP(G79,tablas!$S$3:$U$66,2,TRUE))&amp;"@"&amp;IF(VLOOKUP(VLOOKUP(G79,tablas!$S$3:$U$66,2,TRUE)&amp;VLOOKUP(G79,tablas!$S$3:$U$66,3,TRUE),tablas!$R$3:$S$66,2,FALSE)&lt;G79,VLOOKUP(G79+0.1,tablas!$S$3:$U$66,3,TRUE),VLOOKUP(G79,tablas!$S$3:$U$66,3,TRUE))&amp;"$",$C$13)</f>
        <v>$\phi8@17$</v>
      </c>
      <c r="H80" s="192" t="str">
        <f>IF(H79&gt;$C$12,"$\phi"&amp;IF(VLOOKUP(VLOOKUP(H79,tablas!$S$3:$U$66,2,TRUE)&amp;VLOOKUP(H79,tablas!$S$3:$U$66,3,TRUE),tablas!$R$3:$S$66,2,FALSE)&lt;H79,VLOOKUP(H79+0.1,tablas!$S$3:$U$66,2,TRUE),VLOOKUP(H79,tablas!$S$3:$U$66,2,TRUE))&amp;"@"&amp;IF(VLOOKUP(VLOOKUP(H79,tablas!$S$3:$U$66,2,TRUE)&amp;VLOOKUP(H79,tablas!$S$3:$U$66,3,TRUE),tablas!$R$3:$S$66,2,FALSE)&lt;H79,VLOOKUP(H79+0.1,tablas!$S$3:$U$66,3,TRUE),VLOOKUP(H79,tablas!$S$3:$U$66,3,TRUE))&amp;"$",$C$13)</f>
        <v>$\phi8@17$</v>
      </c>
      <c r="I80" s="192" t="str">
        <f>IF(I79&gt;$C$12,"$\phi"&amp;IF(VLOOKUP(VLOOKUP(I79,tablas!$S$3:$U$66,2,TRUE)&amp;VLOOKUP(I79,tablas!$S$3:$U$66,3,TRUE),tablas!$R$3:$S$66,2,FALSE)&lt;I79,VLOOKUP(I79+0.1,tablas!$S$3:$U$66,2,TRUE),VLOOKUP(I79,tablas!$S$3:$U$66,2,TRUE))&amp;"@"&amp;IF(VLOOKUP(VLOOKUP(I79,tablas!$S$3:$U$66,2,TRUE)&amp;VLOOKUP(I79,tablas!$S$3:$U$66,3,TRUE),tablas!$R$3:$S$66,2,FALSE)&lt;I79,VLOOKUP(I79+0.1,tablas!$S$3:$U$66,3,TRUE),VLOOKUP(I79,tablas!$S$3:$U$66,3,TRUE))&amp;"$",$C$13)</f>
        <v>$\phi8@17$</v>
      </c>
      <c r="J80" s="192" t="str">
        <f>IF(J79&gt;$C$12,"$\phi"&amp;IF(VLOOKUP(VLOOKUP(J79,tablas!$S$3:$U$66,2,TRUE)&amp;VLOOKUP(J79,tablas!$S$3:$U$66,3,TRUE),tablas!$R$3:$S$66,2,FALSE)&lt;J79,VLOOKUP(J79+0.1,tablas!$S$3:$U$66,2,TRUE),VLOOKUP(J79,tablas!$S$3:$U$66,2,TRUE))&amp;"@"&amp;IF(VLOOKUP(VLOOKUP(J79,tablas!$S$3:$U$66,2,TRUE)&amp;VLOOKUP(J79,tablas!$S$3:$U$66,3,TRUE),tablas!$R$3:$S$66,2,FALSE)&lt;J79,VLOOKUP(J79+0.1,tablas!$S$3:$U$66,3,TRUE),VLOOKUP(J79,tablas!$S$3:$U$66,3,TRUE))&amp;"$",$C$13)</f>
        <v>$\phi8@17$</v>
      </c>
      <c r="K80" s="192" t="str">
        <f>IF(K79&gt;$C$12,"$\phi"&amp;IF(VLOOKUP(VLOOKUP(K79,tablas!$S$3:$U$66,2,TRUE)&amp;VLOOKUP(K79,tablas!$S$3:$U$66,3,TRUE),tablas!$R$3:$S$66,2,FALSE)&lt;K79,VLOOKUP(K79+0.1,tablas!$S$3:$U$66,2,TRUE),VLOOKUP(K79,tablas!$S$3:$U$66,2,TRUE))&amp;"@"&amp;IF(VLOOKUP(VLOOKUP(K79,tablas!$S$3:$U$66,2,TRUE)&amp;VLOOKUP(K79,tablas!$S$3:$U$66,3,TRUE),tablas!$R$3:$S$66,2,FALSE)&lt;K79,VLOOKUP(K79+0.1,tablas!$S$3:$U$66,3,TRUE),VLOOKUP(K79,tablas!$S$3:$U$66,3,TRUE))&amp;"$",$C$13)</f>
        <v>$\phi8@17$</v>
      </c>
      <c r="L80" s="192" t="str">
        <f>IF(L79&gt;$C$12,"$\phi"&amp;IF(VLOOKUP(VLOOKUP(L79,tablas!$S$3:$U$66,2,TRUE)&amp;VLOOKUP(L79,tablas!$S$3:$U$66,3,TRUE),tablas!$R$3:$S$66,2,FALSE)&lt;L79,VLOOKUP(L79+0.1,tablas!$S$3:$U$66,2,TRUE),VLOOKUP(L79,tablas!$S$3:$U$66,2,TRUE))&amp;"@"&amp;IF(VLOOKUP(VLOOKUP(L79,tablas!$S$3:$U$66,2,TRUE)&amp;VLOOKUP(L79,tablas!$S$3:$U$66,3,TRUE),tablas!$R$3:$S$66,2,FALSE)&lt;L79,VLOOKUP(L79+0.1,tablas!$S$3:$U$66,3,TRUE),VLOOKUP(L79,tablas!$S$3:$U$66,3,TRUE))&amp;"$",$C$13)</f>
        <v>$\phi8@17$</v>
      </c>
      <c r="M80" s="192" t="str">
        <f>IF(M79&gt;$C$12,"$\phi"&amp;IF(VLOOKUP(VLOOKUP(M79,tablas!$S$3:$U$66,2,TRUE)&amp;VLOOKUP(M79,tablas!$S$3:$U$66,3,TRUE),tablas!$R$3:$S$66,2,FALSE)&lt;M79,VLOOKUP(M79+0.1,tablas!$S$3:$U$66,2,TRUE),VLOOKUP(M79,tablas!$S$3:$U$66,2,TRUE))&amp;"@"&amp;IF(VLOOKUP(VLOOKUP(M79,tablas!$S$3:$U$66,2,TRUE)&amp;VLOOKUP(M79,tablas!$S$3:$U$66,3,TRUE),tablas!$R$3:$S$66,2,FALSE)&lt;M79,VLOOKUP(M79+0.1,tablas!$S$3:$U$66,3,TRUE),VLOOKUP(M79,tablas!$S$3:$U$66,3,TRUE))&amp;"$",$C$13)</f>
        <v>$\phi8@17$</v>
      </c>
      <c r="N80" s="192" t="str">
        <f>IF(N79&gt;$C$12,"$\phi"&amp;IF(VLOOKUP(VLOOKUP(N79,tablas!$S$3:$U$66,2,TRUE)&amp;VLOOKUP(N79,tablas!$S$3:$U$66,3,TRUE),tablas!$R$3:$S$66,2,FALSE)&lt;N79,VLOOKUP(N79+0.1,tablas!$S$3:$U$66,2,TRUE),VLOOKUP(N79,tablas!$S$3:$U$66,2,TRUE))&amp;"@"&amp;IF(VLOOKUP(VLOOKUP(N79,tablas!$S$3:$U$66,2,TRUE)&amp;VLOOKUP(N79,tablas!$S$3:$U$66,3,TRUE),tablas!$R$3:$S$66,2,FALSE)&lt;N79,VLOOKUP(N79+0.1,tablas!$S$3:$U$66,3,TRUE),VLOOKUP(N79,tablas!$S$3:$U$66,3,TRUE))&amp;"$",$C$13)</f>
        <v>$\phi8@17$</v>
      </c>
      <c r="O80" s="192" t="str">
        <f>IF(O79&gt;$C$12,"$\phi"&amp;IF(VLOOKUP(VLOOKUP(O79,tablas!$S$3:$U$66,2,TRUE)&amp;VLOOKUP(O79,tablas!$S$3:$U$66,3,TRUE),tablas!$R$3:$S$66,2,FALSE)&lt;O79,VLOOKUP(O79+0.1,tablas!$S$3:$U$66,2,TRUE),VLOOKUP(O79,tablas!$S$3:$U$66,2,TRUE))&amp;"@"&amp;IF(VLOOKUP(VLOOKUP(O79,tablas!$S$3:$U$66,2,TRUE)&amp;VLOOKUP(O79,tablas!$S$3:$U$66,3,TRUE),tablas!$R$3:$S$66,2,FALSE)&lt;O79,VLOOKUP(O79+0.1,tablas!$S$3:$U$66,3,TRUE),VLOOKUP(O79,tablas!$S$3:$U$66,3,TRUE))&amp;"$",$C$13)</f>
        <v>$\phi8@17$</v>
      </c>
      <c r="P80" s="192" t="str">
        <f>IF(P79&gt;$C$12,"$\phi"&amp;IF(VLOOKUP(VLOOKUP(P79,tablas!$S$3:$U$66,2,TRUE)&amp;VLOOKUP(P79,tablas!$S$3:$U$66,3,TRUE),tablas!$R$3:$S$66,2,FALSE)&lt;P79,VLOOKUP(P79+0.1,tablas!$S$3:$U$66,2,TRUE),VLOOKUP(P79,tablas!$S$3:$U$66,2,TRUE))&amp;"@"&amp;IF(VLOOKUP(VLOOKUP(P79,tablas!$S$3:$U$66,2,TRUE)&amp;VLOOKUP(P79,tablas!$S$3:$U$66,3,TRUE),tablas!$R$3:$S$66,2,FALSE)&lt;P79,VLOOKUP(P79+0.1,tablas!$S$3:$U$66,3,TRUE),VLOOKUP(P79,tablas!$S$3:$U$66,3,TRUE))&amp;"$",$C$13)</f>
        <v>$\phi8@17$</v>
      </c>
      <c r="Q80" s="192" t="str">
        <f>IF(Q79&gt;$C$12,"$\phi"&amp;IF(VLOOKUP(VLOOKUP(Q79,tablas!$S$3:$U$66,2,TRUE)&amp;VLOOKUP(Q79,tablas!$S$3:$U$66,3,TRUE),tablas!$R$3:$S$66,2,FALSE)&lt;Q79,VLOOKUP(Q79+0.1,tablas!$S$3:$U$66,2,TRUE),VLOOKUP(Q79,tablas!$S$3:$U$66,2,TRUE))&amp;"@"&amp;IF(VLOOKUP(VLOOKUP(Q79,tablas!$S$3:$U$66,2,TRUE)&amp;VLOOKUP(Q79,tablas!$S$3:$U$66,3,TRUE),tablas!$R$3:$S$66,2,FALSE)&lt;Q79,VLOOKUP(Q79+0.1,tablas!$S$3:$U$66,3,TRUE),VLOOKUP(Q79,tablas!$S$3:$U$66,3,TRUE))&amp;"$",$C$13)</f>
        <v>$\phi8@17$</v>
      </c>
      <c r="R80" s="192" t="str">
        <f>IF(R79&gt;$C$12,"$\phi"&amp;IF(VLOOKUP(VLOOKUP(R79,tablas!$S$3:$U$66,2,TRUE)&amp;VLOOKUP(R79,tablas!$S$3:$U$66,3,TRUE),tablas!$R$3:$S$66,2,FALSE)&lt;R79,VLOOKUP(R79+0.1,tablas!$S$3:$U$66,2,TRUE),VLOOKUP(R79,tablas!$S$3:$U$66,2,TRUE))&amp;"@"&amp;IF(VLOOKUP(VLOOKUP(R79,tablas!$S$3:$U$66,2,TRUE)&amp;VLOOKUP(R79,tablas!$S$3:$U$66,3,TRUE),tablas!$R$3:$S$66,2,FALSE)&lt;R79,VLOOKUP(R79+0.1,tablas!$S$3:$U$66,3,TRUE),VLOOKUP(R79,tablas!$S$3:$U$66,3,TRUE))&amp;"$",$C$13)</f>
        <v>$\phi8@17$</v>
      </c>
      <c r="S80" s="192" t="str">
        <f>IF(S79&gt;$C$12,"$\phi"&amp;IF(VLOOKUP(VLOOKUP(S79,tablas!$S$3:$U$66,2,TRUE)&amp;VLOOKUP(S79,tablas!$S$3:$U$66,3,TRUE),tablas!$R$3:$S$66,2,FALSE)&lt;S79,VLOOKUP(S79+0.1,tablas!$S$3:$U$66,2,TRUE),VLOOKUP(S79,tablas!$S$3:$U$66,2,TRUE))&amp;"@"&amp;IF(VLOOKUP(VLOOKUP(S79,tablas!$S$3:$U$66,2,TRUE)&amp;VLOOKUP(S79,tablas!$S$3:$U$66,3,TRUE),tablas!$R$3:$S$66,2,FALSE)&lt;S79,VLOOKUP(S79+0.1,tablas!$S$3:$U$66,3,TRUE),VLOOKUP(S79,tablas!$S$3:$U$66,3,TRUE))&amp;"$",$C$13)</f>
        <v>$\phi8@17$</v>
      </c>
      <c r="T80" s="192" t="str">
        <f>IF(T79&gt;$C$12,"$\phi"&amp;IF(VLOOKUP(VLOOKUP(T79,tablas!$S$3:$U$66,2,TRUE)&amp;VLOOKUP(T79,tablas!$S$3:$U$66,3,TRUE),tablas!$R$3:$S$66,2,FALSE)&lt;T79,VLOOKUP(T79+0.1,tablas!$S$3:$U$66,2,TRUE),VLOOKUP(T79,tablas!$S$3:$U$66,2,TRUE))&amp;"@"&amp;IF(VLOOKUP(VLOOKUP(T79,tablas!$S$3:$U$66,2,TRUE)&amp;VLOOKUP(T79,tablas!$S$3:$U$66,3,TRUE),tablas!$R$3:$S$66,2,FALSE)&lt;T79,VLOOKUP(T79+0.1,tablas!$S$3:$U$66,3,TRUE),VLOOKUP(T79,tablas!$S$3:$U$66,3,TRUE))&amp;"$",$C$13)</f>
        <v>$\phi8@17$</v>
      </c>
      <c r="U80" s="192" t="str">
        <f>IF(U79&gt;$C$12,"$\phi"&amp;IF(VLOOKUP(VLOOKUP(U79,tablas!$S$3:$U$66,2,TRUE)&amp;VLOOKUP(U79,tablas!$S$3:$U$66,3,TRUE),tablas!$R$3:$S$66,2,FALSE)&lt;U79,VLOOKUP(U79+0.1,tablas!$S$3:$U$66,2,TRUE),VLOOKUP(U79,tablas!$S$3:$U$66,2,TRUE))&amp;"@"&amp;IF(VLOOKUP(VLOOKUP(U79,tablas!$S$3:$U$66,2,TRUE)&amp;VLOOKUP(U79,tablas!$S$3:$U$66,3,TRUE),tablas!$R$3:$S$66,2,FALSE)&lt;U79,VLOOKUP(U79+0.1,tablas!$S$3:$U$66,3,TRUE),VLOOKUP(U79,tablas!$S$3:$U$66,3,TRUE))&amp;"$",$C$13)</f>
        <v>$\phi8@17$</v>
      </c>
      <c r="V80" s="192" t="str">
        <f>IF(V79&gt;$C$12,"$\phi"&amp;IF(VLOOKUP(VLOOKUP(V79,tablas!$S$3:$U$66,2,TRUE)&amp;VLOOKUP(V79,tablas!$S$3:$U$66,3,TRUE),tablas!$R$3:$S$66,2,FALSE)&lt;V79,VLOOKUP(V79+0.1,tablas!$S$3:$U$66,2,TRUE),VLOOKUP(V79,tablas!$S$3:$U$66,2,TRUE))&amp;"@"&amp;IF(VLOOKUP(VLOOKUP(V79,tablas!$S$3:$U$66,2,TRUE)&amp;VLOOKUP(V79,tablas!$S$3:$U$66,3,TRUE),tablas!$R$3:$S$66,2,FALSE)&lt;V79,VLOOKUP(V79+0.1,tablas!$S$3:$U$66,3,TRUE),VLOOKUP(V79,tablas!$S$3:$U$66,3,TRUE))&amp;"$",$C$13)</f>
        <v>$\phi8@17$</v>
      </c>
      <c r="W80" s="192" t="str">
        <f>IF(W79&gt;$C$12,"$\phi"&amp;IF(VLOOKUP(VLOOKUP(W79,tablas!$S$3:$U$66,2,TRUE)&amp;VLOOKUP(W79,tablas!$S$3:$U$66,3,TRUE),tablas!$R$3:$S$66,2,FALSE)&lt;W79,VLOOKUP(W79+0.1,tablas!$S$3:$U$66,2,TRUE),VLOOKUP(W79,tablas!$S$3:$U$66,2,TRUE))&amp;"@"&amp;IF(VLOOKUP(VLOOKUP(W79,tablas!$S$3:$U$66,2,TRUE)&amp;VLOOKUP(W79,tablas!$S$3:$U$66,3,TRUE),tablas!$R$3:$S$66,2,FALSE)&lt;W79,VLOOKUP(W79+0.1,tablas!$S$3:$U$66,3,TRUE),VLOOKUP(W79,tablas!$S$3:$U$66,3,TRUE))&amp;"$",$C$13)</f>
        <v>$\phi8@17$</v>
      </c>
    </row>
    <row r="81" spans="2:28" x14ac:dyDescent="0.25">
      <c r="B81" s="93" t="s">
        <v>103</v>
      </c>
      <c r="C81" s="88">
        <f>IF(C53&lt;=2,C68/C59,IF(OR(C51=6,C51="5a",C51="3a"),C67*C48^2/12,(IF(OR(C51="2a",C51=4,C51="5b"),C67*C48^2/8,"-"))))</f>
        <v>2534.2024539877298</v>
      </c>
      <c r="D81" s="88">
        <f t="shared" ref="D81:W81" si="87">IF(D53&lt;=2,D68/D59,IF(OR(D51=6,D51="5a",D51="3a"),D67*D48^2/12,(IF(OR(D51="2a",D51=4,D51="5b"),D67*D48^2/8,"-"))))</f>
        <v>2818.181818181818</v>
      </c>
      <c r="E81" s="88">
        <f t="shared" si="87"/>
        <v>2818.181818181818</v>
      </c>
      <c r="F81" s="88">
        <f t="shared" si="87"/>
        <v>2982.8048780487807</v>
      </c>
      <c r="G81" s="88">
        <f t="shared" si="87"/>
        <v>2909.2282142857143</v>
      </c>
      <c r="H81" s="88">
        <f t="shared" si="87"/>
        <v>3288.6382978723404</v>
      </c>
      <c r="I81" s="88">
        <f t="shared" si="87"/>
        <v>3288.6382978723404</v>
      </c>
      <c r="J81" s="88">
        <f t="shared" si="87"/>
        <v>3421.7893939393934</v>
      </c>
      <c r="K81" s="88">
        <f t="shared" si="87"/>
        <v>2418.4905063291139</v>
      </c>
      <c r="L81" s="88">
        <f t="shared" si="87"/>
        <v>1925.2978723404258</v>
      </c>
      <c r="M81" s="88">
        <f t="shared" si="87"/>
        <v>2146.9148936170213</v>
      </c>
      <c r="N81" s="88">
        <f t="shared" si="87"/>
        <v>4341.0963414634152</v>
      </c>
      <c r="O81" s="88">
        <f t="shared" si="87"/>
        <v>545.38194444444446</v>
      </c>
      <c r="P81" s="88">
        <f t="shared" si="87"/>
        <v>227.0333333333333</v>
      </c>
      <c r="Q81" s="88">
        <f t="shared" si="87"/>
        <v>974.1583333333333</v>
      </c>
      <c r="R81" s="88">
        <f t="shared" si="87"/>
        <v>1428.5638297872338</v>
      </c>
      <c r="S81" s="88">
        <f t="shared" si="87"/>
        <v>2172.8938709677423</v>
      </c>
      <c r="T81" s="88">
        <f t="shared" si="87"/>
        <v>276.07350000000002</v>
      </c>
      <c r="U81" s="88">
        <f t="shared" si="87"/>
        <v>670.04318181818178</v>
      </c>
      <c r="V81" s="88">
        <f t="shared" si="87"/>
        <v>630.30181818181802</v>
      </c>
      <c r="W81" s="88">
        <f t="shared" si="87"/>
        <v>296.53333333333336</v>
      </c>
    </row>
    <row r="82" spans="2:28" x14ac:dyDescent="0.25">
      <c r="B82" s="94" t="s">
        <v>15</v>
      </c>
      <c r="C82" s="89">
        <f>C81/(0.9*(0.9*($C$7/100))*($L$9*1000))</f>
        <v>5.2213701684297771</v>
      </c>
      <c r="D82" s="89">
        <f t="shared" ref="D82:W82" si="88">D81/(0.9*(0.9*($C$7/100))*($L$9*1000))</f>
        <v>5.8064699809248079</v>
      </c>
      <c r="E82" s="89">
        <f t="shared" si="88"/>
        <v>5.8064699809248079</v>
      </c>
      <c r="F82" s="89">
        <f t="shared" si="88"/>
        <v>6.1456528005422451</v>
      </c>
      <c r="G82" s="89">
        <f t="shared" si="88"/>
        <v>5.9940583623549788</v>
      </c>
      <c r="H82" s="89">
        <f t="shared" si="88"/>
        <v>6.7757798419957878</v>
      </c>
      <c r="I82" s="89">
        <f t="shared" si="88"/>
        <v>6.7757798419957878</v>
      </c>
      <c r="J82" s="89">
        <f t="shared" si="88"/>
        <v>7.050119076339219</v>
      </c>
      <c r="K82" s="89">
        <f t="shared" si="88"/>
        <v>4.9829618634086463</v>
      </c>
      <c r="L82" s="89">
        <f t="shared" si="88"/>
        <v>3.9668073322875466</v>
      </c>
      <c r="M82" s="89">
        <f t="shared" si="88"/>
        <v>4.4234182482343138</v>
      </c>
      <c r="N82" s="89">
        <f t="shared" si="88"/>
        <v>8.9442226290680047</v>
      </c>
      <c r="O82" s="89">
        <f t="shared" si="88"/>
        <v>1.1236833152937338</v>
      </c>
      <c r="P82" s="89">
        <f t="shared" si="88"/>
        <v>0.46777047036652414</v>
      </c>
      <c r="Q82" s="89">
        <f t="shared" si="88"/>
        <v>2.0071171713175859</v>
      </c>
      <c r="R82" s="89">
        <f t="shared" si="88"/>
        <v>2.9433562234980659</v>
      </c>
      <c r="S82" s="89">
        <f t="shared" si="88"/>
        <v>4.476944302213119</v>
      </c>
      <c r="T82" s="89">
        <f t="shared" si="88"/>
        <v>0.56881088364733212</v>
      </c>
      <c r="U82" s="89">
        <f t="shared" si="88"/>
        <v>1.3805303816986054</v>
      </c>
      <c r="V82" s="89">
        <f t="shared" si="88"/>
        <v>1.2986488531659863</v>
      </c>
      <c r="W82" s="89">
        <f t="shared" si="88"/>
        <v>0.61096551231546026</v>
      </c>
    </row>
    <row r="83" spans="2:28" x14ac:dyDescent="0.25">
      <c r="B83" s="94" t="s">
        <v>98</v>
      </c>
      <c r="C83" s="91">
        <f>(C82*($L$9))/(0.85*$L$6*100)</f>
        <v>7.36446344402025E-2</v>
      </c>
      <c r="D83" s="91">
        <f t="shared" ref="D83:W83" si="89">(D82*($L$9))/(0.85*$L$6*100)</f>
        <v>8.189715445166644E-2</v>
      </c>
      <c r="E83" s="91">
        <f t="shared" si="89"/>
        <v>8.189715445166644E-2</v>
      </c>
      <c r="F83" s="91">
        <f t="shared" si="89"/>
        <v>8.6681146766586947E-2</v>
      </c>
      <c r="G83" s="91">
        <f t="shared" si="89"/>
        <v>8.4542988271146188E-2</v>
      </c>
      <c r="H83" s="91">
        <f t="shared" si="89"/>
        <v>9.5568751767151017E-2</v>
      </c>
      <c r="I83" s="91">
        <f t="shared" si="89"/>
        <v>9.5568751767151017E-2</v>
      </c>
      <c r="J83" s="91">
        <f t="shared" si="89"/>
        <v>9.943815998263919E-2</v>
      </c>
      <c r="K83" s="91">
        <f t="shared" si="89"/>
        <v>7.0282012771095762E-2</v>
      </c>
      <c r="L83" s="91">
        <f t="shared" si="89"/>
        <v>5.5949696431671449E-2</v>
      </c>
      <c r="M83" s="91">
        <f t="shared" si="89"/>
        <v>6.2389949258338656E-2</v>
      </c>
      <c r="N83" s="91">
        <f t="shared" si="89"/>
        <v>0.12615347784613962</v>
      </c>
      <c r="O83" s="91">
        <f t="shared" si="89"/>
        <v>1.58489523462092E-2</v>
      </c>
      <c r="P83" s="91">
        <f t="shared" si="89"/>
        <v>6.5976523749175274E-3</v>
      </c>
      <c r="Q83" s="91">
        <f t="shared" si="89"/>
        <v>2.8309314527069591E-2</v>
      </c>
      <c r="R83" s="91">
        <f t="shared" si="89"/>
        <v>4.1514465765601333E-2</v>
      </c>
      <c r="S83" s="91">
        <f t="shared" si="89"/>
        <v>6.3144905630160328E-2</v>
      </c>
      <c r="T83" s="91">
        <f t="shared" si="89"/>
        <v>8.0227733795043051E-3</v>
      </c>
      <c r="U83" s="91">
        <f t="shared" si="89"/>
        <v>1.9471642885714392E-2</v>
      </c>
      <c r="V83" s="91">
        <f t="shared" si="89"/>
        <v>1.8316747706542829E-2</v>
      </c>
      <c r="W83" s="91">
        <f t="shared" si="89"/>
        <v>8.6173418774433026E-3</v>
      </c>
    </row>
    <row r="84" spans="2:28" ht="15.75" thickBot="1" x14ac:dyDescent="0.3">
      <c r="B84" s="94" t="s">
        <v>15</v>
      </c>
      <c r="C84" s="76">
        <f>ROUNDUP(C81/(0.9*(($C$7-C83/2)/100)*($L$9*1000)),2)</f>
        <v>4.72</v>
      </c>
      <c r="D84" s="76">
        <f t="shared" ref="D84:W84" si="90">ROUNDUP(D81/(0.9*(($C$7-D83/2)/100)*($L$9*1000)),2)</f>
        <v>5.25</v>
      </c>
      <c r="E84" s="76">
        <f t="shared" si="90"/>
        <v>5.25</v>
      </c>
      <c r="F84" s="76">
        <f t="shared" si="90"/>
        <v>5.55</v>
      </c>
      <c r="G84" s="76">
        <f t="shared" si="90"/>
        <v>5.42</v>
      </c>
      <c r="H84" s="76">
        <f t="shared" si="90"/>
        <v>6.12</v>
      </c>
      <c r="I84" s="76">
        <f t="shared" si="90"/>
        <v>6.12</v>
      </c>
      <c r="J84" s="76">
        <f t="shared" si="90"/>
        <v>6.37</v>
      </c>
      <c r="K84" s="76">
        <f t="shared" si="90"/>
        <v>4.5</v>
      </c>
      <c r="L84" s="76">
        <f t="shared" si="90"/>
        <v>3.5799999999999996</v>
      </c>
      <c r="M84" s="76">
        <f t="shared" si="90"/>
        <v>3.9899999999999998</v>
      </c>
      <c r="N84" s="76">
        <f t="shared" si="90"/>
        <v>8.09</v>
      </c>
      <c r="O84" s="76">
        <f t="shared" si="90"/>
        <v>1.02</v>
      </c>
      <c r="P84" s="76">
        <f t="shared" si="90"/>
        <v>0.43</v>
      </c>
      <c r="Q84" s="76">
        <f t="shared" si="90"/>
        <v>1.81</v>
      </c>
      <c r="R84" s="76">
        <f t="shared" si="90"/>
        <v>2.6599999999999997</v>
      </c>
      <c r="S84" s="76">
        <f t="shared" si="90"/>
        <v>4.04</v>
      </c>
      <c r="T84" s="76">
        <f t="shared" si="90"/>
        <v>0.52</v>
      </c>
      <c r="U84" s="76">
        <f t="shared" si="90"/>
        <v>1.25</v>
      </c>
      <c r="V84" s="76">
        <f t="shared" si="90"/>
        <v>1.17</v>
      </c>
      <c r="W84" s="76">
        <f t="shared" si="90"/>
        <v>0.56000000000000005</v>
      </c>
    </row>
    <row r="85" spans="2:28" ht="16.5" thickBot="1" x14ac:dyDescent="0.3">
      <c r="B85" s="61" t="s">
        <v>105</v>
      </c>
      <c r="C85" s="192" t="str">
        <f>IF(C84&gt;$C$12,"$\phi"&amp;IF(VLOOKUP(VLOOKUP(C84,tablas!$S$3:$U$66,2,TRUE)&amp;VLOOKUP(C84,tablas!$S$3:$U$66,3,TRUE),tablas!$R$3:$S$66,2,FALSE)&lt;C84,VLOOKUP(C84+0.1,tablas!$S$3:$U$66,2,TRUE),VLOOKUP(C84,tablas!$S$3:$U$66,2,TRUE))&amp;"@"&amp;IF(VLOOKUP(VLOOKUP(C84,tablas!$S$3:$U$66,2,TRUE)&amp;VLOOKUP(C84,tablas!$S$3:$U$66,3,TRUE),tablas!$R$3:$S$66,2,FALSE)&lt;C84,VLOOKUP(C84+0.1,tablas!$S$3:$U$66,3,TRUE),VLOOKUP(C84,tablas!$S$3:$U$66,3,TRUE))&amp;"$",$C$13)</f>
        <v>$\phi12@24$</v>
      </c>
      <c r="D85" s="192" t="str">
        <f>IF(D84&gt;$C$12,"$\phi"&amp;IF(VLOOKUP(VLOOKUP(D84,tablas!$S$3:$U$66,2,TRUE)&amp;VLOOKUP(D84,tablas!$S$3:$U$66,3,TRUE),tablas!$R$3:$S$66,2,FALSE)&lt;D84,VLOOKUP(D84+0.1,tablas!$S$3:$U$66,2,TRUE),VLOOKUP(D84,tablas!$S$3:$U$66,2,TRUE))&amp;"@"&amp;IF(VLOOKUP(VLOOKUP(D84,tablas!$S$3:$U$66,2,TRUE)&amp;VLOOKUP(D84,tablas!$S$3:$U$66,3,TRUE),tablas!$R$3:$S$66,2,FALSE)&lt;D84,VLOOKUP(D84+0.1,tablas!$S$3:$U$66,3,TRUE),VLOOKUP(D84,tablas!$S$3:$U$66,3,TRUE))&amp;"$",$C$13)</f>
        <v>$\phi10@15$</v>
      </c>
      <c r="E85" s="192" t="str">
        <f>IF(E84&gt;$C$12,"$\phi"&amp;IF(VLOOKUP(VLOOKUP(E84,tablas!$S$3:$U$66,2,TRUE)&amp;VLOOKUP(E84,tablas!$S$3:$U$66,3,TRUE),tablas!$R$3:$S$66,2,FALSE)&lt;E84,VLOOKUP(E84+0.1,tablas!$S$3:$U$66,2,TRUE),VLOOKUP(E84,tablas!$S$3:$U$66,2,TRUE))&amp;"@"&amp;IF(VLOOKUP(VLOOKUP(E84,tablas!$S$3:$U$66,2,TRUE)&amp;VLOOKUP(E84,tablas!$S$3:$U$66,3,TRUE),tablas!$R$3:$S$66,2,FALSE)&lt;E84,VLOOKUP(E84+0.1,tablas!$S$3:$U$66,3,TRUE),VLOOKUP(E84,tablas!$S$3:$U$66,3,TRUE))&amp;"$",$C$13)</f>
        <v>$\phi10@15$</v>
      </c>
      <c r="F85" s="192" t="str">
        <f>IF(F84&gt;$C$12,"$\phi"&amp;IF(VLOOKUP(VLOOKUP(F84,tablas!$S$3:$U$66,2,TRUE)&amp;VLOOKUP(F84,tablas!$S$3:$U$66,3,TRUE),tablas!$R$3:$S$66,2,FALSE)&lt;F84,VLOOKUP(F84+0.1,tablas!$S$3:$U$66,2,TRUE),VLOOKUP(F84,tablas!$S$3:$U$66,2,TRUE))&amp;"@"&amp;IF(VLOOKUP(VLOOKUP(F84,tablas!$S$3:$U$66,2,TRUE)&amp;VLOOKUP(F84,tablas!$S$3:$U$66,3,TRUE),tablas!$R$3:$S$66,2,FALSE)&lt;F84,VLOOKUP(F84+0.1,tablas!$S$3:$U$66,3,TRUE),VLOOKUP(F84,tablas!$S$3:$U$66,3,TRUE))&amp;"$",$C$13)</f>
        <v>$\phi10@14$</v>
      </c>
      <c r="G85" s="192" t="str">
        <f>IF(G84&gt;$C$12,"$\phi"&amp;IF(VLOOKUP(VLOOKUP(G84,tablas!$S$3:$U$66,2,TRUE)&amp;VLOOKUP(G84,tablas!$S$3:$U$66,3,TRUE),tablas!$R$3:$S$66,2,FALSE)&lt;G84,VLOOKUP(G84+0.1,tablas!$S$3:$U$66,2,TRUE),VLOOKUP(G84,tablas!$S$3:$U$66,2,TRUE))&amp;"@"&amp;IF(VLOOKUP(VLOOKUP(G84,tablas!$S$3:$U$66,2,TRUE)&amp;VLOOKUP(G84,tablas!$S$3:$U$66,3,TRUE),tablas!$R$3:$S$66,2,FALSE)&lt;G84,VLOOKUP(G84+0.1,tablas!$S$3:$U$66,3,TRUE),VLOOKUP(G84,tablas!$S$3:$U$66,3,TRUE))&amp;"$",$C$13)</f>
        <v>$\phi12@21$</v>
      </c>
      <c r="H85" s="192" t="str">
        <f>IF(H84&gt;$C$12,"$\phi"&amp;IF(VLOOKUP(VLOOKUP(H84,tablas!$S$3:$U$66,2,TRUE)&amp;VLOOKUP(H84,tablas!$S$3:$U$66,3,TRUE),tablas!$R$3:$S$66,2,FALSE)&lt;H84,VLOOKUP(H84+0.1,tablas!$S$3:$U$66,2,TRUE),VLOOKUP(H84,tablas!$S$3:$U$66,2,TRUE))&amp;"@"&amp;IF(VLOOKUP(VLOOKUP(H84,tablas!$S$3:$U$66,2,TRUE)&amp;VLOOKUP(H84,tablas!$S$3:$U$66,3,TRUE),tablas!$R$3:$S$66,2,FALSE)&lt;H84,VLOOKUP(H84+0.1,tablas!$S$3:$U$66,3,TRUE),VLOOKUP(H84,tablas!$S$3:$U$66,3,TRUE))&amp;"$",$C$13)</f>
        <v>$\phi10@13$</v>
      </c>
      <c r="I85" s="192" t="str">
        <f>IF(I84&gt;$C$12,"$\phi"&amp;IF(VLOOKUP(VLOOKUP(I84,tablas!$S$3:$U$66,2,TRUE)&amp;VLOOKUP(I84,tablas!$S$3:$U$66,3,TRUE),tablas!$R$3:$S$66,2,FALSE)&lt;I84,VLOOKUP(I84+0.1,tablas!$S$3:$U$66,2,TRUE),VLOOKUP(I84,tablas!$S$3:$U$66,2,TRUE))&amp;"@"&amp;IF(VLOOKUP(VLOOKUP(I84,tablas!$S$3:$U$66,2,TRUE)&amp;VLOOKUP(I84,tablas!$S$3:$U$66,3,TRUE),tablas!$R$3:$S$66,2,FALSE)&lt;I84,VLOOKUP(I84+0.1,tablas!$S$3:$U$66,3,TRUE),VLOOKUP(I84,tablas!$S$3:$U$66,3,TRUE))&amp;"$",$C$13)</f>
        <v>$\phi10@13$</v>
      </c>
      <c r="J85" s="192" t="str">
        <f>IF(J84&gt;$C$12,"$\phi"&amp;IF(VLOOKUP(VLOOKUP(J84,tablas!$S$3:$U$66,2,TRUE)&amp;VLOOKUP(J84,tablas!$S$3:$U$66,3,TRUE),tablas!$R$3:$S$66,2,FALSE)&lt;J84,VLOOKUP(J84+0.1,tablas!$S$3:$U$66,2,TRUE),VLOOKUP(J84,tablas!$S$3:$U$66,2,TRUE))&amp;"@"&amp;IF(VLOOKUP(VLOOKUP(J84,tablas!$S$3:$U$66,2,TRUE)&amp;VLOOKUP(J84,tablas!$S$3:$U$66,3,TRUE),tablas!$R$3:$S$66,2,FALSE)&lt;J84,VLOOKUP(J84+0.1,tablas!$S$3:$U$66,3,TRUE),VLOOKUP(J84,tablas!$S$3:$U$66,3,TRUE))&amp;"$",$C$13)</f>
        <v>$\phi12@18$</v>
      </c>
      <c r="K85" s="192" t="str">
        <f>IF(K84&gt;$C$12,"$\phi"&amp;IF(VLOOKUP(VLOOKUP(K84,tablas!$S$3:$U$66,2,TRUE)&amp;VLOOKUP(K84,tablas!$S$3:$U$66,3,TRUE),tablas!$R$3:$S$66,2,FALSE)&lt;K84,VLOOKUP(K84+0.1,tablas!$S$3:$U$66,2,TRUE),VLOOKUP(K84,tablas!$S$3:$U$66,2,TRUE))&amp;"@"&amp;IF(VLOOKUP(VLOOKUP(K84,tablas!$S$3:$U$66,2,TRUE)&amp;VLOOKUP(K84,tablas!$S$3:$U$66,3,TRUE),tablas!$R$3:$S$66,2,FALSE)&lt;K84,VLOOKUP(K84+0.1,tablas!$S$3:$U$66,3,TRUE),VLOOKUP(K84,tablas!$S$3:$U$66,3,TRUE))&amp;"$",$C$13)</f>
        <v>$\phi8@11$</v>
      </c>
      <c r="L85" s="192" t="str">
        <f>IF(L84&gt;$C$12,"$\phi"&amp;IF(VLOOKUP(VLOOKUP(L84,tablas!$S$3:$U$66,2,TRUE)&amp;VLOOKUP(L84,tablas!$S$3:$U$66,3,TRUE),tablas!$R$3:$S$66,2,FALSE)&lt;L84,VLOOKUP(L84+0.1,tablas!$S$3:$U$66,2,TRUE),VLOOKUP(L84,tablas!$S$3:$U$66,2,TRUE))&amp;"@"&amp;IF(VLOOKUP(VLOOKUP(L84,tablas!$S$3:$U$66,2,TRUE)&amp;VLOOKUP(L84,tablas!$S$3:$U$66,3,TRUE),tablas!$R$3:$S$66,2,FALSE)&lt;L84,VLOOKUP(L84+0.1,tablas!$S$3:$U$66,3,TRUE),VLOOKUP(L84,tablas!$S$3:$U$66,3,TRUE))&amp;"$",$C$13)</f>
        <v>$\phi8@14$</v>
      </c>
      <c r="M85" s="192" t="str">
        <f>IF(M84&gt;$C$12,"$\phi"&amp;IF(VLOOKUP(VLOOKUP(M84,tablas!$S$3:$U$66,2,TRUE)&amp;VLOOKUP(M84,tablas!$S$3:$U$66,3,TRUE),tablas!$R$3:$S$66,2,FALSE)&lt;M84,VLOOKUP(M84+0.1,tablas!$S$3:$U$66,2,TRUE),VLOOKUP(M84,tablas!$S$3:$U$66,2,TRUE))&amp;"@"&amp;IF(VLOOKUP(VLOOKUP(M84,tablas!$S$3:$U$66,2,TRUE)&amp;VLOOKUP(M84,tablas!$S$3:$U$66,3,TRUE),tablas!$R$3:$S$66,2,FALSE)&lt;M84,VLOOKUP(M84+0.1,tablas!$S$3:$U$66,3,TRUE),VLOOKUP(M84,tablas!$S$3:$U$66,3,TRUE))&amp;"$",$C$13)</f>
        <v>$\phi10@20$</v>
      </c>
      <c r="N85" s="192" t="str">
        <f>IF(N84&gt;$C$12,"$\phi"&amp;IF(VLOOKUP(VLOOKUP(N84,tablas!$S$3:$U$66,2,TRUE)&amp;VLOOKUP(N84,tablas!$S$3:$U$66,3,TRUE),tablas!$R$3:$S$66,2,FALSE)&lt;N84,VLOOKUP(N84+0.1,tablas!$S$3:$U$66,2,TRUE),VLOOKUP(N84,tablas!$S$3:$U$66,2,TRUE))&amp;"@"&amp;IF(VLOOKUP(VLOOKUP(N84,tablas!$S$3:$U$66,2,TRUE)&amp;VLOOKUP(N84,tablas!$S$3:$U$66,3,TRUE),tablas!$R$3:$S$66,2,FALSE)&lt;N84,VLOOKUP(N84+0.1,tablas!$S$3:$U$66,3,TRUE),VLOOKUP(N84,tablas!$S$3:$U$66,3,TRUE))&amp;"$",$C$13)</f>
        <v>$\phi12@14$</v>
      </c>
      <c r="O85" s="192" t="str">
        <f>IF(O84&gt;$C$12,"$\phi"&amp;IF(VLOOKUP(VLOOKUP(O84,tablas!$S$3:$U$66,2,TRUE)&amp;VLOOKUP(O84,tablas!$S$3:$U$66,3,TRUE),tablas!$R$3:$S$66,2,FALSE)&lt;O84,VLOOKUP(O84+0.1,tablas!$S$3:$U$66,2,TRUE),VLOOKUP(O84,tablas!$S$3:$U$66,2,TRUE))&amp;"@"&amp;IF(VLOOKUP(VLOOKUP(O84,tablas!$S$3:$U$66,2,TRUE)&amp;VLOOKUP(O84,tablas!$S$3:$U$66,3,TRUE),tablas!$R$3:$S$66,2,FALSE)&lt;O84,VLOOKUP(O84+0.1,tablas!$S$3:$U$66,3,TRUE),VLOOKUP(O84,tablas!$S$3:$U$66,3,TRUE))&amp;"$",$C$13)</f>
        <v>$\phi8@17$</v>
      </c>
      <c r="P85" s="192" t="str">
        <f>IF(P84&gt;$C$12,"$\phi"&amp;IF(VLOOKUP(VLOOKUP(P84,tablas!$S$3:$U$66,2,TRUE)&amp;VLOOKUP(P84,tablas!$S$3:$U$66,3,TRUE),tablas!$R$3:$S$66,2,FALSE)&lt;P84,VLOOKUP(P84+0.1,tablas!$S$3:$U$66,2,TRUE),VLOOKUP(P84,tablas!$S$3:$U$66,2,TRUE))&amp;"@"&amp;IF(VLOOKUP(VLOOKUP(P84,tablas!$S$3:$U$66,2,TRUE)&amp;VLOOKUP(P84,tablas!$S$3:$U$66,3,TRUE),tablas!$R$3:$S$66,2,FALSE)&lt;P84,VLOOKUP(P84+0.1,tablas!$S$3:$U$66,3,TRUE),VLOOKUP(P84,tablas!$S$3:$U$66,3,TRUE))&amp;"$",$C$13)</f>
        <v>$\phi8@17$</v>
      </c>
      <c r="Q85" s="192" t="str">
        <f>IF(Q84&gt;$C$12,"$\phi"&amp;IF(VLOOKUP(VLOOKUP(Q84,tablas!$S$3:$U$66,2,TRUE)&amp;VLOOKUP(Q84,tablas!$S$3:$U$66,3,TRUE),tablas!$R$3:$S$66,2,FALSE)&lt;Q84,VLOOKUP(Q84+0.1,tablas!$S$3:$U$66,2,TRUE),VLOOKUP(Q84,tablas!$S$3:$U$66,2,TRUE))&amp;"@"&amp;IF(VLOOKUP(VLOOKUP(Q84,tablas!$S$3:$U$66,2,TRUE)&amp;VLOOKUP(Q84,tablas!$S$3:$U$66,3,TRUE),tablas!$R$3:$S$66,2,FALSE)&lt;Q84,VLOOKUP(Q84+0.1,tablas!$S$3:$U$66,3,TRUE),VLOOKUP(Q84,tablas!$S$3:$U$66,3,TRUE))&amp;"$",$C$13)</f>
        <v>$\phi8@17$</v>
      </c>
      <c r="R85" s="192" t="str">
        <f>IF(R84&gt;$C$12,"$\phi"&amp;IF(VLOOKUP(VLOOKUP(R84,tablas!$S$3:$U$66,2,TRUE)&amp;VLOOKUP(R84,tablas!$S$3:$U$66,3,TRUE),tablas!$R$3:$S$66,2,FALSE)&lt;R84,VLOOKUP(R84+0.1,tablas!$S$3:$U$66,2,TRUE),VLOOKUP(R84,tablas!$S$3:$U$66,2,TRUE))&amp;"@"&amp;IF(VLOOKUP(VLOOKUP(R84,tablas!$S$3:$U$66,2,TRUE)&amp;VLOOKUP(R84,tablas!$S$3:$U$66,3,TRUE),tablas!$R$3:$S$66,2,FALSE)&lt;R84,VLOOKUP(R84+0.1,tablas!$S$3:$U$66,3,TRUE),VLOOKUP(R84,tablas!$S$3:$U$66,3,TRUE))&amp;"$",$C$13)</f>
        <v>$\phi8@17$</v>
      </c>
      <c r="S85" s="192" t="str">
        <f>IF(S84&gt;$C$12,"$\phi"&amp;IF(VLOOKUP(VLOOKUP(S84,tablas!$S$3:$U$66,2,TRUE)&amp;VLOOKUP(S84,tablas!$S$3:$U$66,3,TRUE),tablas!$R$3:$S$66,2,FALSE)&lt;S84,VLOOKUP(S84+0.1,tablas!$S$3:$U$66,2,TRUE),VLOOKUP(S84,tablas!$S$3:$U$66,2,TRUE))&amp;"@"&amp;IF(VLOOKUP(VLOOKUP(S84,tablas!$S$3:$U$66,2,TRUE)&amp;VLOOKUP(S84,tablas!$S$3:$U$66,3,TRUE),tablas!$R$3:$S$66,2,FALSE)&lt;S84,VLOOKUP(S84+0.1,tablas!$S$3:$U$66,3,TRUE),VLOOKUP(S84,tablas!$S$3:$U$66,3,TRUE))&amp;"$",$C$13)</f>
        <v>$\phi10@19$</v>
      </c>
      <c r="T85" s="192" t="str">
        <f>IF(T84&gt;$C$12,"$\phi"&amp;IF(VLOOKUP(VLOOKUP(T84,tablas!$S$3:$U$66,2,TRUE)&amp;VLOOKUP(T84,tablas!$S$3:$U$66,3,TRUE),tablas!$R$3:$S$66,2,FALSE)&lt;T84,VLOOKUP(T84+0.1,tablas!$S$3:$U$66,2,TRUE),VLOOKUP(T84,tablas!$S$3:$U$66,2,TRUE))&amp;"@"&amp;IF(VLOOKUP(VLOOKUP(T84,tablas!$S$3:$U$66,2,TRUE)&amp;VLOOKUP(T84,tablas!$S$3:$U$66,3,TRUE),tablas!$R$3:$S$66,2,FALSE)&lt;T84,VLOOKUP(T84+0.1,tablas!$S$3:$U$66,3,TRUE),VLOOKUP(T84,tablas!$S$3:$U$66,3,TRUE))&amp;"$",$C$13)</f>
        <v>$\phi8@17$</v>
      </c>
      <c r="U85" s="192" t="str">
        <f>IF(U84&gt;$C$12,"$\phi"&amp;IF(VLOOKUP(VLOOKUP(U84,tablas!$S$3:$U$66,2,TRUE)&amp;VLOOKUP(U84,tablas!$S$3:$U$66,3,TRUE),tablas!$R$3:$S$66,2,FALSE)&lt;U84,VLOOKUP(U84+0.1,tablas!$S$3:$U$66,2,TRUE),VLOOKUP(U84,tablas!$S$3:$U$66,2,TRUE))&amp;"@"&amp;IF(VLOOKUP(VLOOKUP(U84,tablas!$S$3:$U$66,2,TRUE)&amp;VLOOKUP(U84,tablas!$S$3:$U$66,3,TRUE),tablas!$R$3:$S$66,2,FALSE)&lt;U84,VLOOKUP(U84+0.1,tablas!$S$3:$U$66,3,TRUE),VLOOKUP(U84,tablas!$S$3:$U$66,3,TRUE))&amp;"$",$C$13)</f>
        <v>$\phi8@17$</v>
      </c>
      <c r="V85" s="192" t="str">
        <f>IF(V84&gt;$C$12,"$\phi"&amp;IF(VLOOKUP(VLOOKUP(V84,tablas!$S$3:$U$66,2,TRUE)&amp;VLOOKUP(V84,tablas!$S$3:$U$66,3,TRUE),tablas!$R$3:$S$66,2,FALSE)&lt;V84,VLOOKUP(V84+0.1,tablas!$S$3:$U$66,2,TRUE),VLOOKUP(V84,tablas!$S$3:$U$66,2,TRUE))&amp;"@"&amp;IF(VLOOKUP(VLOOKUP(V84,tablas!$S$3:$U$66,2,TRUE)&amp;VLOOKUP(V84,tablas!$S$3:$U$66,3,TRUE),tablas!$R$3:$S$66,2,FALSE)&lt;V84,VLOOKUP(V84+0.1,tablas!$S$3:$U$66,3,TRUE),VLOOKUP(V84,tablas!$S$3:$U$66,3,TRUE))&amp;"$",$C$13)</f>
        <v>$\phi8@17$</v>
      </c>
      <c r="W85" s="192" t="str">
        <f>IF(W84&gt;$C$12,"$\phi"&amp;IF(VLOOKUP(VLOOKUP(W84,tablas!$S$3:$U$66,2,TRUE)&amp;VLOOKUP(W84,tablas!$S$3:$U$66,3,TRUE),tablas!$R$3:$S$66,2,FALSE)&lt;W84,VLOOKUP(W84+0.1,tablas!$S$3:$U$66,2,TRUE),VLOOKUP(W84,tablas!$S$3:$U$66,2,TRUE))&amp;"@"&amp;IF(VLOOKUP(VLOOKUP(W84,tablas!$S$3:$U$66,2,TRUE)&amp;VLOOKUP(W84,tablas!$S$3:$U$66,3,TRUE),tablas!$R$3:$S$66,2,FALSE)&lt;W84,VLOOKUP(W84+0.1,tablas!$S$3:$U$66,3,TRUE),VLOOKUP(W84,tablas!$S$3:$U$66,3,TRUE))&amp;"$",$C$13)</f>
        <v>$\phi8@17$</v>
      </c>
    </row>
    <row r="86" spans="2:28" x14ac:dyDescent="0.25">
      <c r="B86" s="93" t="s">
        <v>104</v>
      </c>
      <c r="C86" s="88">
        <f>IF(C53&lt;=2,C68/C60,IF(OR(C51=6,C51="5a",C51="3a"),C67*C48^2/17.5,(IF(OR(C51="2a",C51=4,C51="5b"),C67*C48^2/11.25,IF(OR(C51=1,C51="2b",C51="3b"),C67*C48^2/8)))))</f>
        <v>2118.3333333333335</v>
      </c>
      <c r="D86" s="88">
        <f t="shared" ref="D86:W86" si="91">IF(D53&lt;=2,D68/D60,IF(OR(D51=6,D51="5a",D51="3a"),D67*D48^2/17.5,(IF(OR(D51="2a",D51=4,D51="5b"),D67*D48^2/11.25,IF(OR(D51=1,D51="2b",D51="3b"),D67*D48^2/8)))))</f>
        <v>2129.7709923664124</v>
      </c>
      <c r="E86" s="88">
        <f t="shared" si="91"/>
        <v>2129.7709923664124</v>
      </c>
      <c r="F86" s="88">
        <f t="shared" si="91"/>
        <v>2191.666666666667</v>
      </c>
      <c r="G86" s="88">
        <f t="shared" si="91"/>
        <v>2715.2796666666668</v>
      </c>
      <c r="H86" s="88">
        <f t="shared" si="91"/>
        <v>2699.8427947598257</v>
      </c>
      <c r="I86" s="88">
        <f t="shared" si="91"/>
        <v>2699.8427947598257</v>
      </c>
      <c r="J86" s="88">
        <f t="shared" si="91"/>
        <v>2585.9324427480915</v>
      </c>
      <c r="K86" s="88">
        <f t="shared" si="91"/>
        <v>2208.7947976878613</v>
      </c>
      <c r="L86" s="88">
        <f t="shared" si="91"/>
        <v>1580.5938864628824</v>
      </c>
      <c r="M86" s="88">
        <f t="shared" si="91"/>
        <v>1762.5327510917032</v>
      </c>
      <c r="N86" s="88">
        <f t="shared" si="91"/>
        <v>3189.6944444444448</v>
      </c>
      <c r="O86" s="88">
        <f t="shared" si="91"/>
        <v>422.23118279569894</v>
      </c>
      <c r="P86" s="88">
        <f t="shared" si="91"/>
        <v>155.67999999999998</v>
      </c>
      <c r="Q86" s="88">
        <f t="shared" si="91"/>
        <v>667.99428571428564</v>
      </c>
      <c r="R86" s="88">
        <f t="shared" si="91"/>
        <v>1323.0049261083741</v>
      </c>
      <c r="S86" s="88">
        <f t="shared" si="91"/>
        <v>1879.8058604651167</v>
      </c>
      <c r="T86" s="88">
        <f t="shared" si="91"/>
        <v>196.31893333333335</v>
      </c>
      <c r="U86" s="88">
        <f t="shared" si="91"/>
        <v>479.38048780487804</v>
      </c>
      <c r="V86" s="88">
        <f t="shared" si="91"/>
        <v>441.61273885350312</v>
      </c>
      <c r="W86" s="88">
        <f t="shared" si="91"/>
        <v>203.33714285714288</v>
      </c>
    </row>
    <row r="87" spans="2:28" x14ac:dyDescent="0.25">
      <c r="B87" s="94" t="s">
        <v>15</v>
      </c>
      <c r="C87" s="89">
        <f>C86/(0.9*(0.9*($C$7/100))*($L$9*1000))</f>
        <v>4.3645299356618139</v>
      </c>
      <c r="D87" s="89">
        <f t="shared" ref="D87:W87" si="92">D86/(0.9*(0.9*($C$7/100))*($L$9*1000))</f>
        <v>4.3880956344393587</v>
      </c>
      <c r="E87" s="89">
        <f t="shared" si="92"/>
        <v>4.3880956344393587</v>
      </c>
      <c r="F87" s="89">
        <f t="shared" si="92"/>
        <v>4.5156230254880301</v>
      </c>
      <c r="G87" s="89">
        <f t="shared" si="92"/>
        <v>5.5944544715313134</v>
      </c>
      <c r="H87" s="89">
        <f t="shared" si="92"/>
        <v>5.5626489532541843</v>
      </c>
      <c r="I87" s="89">
        <f t="shared" si="92"/>
        <v>5.5626489532541843</v>
      </c>
      <c r="J87" s="89">
        <f t="shared" si="92"/>
        <v>5.3279525844090285</v>
      </c>
      <c r="K87" s="89">
        <f t="shared" si="92"/>
        <v>4.5509131469281279</v>
      </c>
      <c r="L87" s="89">
        <f t="shared" si="92"/>
        <v>3.2565929190832259</v>
      </c>
      <c r="M87" s="89">
        <f t="shared" si="92"/>
        <v>3.6314525356683451</v>
      </c>
      <c r="N87" s="89">
        <f t="shared" si="92"/>
        <v>6.5719198528994296</v>
      </c>
      <c r="O87" s="89">
        <f t="shared" si="92"/>
        <v>0.86994837313063267</v>
      </c>
      <c r="P87" s="89">
        <f t="shared" si="92"/>
        <v>0.32075689396561657</v>
      </c>
      <c r="Q87" s="89">
        <f t="shared" si="92"/>
        <v>1.3763089174749159</v>
      </c>
      <c r="R87" s="89">
        <f t="shared" si="92"/>
        <v>2.7258668473775192</v>
      </c>
      <c r="S87" s="89">
        <f t="shared" si="92"/>
        <v>3.8730773963332101</v>
      </c>
      <c r="T87" s="89">
        <f t="shared" si="92"/>
        <v>0.40448773948254729</v>
      </c>
      <c r="U87" s="89">
        <f t="shared" si="92"/>
        <v>0.98769653324778284</v>
      </c>
      <c r="V87" s="89">
        <f t="shared" si="92"/>
        <v>0.9098813620908186</v>
      </c>
      <c r="W87" s="89">
        <f t="shared" si="92"/>
        <v>0.41894777987345849</v>
      </c>
    </row>
    <row r="88" spans="2:28" x14ac:dyDescent="0.25">
      <c r="B88" s="94" t="s">
        <v>98</v>
      </c>
      <c r="C88" s="91">
        <f>(C87*($L$9))/(0.85*$L$6*100)</f>
        <v>6.1559361096169274E-2</v>
      </c>
      <c r="D88" s="91">
        <f t="shared" ref="D88:W88" si="93">(D87*($L$9))/(0.85*$L$6*100)</f>
        <v>6.1891742677213563E-2</v>
      </c>
      <c r="E88" s="91">
        <f t="shared" si="93"/>
        <v>6.1891742677213563E-2</v>
      </c>
      <c r="F88" s="91">
        <f t="shared" si="93"/>
        <v>6.3690448341040595E-2</v>
      </c>
      <c r="G88" s="91">
        <f t="shared" si="93"/>
        <v>7.8906789053069776E-2</v>
      </c>
      <c r="H88" s="91">
        <f t="shared" si="93"/>
        <v>7.8458189223687302E-2</v>
      </c>
      <c r="I88" s="91">
        <f t="shared" si="93"/>
        <v>7.8458189223687302E-2</v>
      </c>
      <c r="J88" s="91">
        <f t="shared" si="93"/>
        <v>7.5147922429628089E-2</v>
      </c>
      <c r="K88" s="91">
        <f t="shared" si="93"/>
        <v>6.4188196634873587E-2</v>
      </c>
      <c r="L88" s="91">
        <f t="shared" si="93"/>
        <v>4.5932501874035948E-2</v>
      </c>
      <c r="M88" s="91">
        <f t="shared" si="93"/>
        <v>5.1219696334356628E-2</v>
      </c>
      <c r="N88" s="91">
        <f t="shared" si="93"/>
        <v>9.2693415621715486E-2</v>
      </c>
      <c r="O88" s="91">
        <f t="shared" si="93"/>
        <v>1.2270156655129703E-2</v>
      </c>
      <c r="P88" s="91">
        <f t="shared" si="93"/>
        <v>4.5241044856577329E-3</v>
      </c>
      <c r="Q88" s="91">
        <f t="shared" si="93"/>
        <v>1.9412101389990579E-2</v>
      </c>
      <c r="R88" s="91">
        <f t="shared" si="93"/>
        <v>3.8446894403611084E-2</v>
      </c>
      <c r="S88" s="91">
        <f t="shared" si="93"/>
        <v>5.462768580097592E-2</v>
      </c>
      <c r="T88" s="91">
        <f t="shared" si="93"/>
        <v>5.705083292091951E-3</v>
      </c>
      <c r="U88" s="91">
        <f t="shared" si="93"/>
        <v>1.393093149547046E-2</v>
      </c>
      <c r="V88" s="91">
        <f t="shared" si="93"/>
        <v>1.2833390112864405E-2</v>
      </c>
      <c r="W88" s="91">
        <f t="shared" si="93"/>
        <v>5.9090344302468369E-3</v>
      </c>
    </row>
    <row r="89" spans="2:28" ht="15.75" thickBot="1" x14ac:dyDescent="0.3">
      <c r="B89" s="94" t="s">
        <v>15</v>
      </c>
      <c r="C89" s="76">
        <f>ROUNDUP(C86/(0.9*(($C$7-C88/2)/100)*($L$9*1000)),2)</f>
        <v>3.94</v>
      </c>
      <c r="D89" s="76">
        <f t="shared" ref="D89:W89" si="94">ROUNDUP(D86/(0.9*(($C$7-D88/2)/100)*($L$9*1000)),2)</f>
        <v>3.96</v>
      </c>
      <c r="E89" s="76">
        <f t="shared" si="94"/>
        <v>3.96</v>
      </c>
      <c r="F89" s="76">
        <f t="shared" si="94"/>
        <v>4.08</v>
      </c>
      <c r="G89" s="76">
        <f t="shared" si="94"/>
        <v>5.05</v>
      </c>
      <c r="H89" s="76">
        <f t="shared" si="94"/>
        <v>5.0299999999999994</v>
      </c>
      <c r="I89" s="76">
        <f t="shared" si="94"/>
        <v>5.0299999999999994</v>
      </c>
      <c r="J89" s="76">
        <f t="shared" si="94"/>
        <v>4.8099999999999996</v>
      </c>
      <c r="K89" s="76">
        <f t="shared" si="94"/>
        <v>4.1099999999999994</v>
      </c>
      <c r="L89" s="76">
        <f t="shared" si="94"/>
        <v>2.94</v>
      </c>
      <c r="M89" s="76">
        <f t="shared" si="94"/>
        <v>3.28</v>
      </c>
      <c r="N89" s="76">
        <f t="shared" si="94"/>
        <v>5.9399999999999995</v>
      </c>
      <c r="O89" s="76">
        <f t="shared" si="94"/>
        <v>0.79</v>
      </c>
      <c r="P89" s="76">
        <f t="shared" si="94"/>
        <v>0.29000000000000004</v>
      </c>
      <c r="Q89" s="76">
        <f t="shared" si="94"/>
        <v>1.24</v>
      </c>
      <c r="R89" s="76">
        <f t="shared" si="94"/>
        <v>2.46</v>
      </c>
      <c r="S89" s="76">
        <f t="shared" si="94"/>
        <v>3.5</v>
      </c>
      <c r="T89" s="76">
        <f t="shared" si="94"/>
        <v>0.37</v>
      </c>
      <c r="U89" s="76">
        <f t="shared" si="94"/>
        <v>0.89</v>
      </c>
      <c r="V89" s="76">
        <f t="shared" si="94"/>
        <v>0.82000000000000006</v>
      </c>
      <c r="W89" s="76">
        <f t="shared" si="94"/>
        <v>0.38</v>
      </c>
    </row>
    <row r="90" spans="2:28" ht="16.5" thickBot="1" x14ac:dyDescent="0.3">
      <c r="B90" s="61" t="s">
        <v>106</v>
      </c>
      <c r="C90" s="192" t="str">
        <f>IF(C89&gt;$C$12,"$\phi"&amp;IF(VLOOKUP(VLOOKUP(C89,tablas!$S$3:$U$66,2,TRUE)&amp;VLOOKUP(C89,tablas!$S$3:$U$66,3,TRUE),tablas!$R$3:$S$66,2,FALSE)&lt;C89,VLOOKUP(C89+0.1,tablas!$S$3:$U$66,2,TRUE),VLOOKUP(C89,tablas!$S$3:$U$66,2,TRUE))&amp;"@"&amp;IF(VLOOKUP(VLOOKUP(C89,tablas!$S$3:$U$66,2,TRUE)&amp;VLOOKUP(C89,tablas!$S$3:$U$66,3,TRUE),tablas!$R$3:$S$66,2,FALSE)&lt;C89,VLOOKUP(C89+0.1,tablas!$S$3:$U$66,3,TRUE),VLOOKUP(C89,tablas!$S$3:$U$66,3,TRUE))&amp;"$",$C$13)</f>
        <v>$\phi10@20$</v>
      </c>
      <c r="D90" s="192" t="str">
        <f>IF(D89&gt;$C$12,"$\phi"&amp;IF(VLOOKUP(VLOOKUP(D89,tablas!$S$3:$U$66,2,TRUE)&amp;VLOOKUP(D89,tablas!$S$3:$U$66,3,TRUE),tablas!$R$3:$S$66,2,FALSE)&lt;D89,VLOOKUP(D89+0.1,tablas!$S$3:$U$66,2,TRUE),VLOOKUP(D89,tablas!$S$3:$U$66,2,TRUE))&amp;"@"&amp;IF(VLOOKUP(VLOOKUP(D89,tablas!$S$3:$U$66,2,TRUE)&amp;VLOOKUP(D89,tablas!$S$3:$U$66,3,TRUE),tablas!$R$3:$S$66,2,FALSE)&lt;D89,VLOOKUP(D89+0.1,tablas!$S$3:$U$66,3,TRUE),VLOOKUP(D89,tablas!$S$3:$U$66,3,TRUE))&amp;"$",$C$13)</f>
        <v>$\phi10@20$</v>
      </c>
      <c r="E90" s="192" t="str">
        <f>IF(E89&gt;$C$12,"$\phi"&amp;IF(VLOOKUP(VLOOKUP(E89,tablas!$S$3:$U$66,2,TRUE)&amp;VLOOKUP(E89,tablas!$S$3:$U$66,3,TRUE),tablas!$R$3:$S$66,2,FALSE)&lt;E89,VLOOKUP(E89+0.1,tablas!$S$3:$U$66,2,TRUE),VLOOKUP(E89,tablas!$S$3:$U$66,2,TRUE))&amp;"@"&amp;IF(VLOOKUP(VLOOKUP(E89,tablas!$S$3:$U$66,2,TRUE)&amp;VLOOKUP(E89,tablas!$S$3:$U$66,3,TRUE),tablas!$R$3:$S$66,2,FALSE)&lt;E89,VLOOKUP(E89+0.1,tablas!$S$3:$U$66,3,TRUE),VLOOKUP(E89,tablas!$S$3:$U$66,3,TRUE))&amp;"$",$C$13)</f>
        <v>$\phi10@20$</v>
      </c>
      <c r="F90" s="192" t="str">
        <f>IF(F89&gt;$C$12,"$\phi"&amp;IF(VLOOKUP(VLOOKUP(F89,tablas!$S$3:$U$66,2,TRUE)&amp;VLOOKUP(F89,tablas!$S$3:$U$66,3,TRUE),tablas!$R$3:$S$66,2,FALSE)&lt;F89,VLOOKUP(F89+0.1,tablas!$S$3:$U$66,2,TRUE),VLOOKUP(F89,tablas!$S$3:$U$66,2,TRUE))&amp;"@"&amp;IF(VLOOKUP(VLOOKUP(F89,tablas!$S$3:$U$66,2,TRUE)&amp;VLOOKUP(F89,tablas!$S$3:$U$66,3,TRUE),tablas!$R$3:$S$66,2,FALSE)&lt;F89,VLOOKUP(F89+0.1,tablas!$S$3:$U$66,3,TRUE),VLOOKUP(F89,tablas!$S$3:$U$66,3,TRUE))&amp;"$",$C$13)</f>
        <v>$\phi10@19$</v>
      </c>
      <c r="G90" s="192" t="str">
        <f>IF(G89&gt;$C$12,"$\phi"&amp;IF(VLOOKUP(VLOOKUP(G89,tablas!$S$3:$U$66,2,TRUE)&amp;VLOOKUP(G89,tablas!$S$3:$U$66,3,TRUE),tablas!$R$3:$S$66,2,FALSE)&lt;G89,VLOOKUP(G89+0.1,tablas!$S$3:$U$66,2,TRUE),VLOOKUP(G89,tablas!$S$3:$U$66,2,TRUE))&amp;"@"&amp;IF(VLOOKUP(VLOOKUP(G89,tablas!$S$3:$U$66,2,TRUE)&amp;VLOOKUP(G89,tablas!$S$3:$U$66,3,TRUE),tablas!$R$3:$S$66,2,FALSE)&lt;G89,VLOOKUP(G89+0.1,tablas!$S$3:$U$66,3,TRUE),VLOOKUP(G89,tablas!$S$3:$U$66,3,TRUE))&amp;"$",$C$13)</f>
        <v>$\phi12@22$</v>
      </c>
      <c r="H90" s="192" t="str">
        <f>IF(H89&gt;$C$12,"$\phi"&amp;IF(VLOOKUP(VLOOKUP(H89,tablas!$S$3:$U$66,2,TRUE)&amp;VLOOKUP(H89,tablas!$S$3:$U$66,3,TRUE),tablas!$R$3:$S$66,2,FALSE)&lt;H89,VLOOKUP(H89+0.1,tablas!$S$3:$U$66,2,TRUE),VLOOKUP(H89,tablas!$S$3:$U$66,2,TRUE))&amp;"@"&amp;IF(VLOOKUP(VLOOKUP(H89,tablas!$S$3:$U$66,2,TRUE)&amp;VLOOKUP(H89,tablas!$S$3:$U$66,3,TRUE),tablas!$R$3:$S$66,2,FALSE)&lt;H89,VLOOKUP(H89+0.1,tablas!$S$3:$U$66,3,TRUE),VLOOKUP(H89,tablas!$S$3:$U$66,3,TRUE))&amp;"$",$C$13)</f>
        <v>$\phi8@10$</v>
      </c>
      <c r="I90" s="192" t="str">
        <f>IF(I89&gt;$C$12,"$\phi"&amp;IF(VLOOKUP(VLOOKUP(I89,tablas!$S$3:$U$66,2,TRUE)&amp;VLOOKUP(I89,tablas!$S$3:$U$66,3,TRUE),tablas!$R$3:$S$66,2,FALSE)&lt;I89,VLOOKUP(I89+0.1,tablas!$S$3:$U$66,2,TRUE),VLOOKUP(I89,tablas!$S$3:$U$66,2,TRUE))&amp;"@"&amp;IF(VLOOKUP(VLOOKUP(I89,tablas!$S$3:$U$66,2,TRUE)&amp;VLOOKUP(I89,tablas!$S$3:$U$66,3,TRUE),tablas!$R$3:$S$66,2,FALSE)&lt;I89,VLOOKUP(I89+0.1,tablas!$S$3:$U$66,3,TRUE),VLOOKUP(I89,tablas!$S$3:$U$66,3,TRUE))&amp;"$",$C$13)</f>
        <v>$\phi8@10$</v>
      </c>
      <c r="J90" s="192" t="str">
        <f>IF(J89&gt;$C$12,"$\phi"&amp;IF(VLOOKUP(VLOOKUP(J89,tablas!$S$3:$U$66,2,TRUE)&amp;VLOOKUP(J89,tablas!$S$3:$U$66,3,TRUE),tablas!$R$3:$S$66,2,FALSE)&lt;J89,VLOOKUP(J89+0.1,tablas!$S$3:$U$66,2,TRUE),VLOOKUP(J89,tablas!$S$3:$U$66,2,TRUE))&amp;"@"&amp;IF(VLOOKUP(VLOOKUP(J89,tablas!$S$3:$U$66,2,TRUE)&amp;VLOOKUP(J89,tablas!$S$3:$U$66,3,TRUE),tablas!$R$3:$S$66,2,FALSE)&lt;J89,VLOOKUP(J89+0.1,tablas!$S$3:$U$66,3,TRUE),VLOOKUP(J89,tablas!$S$3:$U$66,3,TRUE))&amp;"$",$C$13)</f>
        <v>$\phi12@24$</v>
      </c>
      <c r="K90" s="192" t="str">
        <f>IF(K89&gt;$C$12,"$\phi"&amp;IF(VLOOKUP(VLOOKUP(K89,tablas!$S$3:$U$66,2,TRUE)&amp;VLOOKUP(K89,tablas!$S$3:$U$66,3,TRUE),tablas!$R$3:$S$66,2,FALSE)&lt;K89,VLOOKUP(K89+0.1,tablas!$S$3:$U$66,2,TRUE),VLOOKUP(K89,tablas!$S$3:$U$66,2,TRUE))&amp;"@"&amp;IF(VLOOKUP(VLOOKUP(K89,tablas!$S$3:$U$66,2,TRUE)&amp;VLOOKUP(K89,tablas!$S$3:$U$66,3,TRUE),tablas!$R$3:$S$66,2,FALSE)&lt;K89,VLOOKUP(K89+0.1,tablas!$S$3:$U$66,3,TRUE),VLOOKUP(K89,tablas!$S$3:$U$66,3,TRUE))&amp;"$",$C$13)</f>
        <v>$\phi8@12$</v>
      </c>
      <c r="L90" s="192" t="str">
        <f>IF(L89&gt;$C$12,"$\phi"&amp;IF(VLOOKUP(VLOOKUP(L89,tablas!$S$3:$U$66,2,TRUE)&amp;VLOOKUP(L89,tablas!$S$3:$U$66,3,TRUE),tablas!$R$3:$S$66,2,FALSE)&lt;L89,VLOOKUP(L89+0.1,tablas!$S$3:$U$66,2,TRUE),VLOOKUP(L89,tablas!$S$3:$U$66,2,TRUE))&amp;"@"&amp;IF(VLOOKUP(VLOOKUP(L89,tablas!$S$3:$U$66,2,TRUE)&amp;VLOOKUP(L89,tablas!$S$3:$U$66,3,TRUE),tablas!$R$3:$S$66,2,FALSE)&lt;L89,VLOOKUP(L89+0.1,tablas!$S$3:$U$66,3,TRUE),VLOOKUP(L89,tablas!$S$3:$U$66,3,TRUE))&amp;"$",$C$13)</f>
        <v>$\phi8@17$</v>
      </c>
      <c r="M90" s="192" t="str">
        <f>IF(M89&gt;$C$12,"$\phi"&amp;IF(VLOOKUP(VLOOKUP(M89,tablas!$S$3:$U$66,2,TRUE)&amp;VLOOKUP(M89,tablas!$S$3:$U$66,3,TRUE),tablas!$R$3:$S$66,2,FALSE)&lt;M89,VLOOKUP(M89+0.1,tablas!$S$3:$U$66,2,TRUE),VLOOKUP(M89,tablas!$S$3:$U$66,2,TRUE))&amp;"@"&amp;IF(VLOOKUP(VLOOKUP(M89,tablas!$S$3:$U$66,2,TRUE)&amp;VLOOKUP(M89,tablas!$S$3:$U$66,3,TRUE),tablas!$R$3:$S$66,2,FALSE)&lt;M89,VLOOKUP(M89+0.1,tablas!$S$3:$U$66,3,TRUE),VLOOKUP(M89,tablas!$S$3:$U$66,3,TRUE))&amp;"$",$C$13)</f>
        <v>$\phi8@15$</v>
      </c>
      <c r="N90" s="192" t="str">
        <f>IF(N89&gt;$C$12,"$\phi"&amp;IF(VLOOKUP(VLOOKUP(N89,tablas!$S$3:$U$66,2,TRUE)&amp;VLOOKUP(N89,tablas!$S$3:$U$66,3,TRUE),tablas!$R$3:$S$66,2,FALSE)&lt;N89,VLOOKUP(N89+0.1,tablas!$S$3:$U$66,2,TRUE),VLOOKUP(N89,tablas!$S$3:$U$66,2,TRUE))&amp;"@"&amp;IF(VLOOKUP(VLOOKUP(N89,tablas!$S$3:$U$66,2,TRUE)&amp;VLOOKUP(N89,tablas!$S$3:$U$66,3,TRUE),tablas!$R$3:$S$66,2,FALSE)&lt;N89,VLOOKUP(N89+0.1,tablas!$S$3:$U$66,3,TRUE),VLOOKUP(N89,tablas!$S$3:$U$66,3,TRUE))&amp;"$",$C$13)</f>
        <v>$\phi12@19$</v>
      </c>
      <c r="O90" s="192" t="str">
        <f>IF(O89&gt;$C$12,"$\phi"&amp;IF(VLOOKUP(VLOOKUP(O89,tablas!$S$3:$U$66,2,TRUE)&amp;VLOOKUP(O89,tablas!$S$3:$U$66,3,TRUE),tablas!$R$3:$S$66,2,FALSE)&lt;O89,VLOOKUP(O89+0.1,tablas!$S$3:$U$66,2,TRUE),VLOOKUP(O89,tablas!$S$3:$U$66,2,TRUE))&amp;"@"&amp;IF(VLOOKUP(VLOOKUP(O89,tablas!$S$3:$U$66,2,TRUE)&amp;VLOOKUP(O89,tablas!$S$3:$U$66,3,TRUE),tablas!$R$3:$S$66,2,FALSE)&lt;O89,VLOOKUP(O89+0.1,tablas!$S$3:$U$66,3,TRUE),VLOOKUP(O89,tablas!$S$3:$U$66,3,TRUE))&amp;"$",$C$13)</f>
        <v>$\phi8@17$</v>
      </c>
      <c r="P90" s="192" t="str">
        <f>IF(P89&gt;$C$12,"$\phi"&amp;IF(VLOOKUP(VLOOKUP(P89,tablas!$S$3:$U$66,2,TRUE)&amp;VLOOKUP(P89,tablas!$S$3:$U$66,3,TRUE),tablas!$R$3:$S$66,2,FALSE)&lt;P89,VLOOKUP(P89+0.1,tablas!$S$3:$U$66,2,TRUE),VLOOKUP(P89,tablas!$S$3:$U$66,2,TRUE))&amp;"@"&amp;IF(VLOOKUP(VLOOKUP(P89,tablas!$S$3:$U$66,2,TRUE)&amp;VLOOKUP(P89,tablas!$S$3:$U$66,3,TRUE),tablas!$R$3:$S$66,2,FALSE)&lt;P89,VLOOKUP(P89+0.1,tablas!$S$3:$U$66,3,TRUE),VLOOKUP(P89,tablas!$S$3:$U$66,3,TRUE))&amp;"$",$C$13)</f>
        <v>$\phi8@17$</v>
      </c>
      <c r="Q90" s="192" t="str">
        <f>IF(Q89&gt;$C$12,"$\phi"&amp;IF(VLOOKUP(VLOOKUP(Q89,tablas!$S$3:$U$66,2,TRUE)&amp;VLOOKUP(Q89,tablas!$S$3:$U$66,3,TRUE),tablas!$R$3:$S$66,2,FALSE)&lt;Q89,VLOOKUP(Q89+0.1,tablas!$S$3:$U$66,2,TRUE),VLOOKUP(Q89,tablas!$S$3:$U$66,2,TRUE))&amp;"@"&amp;IF(VLOOKUP(VLOOKUP(Q89,tablas!$S$3:$U$66,2,TRUE)&amp;VLOOKUP(Q89,tablas!$S$3:$U$66,3,TRUE),tablas!$R$3:$S$66,2,FALSE)&lt;Q89,VLOOKUP(Q89+0.1,tablas!$S$3:$U$66,3,TRUE),VLOOKUP(Q89,tablas!$S$3:$U$66,3,TRUE))&amp;"$",$C$13)</f>
        <v>$\phi8@17$</v>
      </c>
      <c r="R90" s="192" t="str">
        <f>IF(R89&gt;$C$12,"$\phi"&amp;IF(VLOOKUP(VLOOKUP(R89,tablas!$S$3:$U$66,2,TRUE)&amp;VLOOKUP(R89,tablas!$S$3:$U$66,3,TRUE),tablas!$R$3:$S$66,2,FALSE)&lt;R89,VLOOKUP(R89+0.1,tablas!$S$3:$U$66,2,TRUE),VLOOKUP(R89,tablas!$S$3:$U$66,2,TRUE))&amp;"@"&amp;IF(VLOOKUP(VLOOKUP(R89,tablas!$S$3:$U$66,2,TRUE)&amp;VLOOKUP(R89,tablas!$S$3:$U$66,3,TRUE),tablas!$R$3:$S$66,2,FALSE)&lt;R89,VLOOKUP(R89+0.1,tablas!$S$3:$U$66,3,TRUE),VLOOKUP(R89,tablas!$S$3:$U$66,3,TRUE))&amp;"$",$C$13)</f>
        <v>$\phi8@17$</v>
      </c>
      <c r="S90" s="192" t="str">
        <f>IF(S89&gt;$C$12,"$\phi"&amp;IF(VLOOKUP(VLOOKUP(S89,tablas!$S$3:$U$66,2,TRUE)&amp;VLOOKUP(S89,tablas!$S$3:$U$66,3,TRUE),tablas!$R$3:$S$66,2,FALSE)&lt;S89,VLOOKUP(S89+0.1,tablas!$S$3:$U$66,2,TRUE),VLOOKUP(S89,tablas!$S$3:$U$66,2,TRUE))&amp;"@"&amp;IF(VLOOKUP(VLOOKUP(S89,tablas!$S$3:$U$66,2,TRUE)&amp;VLOOKUP(S89,tablas!$S$3:$U$66,3,TRUE),tablas!$R$3:$S$66,2,FALSE)&lt;S89,VLOOKUP(S89+0.1,tablas!$S$3:$U$66,3,TRUE),VLOOKUP(S89,tablas!$S$3:$U$66,3,TRUE))&amp;"$",$C$13)</f>
        <v>$\phi8@14$</v>
      </c>
      <c r="T90" s="192" t="str">
        <f>IF(T89&gt;$C$12,"$\phi"&amp;IF(VLOOKUP(VLOOKUP(T89,tablas!$S$3:$U$66,2,TRUE)&amp;VLOOKUP(T89,tablas!$S$3:$U$66,3,TRUE),tablas!$R$3:$S$66,2,FALSE)&lt;T89,VLOOKUP(T89+0.1,tablas!$S$3:$U$66,2,TRUE),VLOOKUP(T89,tablas!$S$3:$U$66,2,TRUE))&amp;"@"&amp;IF(VLOOKUP(VLOOKUP(T89,tablas!$S$3:$U$66,2,TRUE)&amp;VLOOKUP(T89,tablas!$S$3:$U$66,3,TRUE),tablas!$R$3:$S$66,2,FALSE)&lt;T89,VLOOKUP(T89+0.1,tablas!$S$3:$U$66,3,TRUE),VLOOKUP(T89,tablas!$S$3:$U$66,3,TRUE))&amp;"$",$C$13)</f>
        <v>$\phi8@17$</v>
      </c>
      <c r="U90" s="192" t="str">
        <f>IF(U89&gt;$C$12,"$\phi"&amp;IF(VLOOKUP(VLOOKUP(U89,tablas!$S$3:$U$66,2,TRUE)&amp;VLOOKUP(U89,tablas!$S$3:$U$66,3,TRUE),tablas!$R$3:$S$66,2,FALSE)&lt;U89,VLOOKUP(U89+0.1,tablas!$S$3:$U$66,2,TRUE),VLOOKUP(U89,tablas!$S$3:$U$66,2,TRUE))&amp;"@"&amp;IF(VLOOKUP(VLOOKUP(U89,tablas!$S$3:$U$66,2,TRUE)&amp;VLOOKUP(U89,tablas!$S$3:$U$66,3,TRUE),tablas!$R$3:$S$66,2,FALSE)&lt;U89,VLOOKUP(U89+0.1,tablas!$S$3:$U$66,3,TRUE),VLOOKUP(U89,tablas!$S$3:$U$66,3,TRUE))&amp;"$",$C$13)</f>
        <v>$\phi8@17$</v>
      </c>
      <c r="V90" s="192" t="str">
        <f>IF(V89&gt;$C$12,"$\phi"&amp;IF(VLOOKUP(VLOOKUP(V89,tablas!$S$3:$U$66,2,TRUE)&amp;VLOOKUP(V89,tablas!$S$3:$U$66,3,TRUE),tablas!$R$3:$S$66,2,FALSE)&lt;V89,VLOOKUP(V89+0.1,tablas!$S$3:$U$66,2,TRUE),VLOOKUP(V89,tablas!$S$3:$U$66,2,TRUE))&amp;"@"&amp;IF(VLOOKUP(VLOOKUP(V89,tablas!$S$3:$U$66,2,TRUE)&amp;VLOOKUP(V89,tablas!$S$3:$U$66,3,TRUE),tablas!$R$3:$S$66,2,FALSE)&lt;V89,VLOOKUP(V89+0.1,tablas!$S$3:$U$66,3,TRUE),VLOOKUP(V89,tablas!$S$3:$U$66,3,TRUE))&amp;"$",$C$13)</f>
        <v>$\phi8@17$</v>
      </c>
      <c r="W90" s="192" t="str">
        <f>IF(W89&gt;$C$12,"$\phi"&amp;IF(VLOOKUP(VLOOKUP(W89,tablas!$S$3:$U$66,2,TRUE)&amp;VLOOKUP(W89,tablas!$S$3:$U$66,3,TRUE),tablas!$R$3:$S$66,2,FALSE)&lt;W89,VLOOKUP(W89+0.1,tablas!$S$3:$U$66,2,TRUE),VLOOKUP(W89,tablas!$S$3:$U$66,2,TRUE))&amp;"@"&amp;IF(VLOOKUP(VLOOKUP(W89,tablas!$S$3:$U$66,2,TRUE)&amp;VLOOKUP(W89,tablas!$S$3:$U$66,3,TRUE),tablas!$R$3:$S$66,2,FALSE)&lt;W89,VLOOKUP(W89+0.1,tablas!$S$3:$U$66,3,TRUE),VLOOKUP(W89,tablas!$S$3:$U$66,3,TRUE))&amp;"$",$C$13)</f>
        <v>$\phi8@17$</v>
      </c>
    </row>
    <row r="91" spans="2:28" x14ac:dyDescent="0.25">
      <c r="P91" s="40"/>
      <c r="T91" s="40"/>
      <c r="U91" s="41"/>
    </row>
    <row r="92" spans="2:28" ht="15.75" thickBot="1" x14ac:dyDescent="0.3">
      <c r="B92" s="299" t="s">
        <v>107</v>
      </c>
      <c r="C92" s="299"/>
      <c r="P92" s="40"/>
      <c r="T92" s="40"/>
      <c r="U92" s="41"/>
    </row>
    <row r="93" spans="2:28" ht="15.75" thickBot="1" x14ac:dyDescent="0.3">
      <c r="B93" s="73" t="s">
        <v>43</v>
      </c>
      <c r="C93" s="74" t="s">
        <v>117</v>
      </c>
      <c r="D93" s="75" t="s">
        <v>118</v>
      </c>
      <c r="E93" s="74" t="s">
        <v>117</v>
      </c>
      <c r="F93" s="75" t="s">
        <v>121</v>
      </c>
      <c r="G93" s="74" t="s">
        <v>118</v>
      </c>
      <c r="H93" s="75" t="s">
        <v>122</v>
      </c>
      <c r="I93" s="74" t="s">
        <v>118</v>
      </c>
      <c r="J93" s="75" t="s">
        <v>119</v>
      </c>
      <c r="K93" s="74" t="s">
        <v>119</v>
      </c>
      <c r="L93" s="75" t="s">
        <v>123</v>
      </c>
      <c r="M93" s="74" t="s">
        <v>119</v>
      </c>
      <c r="N93" s="75" t="s">
        <v>120</v>
      </c>
      <c r="O93" s="74" t="s">
        <v>120</v>
      </c>
      <c r="P93" s="75" t="s">
        <v>124</v>
      </c>
      <c r="Q93" s="74" t="s">
        <v>121</v>
      </c>
      <c r="R93" s="75" t="s">
        <v>122</v>
      </c>
      <c r="S93" s="74" t="s">
        <v>122</v>
      </c>
      <c r="T93" s="75" t="s">
        <v>138</v>
      </c>
      <c r="U93" s="74" t="s">
        <v>122</v>
      </c>
      <c r="V93" s="75" t="s">
        <v>126</v>
      </c>
      <c r="W93" s="74" t="s">
        <v>122</v>
      </c>
      <c r="X93" s="75" t="s">
        <v>123</v>
      </c>
      <c r="Y93" s="74" t="s">
        <v>123</v>
      </c>
      <c r="Z93" s="75" t="s">
        <v>127</v>
      </c>
      <c r="AA93" s="74" t="s">
        <v>123</v>
      </c>
      <c r="AB93" s="75" t="s">
        <v>124</v>
      </c>
    </row>
    <row r="94" spans="2:28" ht="15.75" hidden="1" thickBot="1" x14ac:dyDescent="0.3">
      <c r="B94" s="141"/>
      <c r="C94" s="143" t="str">
        <f>C93&amp;"-"&amp;D93</f>
        <v>101-102</v>
      </c>
      <c r="D94" s="143"/>
      <c r="E94" s="143" t="str">
        <f>E93&amp;"-"&amp;F93</f>
        <v>101-105</v>
      </c>
      <c r="F94" s="142"/>
      <c r="G94" s="143" t="str">
        <f>G93&amp;"-"&amp;H93</f>
        <v>102-106</v>
      </c>
      <c r="H94" s="142"/>
      <c r="I94" s="143" t="str">
        <f>I93&amp;"-"&amp;J93</f>
        <v>102-103</v>
      </c>
      <c r="J94" s="142"/>
      <c r="K94" s="143" t="str">
        <f>K93&amp;"-"&amp;L93</f>
        <v>103-107</v>
      </c>
      <c r="L94" s="142"/>
      <c r="M94" s="143" t="str">
        <f>M93&amp;"-"&amp;N93</f>
        <v>103-104</v>
      </c>
      <c r="N94" s="142"/>
      <c r="O94" s="143" t="str">
        <f>O93&amp;"-"&amp;P93</f>
        <v>104-108</v>
      </c>
      <c r="P94" s="142"/>
      <c r="Q94" s="143" t="str">
        <f>Q93&amp;"-"&amp;R93</f>
        <v>105-106</v>
      </c>
      <c r="R94" s="142"/>
      <c r="S94" s="143" t="str">
        <f>S93&amp;"-"&amp;T93</f>
        <v>106-121</v>
      </c>
      <c r="T94" s="142"/>
      <c r="U94" s="143" t="str">
        <f>U93&amp;"-"&amp;V93</f>
        <v>106-110</v>
      </c>
      <c r="V94" s="142"/>
      <c r="W94" s="143" t="str">
        <f>W93&amp;"-"&amp;X93</f>
        <v>106-107</v>
      </c>
      <c r="X94" s="142"/>
      <c r="Y94" s="143" t="str">
        <f>Y93&amp;"-"&amp;Z93</f>
        <v>107-111</v>
      </c>
      <c r="Z94" s="142"/>
      <c r="AA94" s="143" t="str">
        <f>AA93&amp;"-"&amp;AB93</f>
        <v>107-108</v>
      </c>
      <c r="AB94" s="142"/>
    </row>
    <row r="95" spans="2:28" x14ac:dyDescent="0.25">
      <c r="B95" s="102" t="s">
        <v>114</v>
      </c>
      <c r="C95" s="99" t="s">
        <v>109</v>
      </c>
      <c r="D95" s="100" t="s">
        <v>109</v>
      </c>
      <c r="E95" s="99" t="s">
        <v>108</v>
      </c>
      <c r="F95" s="100" t="s">
        <v>108</v>
      </c>
      <c r="G95" s="99" t="s">
        <v>108</v>
      </c>
      <c r="H95" s="100" t="s">
        <v>108</v>
      </c>
      <c r="I95" s="99" t="s">
        <v>109</v>
      </c>
      <c r="J95" s="100" t="s">
        <v>109</v>
      </c>
      <c r="K95" s="99" t="s">
        <v>108</v>
      </c>
      <c r="L95" s="100" t="s">
        <v>108</v>
      </c>
      <c r="M95" s="99" t="s">
        <v>109</v>
      </c>
      <c r="N95" s="100" t="s">
        <v>109</v>
      </c>
      <c r="O95" s="99" t="s">
        <v>108</v>
      </c>
      <c r="P95" s="100" t="s">
        <v>108</v>
      </c>
      <c r="Q95" s="99" t="s">
        <v>109</v>
      </c>
      <c r="R95" s="100" t="s">
        <v>109</v>
      </c>
      <c r="S95" s="99" t="s">
        <v>108</v>
      </c>
      <c r="T95" s="100" t="s">
        <v>109</v>
      </c>
      <c r="U95" s="99" t="s">
        <v>108</v>
      </c>
      <c r="V95" s="100" t="s">
        <v>108</v>
      </c>
      <c r="W95" s="99" t="s">
        <v>109</v>
      </c>
      <c r="X95" s="100" t="s">
        <v>109</v>
      </c>
      <c r="Y95" s="99" t="s">
        <v>108</v>
      </c>
      <c r="Z95" s="100" t="s">
        <v>108</v>
      </c>
      <c r="AA95" s="99" t="s">
        <v>109</v>
      </c>
      <c r="AB95" s="100" t="s">
        <v>109</v>
      </c>
    </row>
    <row r="96" spans="2:28" x14ac:dyDescent="0.25">
      <c r="B96" s="103" t="s">
        <v>110</v>
      </c>
      <c r="C96" s="101">
        <f t="shared" ref="C96:AB96" si="95">HLOOKUP(C93,$B$46:$AE$90,IF(C95="x",36,41),FALSE)</f>
        <v>2118.3333333333335</v>
      </c>
      <c r="D96" s="85">
        <f t="shared" si="95"/>
        <v>2129.7709923664124</v>
      </c>
      <c r="E96" s="101">
        <f t="shared" si="95"/>
        <v>2534.2024539877298</v>
      </c>
      <c r="F96" s="85">
        <f t="shared" si="95"/>
        <v>2909.2282142857143</v>
      </c>
      <c r="G96" s="101">
        <f t="shared" si="95"/>
        <v>2818.181818181818</v>
      </c>
      <c r="H96" s="85">
        <f t="shared" si="95"/>
        <v>3288.6382978723404</v>
      </c>
      <c r="I96" s="101">
        <f t="shared" si="95"/>
        <v>2129.7709923664124</v>
      </c>
      <c r="J96" s="85">
        <f t="shared" si="95"/>
        <v>2129.7709923664124</v>
      </c>
      <c r="K96" s="101">
        <f t="shared" si="95"/>
        <v>2818.181818181818</v>
      </c>
      <c r="L96" s="85">
        <f t="shared" si="95"/>
        <v>3288.6382978723404</v>
      </c>
      <c r="M96" s="101">
        <f t="shared" si="95"/>
        <v>2129.7709923664124</v>
      </c>
      <c r="N96" s="85">
        <f t="shared" si="95"/>
        <v>2191.666666666667</v>
      </c>
      <c r="O96" s="101">
        <f t="shared" si="95"/>
        <v>2982.8048780487807</v>
      </c>
      <c r="P96" s="85">
        <f t="shared" si="95"/>
        <v>3421.7893939393934</v>
      </c>
      <c r="Q96" s="101">
        <f t="shared" si="95"/>
        <v>2715.2796666666668</v>
      </c>
      <c r="R96" s="85">
        <f t="shared" si="95"/>
        <v>2699.8427947598257</v>
      </c>
      <c r="S96" s="101">
        <f t="shared" si="95"/>
        <v>3288.6382978723404</v>
      </c>
      <c r="T96" s="85">
        <f t="shared" si="95"/>
        <v>203.33714285714288</v>
      </c>
      <c r="U96" s="101">
        <f t="shared" si="95"/>
        <v>3288.6382978723404</v>
      </c>
      <c r="V96" s="85">
        <f t="shared" si="95"/>
        <v>1925.2978723404258</v>
      </c>
      <c r="W96" s="101">
        <f t="shared" si="95"/>
        <v>2699.8427947598257</v>
      </c>
      <c r="X96" s="85">
        <f t="shared" si="95"/>
        <v>2699.8427947598257</v>
      </c>
      <c r="Y96" s="101">
        <f t="shared" si="95"/>
        <v>3288.6382978723404</v>
      </c>
      <c r="Z96" s="85">
        <f t="shared" si="95"/>
        <v>2146.9148936170213</v>
      </c>
      <c r="AA96" s="101">
        <f t="shared" si="95"/>
        <v>2699.8427947598257</v>
      </c>
      <c r="AB96" s="85">
        <f t="shared" si="95"/>
        <v>2585.9324427480915</v>
      </c>
    </row>
    <row r="97" spans="2:28" x14ac:dyDescent="0.25">
      <c r="B97" s="103" t="s">
        <v>111</v>
      </c>
      <c r="C97" s="283">
        <f>(MAX(C96:D96)-MIN(C96:D96))/(MAX(C96:D96))</f>
        <v>5.3703703703703995E-3</v>
      </c>
      <c r="D97" s="284"/>
      <c r="E97" s="283">
        <f>(MAX(E96:F96)-MIN(E96:F96))/(MAX(E96:F96))</f>
        <v>0.12890902076929789</v>
      </c>
      <c r="F97" s="284"/>
      <c r="G97" s="283">
        <f>(MAX(G96:H96)-MIN(G96:H96))/(MAX(G96:H96))</f>
        <v>0.14305509973380015</v>
      </c>
      <c r="H97" s="284"/>
      <c r="I97" s="283">
        <f>(MAX(I96:J96)-MIN(I96:J96))/(MAX(I96:J96))</f>
        <v>0</v>
      </c>
      <c r="J97" s="284"/>
      <c r="K97" s="283">
        <f>(MAX(K96:L96)-MIN(K96:L96))/(MAX(K96:L96))</f>
        <v>0.14305509973380015</v>
      </c>
      <c r="L97" s="284"/>
      <c r="M97" s="283">
        <f>(MAX(M96:N96)-MIN(M96:N96))/(MAX(M96:N96))</f>
        <v>2.8241372304298646E-2</v>
      </c>
      <c r="N97" s="284"/>
      <c r="O97" s="283">
        <f>(MAX(O96:P96)-MIN(O96:P96))/(MAX(O96:P96))</f>
        <v>0.12829092189838848</v>
      </c>
      <c r="P97" s="284"/>
      <c r="Q97" s="283">
        <f>(MAX(Q96:R96)-MIN(Q96:R96))/(MAX(Q96:R96))</f>
        <v>5.685186721775792E-3</v>
      </c>
      <c r="R97" s="284"/>
      <c r="S97" s="283">
        <f>(MAX(S96:T96)-MIN(S96:T96))/(MAX(S96:T96))</f>
        <v>0.93816980633330938</v>
      </c>
      <c r="T97" s="284"/>
      <c r="U97" s="283">
        <f>(MAX(U96:V96)-MIN(U96:V96))/(MAX(U96:V96))</f>
        <v>0.41456077015643794</v>
      </c>
      <c r="V97" s="284"/>
      <c r="W97" s="283">
        <f>(MAX(W96:X96)-MIN(W96:X96))/(MAX(W96:X96))</f>
        <v>0</v>
      </c>
      <c r="X97" s="284"/>
      <c r="Y97" s="283">
        <f>(MAX(Y96:Z96)-MIN(Y96:Z96))/(MAX(Y96:Z96))</f>
        <v>0.34717208182912151</v>
      </c>
      <c r="Z97" s="284"/>
      <c r="AA97" s="283">
        <f>(MAX(AA96:AB96)-MIN(AA96:AB96))/(MAX(AA96:AB96))</f>
        <v>4.219147582697217E-2</v>
      </c>
      <c r="AB97" s="284"/>
    </row>
    <row r="98" spans="2:28" x14ac:dyDescent="0.25">
      <c r="B98" s="103" t="s">
        <v>112</v>
      </c>
      <c r="C98" s="285">
        <f>IF(C97&lt;25%,(C96*0.5+D96*0.5)*0.9,IF(C97&lt;50%,(MAX(C96:D96)*0.6+MIN(C96:D96)*0.4)*0.9,IF(C97&lt;70%,(MAX(C96:D96)*0.65+MIN(C96:D96)*0.35)*0.9,IF(C97&lt;100%,(MAX(C96:D96)*0.7+MIN(C96:D96)*0.3)*0.9,0.7*MAX(C96:D96)))))</f>
        <v>1911.6469465648854</v>
      </c>
      <c r="D98" s="286"/>
      <c r="E98" s="285">
        <f>IF(E97&lt;25%,(E96*0.5+F96*0.5)*0.9,IF(E97&lt;50%,(MAX(E96:F96)*0.6+MIN(E96:F96)*0.4)*0.9,IF(E97&lt;70%,(MAX(E96:F96)*0.65+MIN(E96:F96)*0.35)*0.9,IF(E97&lt;100%,(MAX(E96:F96)*0.7+MIN(E96:F96)*0.3)*0.9,0.7*MAX(E96:F96)))))</f>
        <v>2449.54380072305</v>
      </c>
      <c r="F98" s="286"/>
      <c r="G98" s="285">
        <f>IF(G97&lt;25%,(G96*0.5+H96*0.5)*0.9,IF(G97&lt;50%,(MAX(G96:H96)*0.6+MIN(G96:H96)*0.4)*0.9,IF(G97&lt;70%,(MAX(G96:H96)*0.65+MIN(G96:H96)*0.35)*0.9,IF(G97&lt;100%,(MAX(G96:H96)*0.7+MIN(G96:H96)*0.3)*0.9,0.7*MAX(G96:H96)))))</f>
        <v>2748.0690522243713</v>
      </c>
      <c r="H98" s="286"/>
      <c r="I98" s="285">
        <f>IF(I97&lt;25%,(I96*0.5+J96*0.5)*0.9,IF(I97&lt;50%,(MAX(I96:J96)*0.6+MIN(I96:J96)*0.4)*0.9,IF(I97&lt;70%,(MAX(I96:J96)*0.65+MIN(I96:J96)*0.35)*0.9,IF(I97&lt;100%,(MAX(I96:J96)*0.7+MIN(I96:J96)*0.3)*0.9,0.7*MAX(I96:J96)))))</f>
        <v>1916.7938931297713</v>
      </c>
      <c r="J98" s="286"/>
      <c r="K98" s="285">
        <f>IF(K97&lt;25%,(K96*0.5+L96*0.5)*0.9,IF(K97&lt;50%,(MAX(K96:L96)*0.6+MIN(K96:L96)*0.4)*0.9,IF(K97&lt;70%,(MAX(K96:L96)*0.65+MIN(K96:L96)*0.35)*0.9,IF(K97&lt;100%,(MAX(K96:L96)*0.7+MIN(K96:L96)*0.3)*0.9,0.7*MAX(K96:L96)))))</f>
        <v>2748.0690522243713</v>
      </c>
      <c r="L98" s="286"/>
      <c r="M98" s="285">
        <f>IF(M97&lt;25%,(M96*0.5+N96*0.5)*0.9,IF(M97&lt;50%,(MAX(M96:N96)*0.6+MIN(M96:N96)*0.4)*0.9,IF(M97&lt;70%,(MAX(M96:N96)*0.65+MIN(M96:N96)*0.35)*0.9,IF(M97&lt;100%,(MAX(M96:N96)*0.7+MIN(M96:N96)*0.3)*0.9,0.7*MAX(M96:N96)))))</f>
        <v>1944.6469465648859</v>
      </c>
      <c r="N98" s="286"/>
      <c r="O98" s="285">
        <f>IF(O97&lt;25%,(O96*0.5+P96*0.5)*0.9,IF(O97&lt;50%,(MAX(O96:P96)*0.6+MIN(O96:P96)*0.4)*0.9,IF(O97&lt;70%,(MAX(O96:P96)*0.65+MIN(O96:P96)*0.35)*0.9,IF(O97&lt;100%,(MAX(O96:P96)*0.7+MIN(O96:P96)*0.3)*0.9,0.7*MAX(O96:P96)))))</f>
        <v>2882.0674223946785</v>
      </c>
      <c r="P98" s="286"/>
      <c r="Q98" s="285">
        <f>IF(Q97&lt;25%,(Q96*0.5+R96*0.5)*0.9,IF(Q97&lt;50%,(MAX(Q96:R96)*0.6+MIN(Q96:R96)*0.4)*0.9,IF(Q97&lt;70%,(MAX(Q96:R96)*0.65+MIN(Q96:R96)*0.35)*0.9,IF(Q97&lt;100%,(MAX(Q96:R96)*0.7+MIN(Q96:R96)*0.3)*0.9,0.7*MAX(Q96:R96)))))</f>
        <v>2436.8051076419215</v>
      </c>
      <c r="R98" s="286"/>
      <c r="S98" s="285">
        <f>IF(S97&lt;25%,(S96*0.5+T96*0.5)*0.9,IF(S97&lt;50%,(MAX(S96:T96)*0.6+MIN(S96:T96)*0.4)*0.9,IF(S97&lt;70%,(MAX(S96:T96)*0.65+MIN(S96:T96)*0.35)*0.9,IF(S97&lt;100%,(MAX(S96:T96)*0.7+MIN(S96:T96)*0.3)*0.9,0.7*MAX(S96:T96)))))</f>
        <v>2126.743156231003</v>
      </c>
      <c r="T98" s="286"/>
      <c r="U98" s="285">
        <f>IF(U97&lt;25%,(U96*0.5+V96*0.5)*0.9,IF(U97&lt;50%,(MAX(U96:V96)*0.6+MIN(U96:V96)*0.4)*0.9,IF(U97&lt;70%,(MAX(U96:V96)*0.65+MIN(U96:V96)*0.35)*0.9,IF(U97&lt;100%,(MAX(U96:V96)*0.7+MIN(U96:V96)*0.3)*0.9,0.7*MAX(U96:V96)))))</f>
        <v>2468.9719148936174</v>
      </c>
      <c r="V98" s="286"/>
      <c r="W98" s="285">
        <f>IF(W97&lt;25%,(W96*0.5+X96*0.5)*0.9,IF(W97&lt;50%,(MAX(W96:X96)*0.6+MIN(W96:X96)*0.4)*0.9,IF(W97&lt;70%,(MAX(W96:X96)*0.65+MIN(W96:X96)*0.35)*0.9,IF(W97&lt;100%,(MAX(W96:X96)*0.7+MIN(W96:X96)*0.3)*0.9,0.7*MAX(W96:X96)))))</f>
        <v>2429.8585152838432</v>
      </c>
      <c r="X98" s="286"/>
      <c r="Y98" s="285">
        <f>IF(Y97&lt;25%,(Y96*0.5+Z96*0.5)*0.9,IF(Y97&lt;50%,(MAX(Y96:Z96)*0.6+MIN(Y96:Z96)*0.4)*0.9,IF(Y97&lt;70%,(MAX(Y96:Z96)*0.65+MIN(Y96:Z96)*0.35)*0.9,IF(Y97&lt;100%,(MAX(Y96:Z96)*0.7+MIN(Y96:Z96)*0.3)*0.9,0.7*MAX(Y96:Z96)))))</f>
        <v>2548.7540425531915</v>
      </c>
      <c r="Z98" s="286"/>
      <c r="AA98" s="285">
        <f>IF(AA97&lt;25%,(AA96*0.5+AB96*0.5)*0.9,IF(AA97&lt;50%,(MAX(AA96:AB96)*0.6+MIN(AA96:AB96)*0.4)*0.9,IF(AA97&lt;70%,(MAX(AA96:AB96)*0.65+MIN(AA96:AB96)*0.35)*0.9,IF(AA97&lt;100%,(MAX(AA96:AB96)*0.7+MIN(AA96:AB96)*0.3)*0.9,0.7*MAX(AA96:AB96)))))</f>
        <v>2378.5988568785629</v>
      </c>
      <c r="AB98" s="286"/>
    </row>
    <row r="99" spans="2:28" x14ac:dyDescent="0.25">
      <c r="B99" s="104" t="s">
        <v>15</v>
      </c>
      <c r="C99" s="287">
        <f>C98/(0.9*(0.9*($C$7/100))*($L$9*1000))</f>
        <v>3.9386815065455276</v>
      </c>
      <c r="D99" s="288"/>
      <c r="E99" s="287">
        <f>E98/(0.9*(0.9*($C$7/100))*($L$9*1000))</f>
        <v>5.0469428388531403</v>
      </c>
      <c r="F99" s="288"/>
      <c r="G99" s="287">
        <f>G98/(0.9*(0.9*($C$7/100))*($L$9*1000))</f>
        <v>5.6620124203142677</v>
      </c>
      <c r="H99" s="288"/>
      <c r="I99" s="287">
        <f>I98/(0.9*(0.9*($C$7/100))*($L$9*1000))</f>
        <v>3.9492860709954232</v>
      </c>
      <c r="J99" s="288"/>
      <c r="K99" s="287">
        <f>K98/(0.9*(0.9*($C$7/100))*($L$9*1000))</f>
        <v>5.6620124203142677</v>
      </c>
      <c r="L99" s="288"/>
      <c r="M99" s="287">
        <f>M98/(0.9*(0.9*($C$7/100))*($L$9*1000))</f>
        <v>4.0066733969673249</v>
      </c>
      <c r="N99" s="288"/>
      <c r="O99" s="287">
        <f>O98/(0.9*(0.9*($C$7/100))*($L$9*1000))</f>
        <v>5.9380973445966587</v>
      </c>
      <c r="P99" s="288"/>
      <c r="Q99" s="287">
        <f>Q98/(0.9*(0.9*($C$7/100))*($L$9*1000))</f>
        <v>5.0206965411534741</v>
      </c>
      <c r="R99" s="288"/>
      <c r="S99" s="287">
        <f>S98/(0.9*(0.9*($C$7/100))*($L$9*1000))</f>
        <v>4.3818572010231795</v>
      </c>
      <c r="T99" s="288"/>
      <c r="U99" s="287">
        <f>U98/(0.9*(0.9*($C$7/100))*($L$9*1000))</f>
        <v>5.0869717543012429</v>
      </c>
      <c r="V99" s="288"/>
      <c r="W99" s="287">
        <f>W98/(0.9*(0.9*($C$7/100))*($L$9*1000))</f>
        <v>5.0063840579287664</v>
      </c>
      <c r="X99" s="288"/>
      <c r="Y99" s="287">
        <f>Y98/(0.9*(0.9*($C$7/100))*($L$9*1000))</f>
        <v>5.2513516840420786</v>
      </c>
      <c r="Z99" s="288"/>
      <c r="AA99" s="287">
        <f>AA98/(0.9*(0.9*($C$7/100))*($L$9*1000))</f>
        <v>4.9007706919484457</v>
      </c>
      <c r="AB99" s="288"/>
    </row>
    <row r="100" spans="2:28" x14ac:dyDescent="0.25">
      <c r="B100" s="104" t="s">
        <v>98</v>
      </c>
      <c r="C100" s="281">
        <f>(C99*($L$9))/(0.85*$L$6*100)</f>
        <v>5.5552996698022279E-2</v>
      </c>
      <c r="D100" s="282"/>
      <c r="E100" s="281">
        <f>(E99*($L$9))/(0.85*$L$6*100)</f>
        <v>7.1184430220106912E-2</v>
      </c>
      <c r="F100" s="282"/>
      <c r="G100" s="281">
        <f>(G99*($L$9))/(0.85*$L$6*100)</f>
        <v>7.9859657798467848E-2</v>
      </c>
      <c r="H100" s="282"/>
      <c r="I100" s="281">
        <f>(I99*($L$9))/(0.85*$L$6*100)</f>
        <v>5.5702568409492212E-2</v>
      </c>
      <c r="J100" s="282"/>
      <c r="K100" s="281">
        <f>(K99*($L$9))/(0.85*$L$6*100)</f>
        <v>7.9859657798467848E-2</v>
      </c>
      <c r="L100" s="282"/>
      <c r="M100" s="281">
        <f>(M99*($L$9))/(0.85*$L$6*100)</f>
        <v>5.651198595821437E-2</v>
      </c>
      <c r="N100" s="282"/>
      <c r="O100" s="281">
        <f>(O99*($L$9))/(0.85*$L$6*100)</f>
        <v>8.3753688037151761E-2</v>
      </c>
      <c r="P100" s="282"/>
      <c r="Q100" s="281">
        <f>(Q99*($L$9))/(0.85*$L$6*100)</f>
        <v>7.0814240224540692E-2</v>
      </c>
      <c r="R100" s="282"/>
      <c r="S100" s="281">
        <f>(S99*($L$9))/(0.85*$L$6*100)</f>
        <v>6.1803752909471779E-2</v>
      </c>
      <c r="T100" s="282"/>
      <c r="U100" s="281">
        <f>(U99*($L$9))/(0.85*$L$6*100)</f>
        <v>7.1749016669663268E-2</v>
      </c>
      <c r="V100" s="282"/>
      <c r="W100" s="281">
        <f>(W99*($L$9))/(0.85*$L$6*100)</f>
        <v>7.0612370301318575E-2</v>
      </c>
      <c r="X100" s="282"/>
      <c r="Y100" s="281">
        <f>(Y99*($L$9))/(0.85*$L$6*100)</f>
        <v>7.4067507687263473E-2</v>
      </c>
      <c r="Z100" s="282"/>
      <c r="AA100" s="281">
        <f>(AA99*($L$9))/(0.85*$L$6*100)</f>
        <v>6.9122750243991934E-2</v>
      </c>
      <c r="AB100" s="282"/>
    </row>
    <row r="101" spans="2:28" ht="15.75" thickBot="1" x14ac:dyDescent="0.3">
      <c r="B101" s="105" t="s">
        <v>15</v>
      </c>
      <c r="C101" s="289">
        <f>ROUNDUP(C98/(0.9*(($C$7-C100/2)/100)*($L$9*1000)),2)</f>
        <v>3.5599999999999996</v>
      </c>
      <c r="D101" s="290"/>
      <c r="E101" s="289">
        <f>ROUNDUP(E98/(0.9*(($C$7-E100/2)/100)*($L$9*1000)),2)</f>
        <v>4.5599999999999996</v>
      </c>
      <c r="F101" s="290"/>
      <c r="G101" s="289">
        <f>ROUNDUP(G98/(0.9*(($C$7-G100/2)/100)*($L$9*1000)),2)</f>
        <v>5.12</v>
      </c>
      <c r="H101" s="290"/>
      <c r="I101" s="289">
        <f>ROUNDUP(I98/(0.9*(($C$7-I100/2)/100)*($L$9*1000)),2)</f>
        <v>3.57</v>
      </c>
      <c r="J101" s="290"/>
      <c r="K101" s="289">
        <f>ROUNDUP(K98/(0.9*(($C$7-K100/2)/100)*($L$9*1000)),2)</f>
        <v>5.12</v>
      </c>
      <c r="L101" s="290"/>
      <c r="M101" s="289">
        <f>ROUNDUP(M98/(0.9*(($C$7-M100/2)/100)*($L$9*1000)),2)</f>
        <v>3.6199999999999997</v>
      </c>
      <c r="N101" s="290"/>
      <c r="O101" s="289">
        <f>ROUNDUP(O98/(0.9*(($C$7-O100/2)/100)*($L$9*1000)),2)</f>
        <v>5.37</v>
      </c>
      <c r="P101" s="290"/>
      <c r="Q101" s="289">
        <f>ROUNDUP(Q98/(0.9*(($C$7-Q100/2)/100)*($L$9*1000)),2)</f>
        <v>4.54</v>
      </c>
      <c r="R101" s="290"/>
      <c r="S101" s="289">
        <f>ROUNDUP(S98/(0.9*(($C$7-S100/2)/100)*($L$9*1000)),2)</f>
        <v>3.96</v>
      </c>
      <c r="T101" s="290"/>
      <c r="U101" s="289">
        <f>ROUNDUP(U98/(0.9*(($C$7-U100/2)/100)*($L$9*1000)),2)</f>
        <v>4.5999999999999996</v>
      </c>
      <c r="V101" s="290"/>
      <c r="W101" s="289">
        <f>ROUNDUP(W98/(0.9*(($C$7-W100/2)/100)*($L$9*1000)),2)</f>
        <v>4.5199999999999996</v>
      </c>
      <c r="X101" s="290"/>
      <c r="Y101" s="289">
        <f>ROUNDUP(Y98/(0.9*(($C$7-Y100/2)/100)*($L$9*1000)),2)</f>
        <v>4.74</v>
      </c>
      <c r="Z101" s="290"/>
      <c r="AA101" s="289">
        <f>ROUNDUP(AA98/(0.9*(($C$7-AA100/2)/100)*($L$9*1000)),2)</f>
        <v>4.43</v>
      </c>
      <c r="AB101" s="290"/>
    </row>
    <row r="102" spans="2:28" ht="16.5" thickBot="1" x14ac:dyDescent="0.3">
      <c r="B102" s="61" t="s">
        <v>113</v>
      </c>
      <c r="C102" s="279" t="str">
        <f>IF(C101&gt;$C$12,"$\phi"&amp;IF(VLOOKUP(VLOOKUP(C101,tablas!$S$3:$U$66,2,TRUE)&amp;VLOOKUP(C101,tablas!$S$3:$U$66,3,TRUE),tablas!$R$3:$S$66,2,FALSE)&lt;C101,VLOOKUP(C101+0.1,tablas!$S$3:$U$66,2,TRUE),VLOOKUP(C101,tablas!$S$3:$U$66,2,TRUE))&amp;"@"&amp;IF(VLOOKUP(VLOOKUP(C101,tablas!$S$3:$U$66,2,TRUE)&amp;VLOOKUP(C101,tablas!$S$3:$U$66,3,TRUE),tablas!$R$3:$S$66,2,FALSE)&lt;C101,VLOOKUP(C101+0.1,tablas!$S$3:$U$66,3,TRUE)&amp;"$",VLOOKUP(C101,tablas!$S$3:$U$66,3,TRUE)&amp;"$"),$C$13)</f>
        <v>$\phi8@14$</v>
      </c>
      <c r="D102" s="280"/>
      <c r="E102" s="279" t="str">
        <f>IF(E101&gt;$C$12,"$\phi"&amp;IF(VLOOKUP(VLOOKUP(E101,tablas!$S$3:$U$66,2,TRUE)&amp;VLOOKUP(E101,tablas!$S$3:$U$66,3,TRUE),tablas!$R$3:$S$66,2,FALSE)&lt;E101,VLOOKUP(E101+0.1,tablas!$S$3:$U$66,2,TRUE),VLOOKUP(E101,tablas!$S$3:$U$66,2,TRUE))&amp;"@"&amp;IF(VLOOKUP(VLOOKUP(E101,tablas!$S$3:$U$66,2,TRUE)&amp;VLOOKUP(E101,tablas!$S$3:$U$66,3,TRUE),tablas!$R$3:$S$66,2,FALSE)&lt;E101,VLOOKUP(E101+0.1,tablas!$S$3:$U$66,3,TRUE)&amp;"$",VLOOKUP(E101,tablas!$S$3:$U$66,3,TRUE)&amp;"$"),$C$13)</f>
        <v>$\phi10@17$</v>
      </c>
      <c r="F102" s="280"/>
      <c r="G102" s="279" t="str">
        <f>IF(G101&gt;$C$12,"$\phi"&amp;IF(VLOOKUP(VLOOKUP(G101,tablas!$S$3:$U$66,2,TRUE)&amp;VLOOKUP(G101,tablas!$S$3:$U$66,3,TRUE),tablas!$R$3:$S$66,2,FALSE)&lt;G101,VLOOKUP(G101+0.1,tablas!$S$3:$U$66,2,TRUE),VLOOKUP(G101,tablas!$S$3:$U$66,2,TRUE))&amp;"@"&amp;IF(VLOOKUP(VLOOKUP(G101,tablas!$S$3:$U$66,2,TRUE)&amp;VLOOKUP(G101,tablas!$S$3:$U$66,3,TRUE),tablas!$R$3:$S$66,2,FALSE)&lt;G101,VLOOKUP(G101+0.1,tablas!$S$3:$U$66,3,TRUE)&amp;"$",VLOOKUP(G101,tablas!$S$3:$U$66,3,TRUE)&amp;"$"),$C$13)</f>
        <v>$\phi12@22$</v>
      </c>
      <c r="H102" s="280"/>
      <c r="I102" s="279" t="str">
        <f>IF(I101&gt;$C$12,"$\phi"&amp;IF(VLOOKUP(VLOOKUP(I101,tablas!$S$3:$U$66,2,TRUE)&amp;VLOOKUP(I101,tablas!$S$3:$U$66,3,TRUE),tablas!$R$3:$S$66,2,FALSE)&lt;I101,VLOOKUP(I101+0.1,tablas!$S$3:$U$66,2,TRUE),VLOOKUP(I101,tablas!$S$3:$U$66,2,TRUE))&amp;"@"&amp;IF(VLOOKUP(VLOOKUP(I101,tablas!$S$3:$U$66,2,TRUE)&amp;VLOOKUP(I101,tablas!$S$3:$U$66,3,TRUE),tablas!$R$3:$S$66,2,FALSE)&lt;I101,VLOOKUP(I101+0.1,tablas!$S$3:$U$66,3,TRUE)&amp;"$",VLOOKUP(I101,tablas!$S$3:$U$66,3,TRUE)&amp;"$"),$C$13)</f>
        <v>$\phi10@22$</v>
      </c>
      <c r="J102" s="280"/>
      <c r="K102" s="279" t="str">
        <f>IF(K101&gt;$C$12,"$\phi"&amp;IF(VLOOKUP(VLOOKUP(K101,tablas!$S$3:$U$66,2,TRUE)&amp;VLOOKUP(K101,tablas!$S$3:$U$66,3,TRUE),tablas!$R$3:$S$66,2,FALSE)&lt;K101,VLOOKUP(K101+0.1,tablas!$S$3:$U$66,2,TRUE),VLOOKUP(K101,tablas!$S$3:$U$66,2,TRUE))&amp;"@"&amp;IF(VLOOKUP(VLOOKUP(K101,tablas!$S$3:$U$66,2,TRUE)&amp;VLOOKUP(K101,tablas!$S$3:$U$66,3,TRUE),tablas!$R$3:$S$66,2,FALSE)&lt;K101,VLOOKUP(K101+0.1,tablas!$S$3:$U$66,3,TRUE)&amp;"$",VLOOKUP(K101,tablas!$S$3:$U$66,3,TRUE)&amp;"$"),$C$13)</f>
        <v>$\phi12@22$</v>
      </c>
      <c r="L102" s="280"/>
      <c r="M102" s="279" t="str">
        <f>IF(M101&gt;$C$12,"$\phi"&amp;IF(VLOOKUP(VLOOKUP(M101,tablas!$S$3:$U$66,2,TRUE)&amp;VLOOKUP(M101,tablas!$S$3:$U$66,3,TRUE),tablas!$R$3:$S$66,2,FALSE)&lt;M101,VLOOKUP(M101+0.1,tablas!$S$3:$U$66,2,TRUE),VLOOKUP(M101,tablas!$S$3:$U$66,2,TRUE))&amp;"@"&amp;IF(VLOOKUP(VLOOKUP(M101,tablas!$S$3:$U$66,2,TRUE)&amp;VLOOKUP(M101,tablas!$S$3:$U$66,3,TRUE),tablas!$R$3:$S$66,2,FALSE)&lt;M101,VLOOKUP(M101+0.1,tablas!$S$3:$U$66,3,TRUE)&amp;"$",VLOOKUP(M101,tablas!$S$3:$U$66,3,TRUE)&amp;"$"),$C$13)</f>
        <v>$\phi8@14$</v>
      </c>
      <c r="N102" s="280"/>
      <c r="O102" s="279" t="str">
        <f>IF(O101&gt;$C$12,"$\phi"&amp;IF(VLOOKUP(VLOOKUP(O101,tablas!$S$3:$U$66,2,TRUE)&amp;VLOOKUP(O101,tablas!$S$3:$U$66,3,TRUE),tablas!$R$3:$S$66,2,FALSE)&lt;O101,VLOOKUP(O101+0.1,tablas!$S$3:$U$66,2,TRUE),VLOOKUP(O101,tablas!$S$3:$U$66,2,TRUE))&amp;"@"&amp;IF(VLOOKUP(VLOOKUP(O101,tablas!$S$3:$U$66,2,TRUE)&amp;VLOOKUP(O101,tablas!$S$3:$U$66,3,TRUE),tablas!$R$3:$S$66,2,FALSE)&lt;O101,VLOOKUP(O101+0.1,tablas!$S$3:$U$66,3,TRUE)&amp;"$",VLOOKUP(O101,tablas!$S$3:$U$66,3,TRUE)&amp;"$"),$C$13)</f>
        <v>$\phi12@21$</v>
      </c>
      <c r="P102" s="280"/>
      <c r="Q102" s="279" t="str">
        <f>IF(Q101&gt;$C$12,"$\phi"&amp;IF(VLOOKUP(VLOOKUP(Q101,tablas!$S$3:$U$66,2,TRUE)&amp;VLOOKUP(Q101,tablas!$S$3:$U$66,3,TRUE),tablas!$R$3:$S$66,2,FALSE)&lt;Q101,VLOOKUP(Q101+0.1,tablas!$S$3:$U$66,2,TRUE),VLOOKUP(Q101,tablas!$S$3:$U$66,2,TRUE))&amp;"@"&amp;IF(VLOOKUP(VLOOKUP(Q101,tablas!$S$3:$U$66,2,TRUE)&amp;VLOOKUP(Q101,tablas!$S$3:$U$66,3,TRUE),tablas!$R$3:$S$66,2,FALSE)&lt;Q101,VLOOKUP(Q101+0.1,tablas!$S$3:$U$66,3,TRUE)&amp;"$",VLOOKUP(Q101,tablas!$S$3:$U$66,3,TRUE)&amp;"$"),$C$13)</f>
        <v>$\phi10@17$</v>
      </c>
      <c r="R102" s="280"/>
      <c r="S102" s="279" t="str">
        <f>IF(S101&gt;$C$12,"$\phi"&amp;IF(VLOOKUP(VLOOKUP(S101,tablas!$S$3:$U$66,2,TRUE)&amp;VLOOKUP(S101,tablas!$S$3:$U$66,3,TRUE),tablas!$R$3:$S$66,2,FALSE)&lt;S101,VLOOKUP(S101+0.1,tablas!$S$3:$U$66,2,TRUE),VLOOKUP(S101,tablas!$S$3:$U$66,2,TRUE))&amp;"@"&amp;IF(VLOOKUP(VLOOKUP(S101,tablas!$S$3:$U$66,2,TRUE)&amp;VLOOKUP(S101,tablas!$S$3:$U$66,3,TRUE),tablas!$R$3:$S$66,2,FALSE)&lt;S101,VLOOKUP(S101+0.1,tablas!$S$3:$U$66,3,TRUE)&amp;"$",VLOOKUP(S101,tablas!$S$3:$U$66,3,TRUE)&amp;"$"),$C$13)</f>
        <v>$\phi10@20$</v>
      </c>
      <c r="T102" s="280"/>
      <c r="U102" s="279" t="str">
        <f>IF(U101&gt;$C$12,"$\phi"&amp;IF(VLOOKUP(VLOOKUP(U101,tablas!$S$3:$U$66,2,TRUE)&amp;VLOOKUP(U101,tablas!$S$3:$U$66,3,TRUE),tablas!$R$3:$S$66,2,FALSE)&lt;U101,VLOOKUP(U101+0.1,tablas!$S$3:$U$66,2,TRUE),VLOOKUP(U101,tablas!$S$3:$U$66,2,TRUE))&amp;"@"&amp;IF(VLOOKUP(VLOOKUP(U101,tablas!$S$3:$U$66,2,TRUE)&amp;VLOOKUP(U101,tablas!$S$3:$U$66,3,TRUE),tablas!$R$3:$S$66,2,FALSE)&lt;U101,VLOOKUP(U101+0.1,tablas!$S$3:$U$66,3,TRUE)&amp;"$",VLOOKUP(U101,tablas!$S$3:$U$66,3,TRUE)&amp;"$"),$C$13)</f>
        <v>$\phi10@17$</v>
      </c>
      <c r="V102" s="280"/>
      <c r="W102" s="279" t="str">
        <f>IF(W101&gt;$C$12,"$\phi"&amp;IF(VLOOKUP(VLOOKUP(W101,tablas!$S$3:$U$66,2,TRUE)&amp;VLOOKUP(W101,tablas!$S$3:$U$66,3,TRUE),tablas!$R$3:$S$66,2,FALSE)&lt;W101,VLOOKUP(W101+0.1,tablas!$S$3:$U$66,2,TRUE),VLOOKUP(W101,tablas!$S$3:$U$66,2,TRUE))&amp;"@"&amp;IF(VLOOKUP(VLOOKUP(W101,tablas!$S$3:$U$66,2,TRUE)&amp;VLOOKUP(W101,tablas!$S$3:$U$66,3,TRUE),tablas!$R$3:$S$66,2,FALSE)&lt;W101,VLOOKUP(W101+0.1,tablas!$S$3:$U$66,3,TRUE)&amp;"$",VLOOKUP(W101,tablas!$S$3:$U$66,3,TRUE)&amp;"$"),$C$13)</f>
        <v>$\phi12@25$</v>
      </c>
      <c r="X102" s="280"/>
      <c r="Y102" s="279" t="str">
        <f>IF(Y101&gt;$C$12,"$\phi"&amp;IF(VLOOKUP(VLOOKUP(Y101,tablas!$S$3:$U$66,2,TRUE)&amp;VLOOKUP(Y101,tablas!$S$3:$U$66,3,TRUE),tablas!$R$3:$S$66,2,FALSE)&lt;Y101,VLOOKUP(Y101+0.1,tablas!$S$3:$U$66,2,TRUE),VLOOKUP(Y101,tablas!$S$3:$U$66,2,TRUE))&amp;"@"&amp;IF(VLOOKUP(VLOOKUP(Y101,tablas!$S$3:$U$66,2,TRUE)&amp;VLOOKUP(Y101,tablas!$S$3:$U$66,3,TRUE),tablas!$R$3:$S$66,2,FALSE)&lt;Y101,VLOOKUP(Y101+0.1,tablas!$S$3:$U$66,3,TRUE)&amp;"$",VLOOKUP(Y101,tablas!$S$3:$U$66,3,TRUE)&amp;"$"),$C$13)</f>
        <v>$\phi12@24$</v>
      </c>
      <c r="Z102" s="280"/>
      <c r="AA102" s="279" t="str">
        <f>IF(AA101&gt;$C$12,"$\phi"&amp;IF(VLOOKUP(VLOOKUP(AA101,tablas!$S$3:$U$66,2,TRUE)&amp;VLOOKUP(AA101,tablas!$S$3:$U$66,3,TRUE),tablas!$R$3:$S$66,2,FALSE)&lt;AA101,VLOOKUP(AA101+0.1,tablas!$S$3:$U$66,2,TRUE),VLOOKUP(AA101,tablas!$S$3:$U$66,2,TRUE))&amp;"@"&amp;IF(VLOOKUP(VLOOKUP(AA101,tablas!$S$3:$U$66,2,TRUE)&amp;VLOOKUP(AA101,tablas!$S$3:$U$66,3,TRUE),tablas!$R$3:$S$66,2,FALSE)&lt;AA101,VLOOKUP(AA101+0.1,tablas!$S$3:$U$66,3,TRUE)&amp;"$",VLOOKUP(AA101,tablas!$S$3:$U$66,3,TRUE)&amp;"$"),$C$13)</f>
        <v>$\phi12@25$</v>
      </c>
      <c r="AB102" s="280"/>
    </row>
    <row r="103" spans="2:28" ht="15.75" thickBot="1" x14ac:dyDescent="0.3">
      <c r="P103" s="40"/>
      <c r="T103" s="40"/>
      <c r="U103" s="41"/>
    </row>
    <row r="104" spans="2:28" ht="15.75" thickBot="1" x14ac:dyDescent="0.3">
      <c r="B104" s="73" t="s">
        <v>43</v>
      </c>
      <c r="C104" s="74" t="s">
        <v>123</v>
      </c>
      <c r="D104" s="75" t="s">
        <v>128</v>
      </c>
      <c r="E104" s="74" t="s">
        <v>124</v>
      </c>
      <c r="F104" s="75" t="s">
        <v>128</v>
      </c>
      <c r="G104" s="74" t="s">
        <v>124</v>
      </c>
      <c r="H104" s="75" t="s">
        <v>125</v>
      </c>
      <c r="I104" s="74" t="s">
        <v>126</v>
      </c>
      <c r="J104" s="75" t="s">
        <v>138</v>
      </c>
      <c r="K104" s="74" t="s">
        <v>126</v>
      </c>
      <c r="L104" s="75" t="s">
        <v>129</v>
      </c>
      <c r="M104" s="74" t="s">
        <v>126</v>
      </c>
      <c r="N104" s="75" t="s">
        <v>130</v>
      </c>
      <c r="O104" s="74" t="s">
        <v>126</v>
      </c>
      <c r="P104" s="75" t="s">
        <v>126</v>
      </c>
      <c r="Q104" s="74" t="s">
        <v>127</v>
      </c>
      <c r="R104" s="75" t="s">
        <v>130</v>
      </c>
      <c r="S104" s="74" t="s">
        <v>127</v>
      </c>
      <c r="T104" s="75" t="s">
        <v>128</v>
      </c>
      <c r="U104" s="74" t="s">
        <v>128</v>
      </c>
      <c r="V104" s="75" t="s">
        <v>130</v>
      </c>
      <c r="W104" s="74" t="s">
        <v>128</v>
      </c>
      <c r="X104" s="75" t="s">
        <v>132</v>
      </c>
      <c r="Y104" s="74" t="s">
        <v>128</v>
      </c>
      <c r="Z104" s="75" t="s">
        <v>133</v>
      </c>
      <c r="AA104" s="74" t="s">
        <v>129</v>
      </c>
      <c r="AB104" s="75" t="s">
        <v>138</v>
      </c>
    </row>
    <row r="105" spans="2:28" ht="15.75" hidden="1" thickBot="1" x14ac:dyDescent="0.3">
      <c r="B105" s="141"/>
      <c r="C105" s="143" t="str">
        <f>C104&amp;"-"&amp;D104</f>
        <v>107-112</v>
      </c>
      <c r="D105" s="143"/>
      <c r="E105" s="143" t="str">
        <f>E104&amp;"-"&amp;F104</f>
        <v>108-112</v>
      </c>
      <c r="F105" s="142"/>
      <c r="G105" s="143" t="str">
        <f>G104&amp;"-"&amp;H104</f>
        <v>108-109</v>
      </c>
      <c r="H105" s="142"/>
      <c r="I105" s="143" t="str">
        <f>I104&amp;"-"&amp;J104</f>
        <v>110-121</v>
      </c>
      <c r="J105" s="142"/>
      <c r="K105" s="143" t="str">
        <f>K104&amp;"-"&amp;L104</f>
        <v>110-113</v>
      </c>
      <c r="L105" s="142"/>
      <c r="M105" s="143" t="str">
        <f>M104&amp;"-"&amp;N104</f>
        <v>110-114</v>
      </c>
      <c r="N105" s="142"/>
      <c r="O105" s="143" t="str">
        <f>O104&amp;"-"&amp;P104</f>
        <v>110-110</v>
      </c>
      <c r="P105" s="142"/>
      <c r="Q105" s="143" t="str">
        <f>Q104&amp;"-"&amp;R104</f>
        <v>111-114</v>
      </c>
      <c r="R105" s="142"/>
      <c r="S105" s="143" t="str">
        <f>S104&amp;"-"&amp;T104</f>
        <v>111-112</v>
      </c>
      <c r="T105" s="142"/>
      <c r="U105" s="143" t="str">
        <f>U104&amp;"-"&amp;V104</f>
        <v>112-114</v>
      </c>
      <c r="V105" s="142"/>
      <c r="W105" s="143" t="str">
        <f>W104&amp;"-"&amp;X104</f>
        <v>112-116</v>
      </c>
      <c r="X105" s="142"/>
      <c r="Y105" s="143" t="str">
        <f>Y104&amp;"-"&amp;Z104</f>
        <v>112-117</v>
      </c>
      <c r="Z105" s="142"/>
      <c r="AA105" s="143" t="str">
        <f>AA104&amp;"-"&amp;AB104</f>
        <v>113-121</v>
      </c>
      <c r="AB105" s="142"/>
    </row>
    <row r="106" spans="2:28" x14ac:dyDescent="0.25">
      <c r="B106" s="102" t="s">
        <v>114</v>
      </c>
      <c r="C106" s="99" t="s">
        <v>108</v>
      </c>
      <c r="D106" s="100" t="s">
        <v>108</v>
      </c>
      <c r="E106" s="99" t="s">
        <v>108</v>
      </c>
      <c r="F106" s="100" t="s">
        <v>108</v>
      </c>
      <c r="G106" s="99" t="s">
        <v>109</v>
      </c>
      <c r="H106" s="100" t="s">
        <v>108</v>
      </c>
      <c r="I106" s="99" t="s">
        <v>109</v>
      </c>
      <c r="J106" s="100" t="s">
        <v>108</v>
      </c>
      <c r="K106" s="99" t="s">
        <v>108</v>
      </c>
      <c r="L106" s="100" t="s">
        <v>109</v>
      </c>
      <c r="M106" s="99" t="s">
        <v>108</v>
      </c>
      <c r="N106" s="100" t="s">
        <v>108</v>
      </c>
      <c r="O106" s="99" t="s">
        <v>109</v>
      </c>
      <c r="P106" s="100" t="s">
        <v>109</v>
      </c>
      <c r="Q106" s="99" t="s">
        <v>108</v>
      </c>
      <c r="R106" s="100" t="s">
        <v>108</v>
      </c>
      <c r="S106" s="99" t="s">
        <v>109</v>
      </c>
      <c r="T106" s="100" t="s">
        <v>109</v>
      </c>
      <c r="U106" s="99" t="s">
        <v>109</v>
      </c>
      <c r="V106" s="100" t="s">
        <v>109</v>
      </c>
      <c r="W106" s="99" t="s">
        <v>108</v>
      </c>
      <c r="X106" s="100" t="s">
        <v>108</v>
      </c>
      <c r="Y106" s="99" t="s">
        <v>108</v>
      </c>
      <c r="Z106" s="100" t="s">
        <v>108</v>
      </c>
      <c r="AA106" s="99" t="s">
        <v>108</v>
      </c>
      <c r="AB106" s="100" t="s">
        <v>108</v>
      </c>
    </row>
    <row r="107" spans="2:28" x14ac:dyDescent="0.25">
      <c r="B107" s="103" t="s">
        <v>110</v>
      </c>
      <c r="C107" s="101">
        <f t="shared" ref="C107:AB107" si="96">HLOOKUP(C104,$B$46:$AE$90,IF(C106="x",36,41),FALSE)</f>
        <v>3288.6382978723404</v>
      </c>
      <c r="D107" s="85">
        <f t="shared" si="96"/>
        <v>4341.0963414634152</v>
      </c>
      <c r="E107" s="101">
        <f t="shared" si="96"/>
        <v>3421.7893939393934</v>
      </c>
      <c r="F107" s="85">
        <f t="shared" si="96"/>
        <v>4341.0963414634152</v>
      </c>
      <c r="G107" s="101">
        <f t="shared" si="96"/>
        <v>2585.9324427480915</v>
      </c>
      <c r="H107" s="85">
        <f t="shared" si="96"/>
        <v>2418.4905063291139</v>
      </c>
      <c r="I107" s="101">
        <f t="shared" si="96"/>
        <v>1580.5938864628824</v>
      </c>
      <c r="J107" s="85">
        <f t="shared" si="96"/>
        <v>296.53333333333336</v>
      </c>
      <c r="K107" s="101">
        <f t="shared" si="96"/>
        <v>1925.2978723404258</v>
      </c>
      <c r="L107" s="85">
        <f t="shared" si="96"/>
        <v>422.23118279569894</v>
      </c>
      <c r="M107" s="101">
        <f t="shared" si="96"/>
        <v>1925.2978723404258</v>
      </c>
      <c r="N107" s="85">
        <f t="shared" si="96"/>
        <v>227.0333333333333</v>
      </c>
      <c r="O107" s="101">
        <f t="shared" si="96"/>
        <v>1580.5938864628824</v>
      </c>
      <c r="P107" s="85">
        <f t="shared" si="96"/>
        <v>1580.5938864628824</v>
      </c>
      <c r="Q107" s="101">
        <f t="shared" si="96"/>
        <v>2146.9148936170213</v>
      </c>
      <c r="R107" s="85">
        <f t="shared" si="96"/>
        <v>227.0333333333333</v>
      </c>
      <c r="S107" s="101">
        <f t="shared" si="96"/>
        <v>1762.5327510917032</v>
      </c>
      <c r="T107" s="85">
        <f t="shared" si="96"/>
        <v>3189.6944444444448</v>
      </c>
      <c r="U107" s="101">
        <f t="shared" si="96"/>
        <v>3189.6944444444448</v>
      </c>
      <c r="V107" s="85">
        <f t="shared" si="96"/>
        <v>155.67999999999998</v>
      </c>
      <c r="W107" s="101">
        <f t="shared" si="96"/>
        <v>4341.0963414634152</v>
      </c>
      <c r="X107" s="85">
        <f t="shared" si="96"/>
        <v>1428.5638297872338</v>
      </c>
      <c r="Y107" s="101">
        <f t="shared" si="96"/>
        <v>4341.0963414634152</v>
      </c>
      <c r="Z107" s="85">
        <f t="shared" si="96"/>
        <v>2172.8938709677423</v>
      </c>
      <c r="AA107" s="101">
        <f t="shared" si="96"/>
        <v>545.38194444444446</v>
      </c>
      <c r="AB107" s="85">
        <f t="shared" si="96"/>
        <v>296.53333333333336</v>
      </c>
    </row>
    <row r="108" spans="2:28" x14ac:dyDescent="0.25">
      <c r="B108" s="103" t="s">
        <v>111</v>
      </c>
      <c r="C108" s="283">
        <f>(MAX(C107:D107)-MIN(C107:D107))/(MAX(C107:D107))</f>
        <v>0.24244060965398512</v>
      </c>
      <c r="D108" s="284"/>
      <c r="E108" s="283">
        <f>(MAX(E107:F107)-MIN(E107:F107))/(MAX(E107:F107))</f>
        <v>0.21176838181253466</v>
      </c>
      <c r="F108" s="284"/>
      <c r="G108" s="283">
        <f>(MAX(G107:H107)-MIN(G107:H107))/(MAX(G107:H107))</f>
        <v>6.4751086939083227E-2</v>
      </c>
      <c r="H108" s="284"/>
      <c r="I108" s="283">
        <f>(MAX(I107:J107)-MIN(I107:J107))/(MAX(I107:J107))</f>
        <v>0.81239119303635443</v>
      </c>
      <c r="J108" s="284"/>
      <c r="K108" s="283">
        <f>(MAX(K107:L107)-MIN(K107:L107))/(MAX(K107:L107))</f>
        <v>0.78069306113010595</v>
      </c>
      <c r="L108" s="284"/>
      <c r="M108" s="283">
        <f>(MAX(M107:N107)-MIN(M107:N107))/(MAX(M107:N107))</f>
        <v>0.88207885304659506</v>
      </c>
      <c r="N108" s="284"/>
      <c r="O108" s="283">
        <f>(MAX(O107:P107)-MIN(O107:P107))/(MAX(O107:P107))</f>
        <v>0</v>
      </c>
      <c r="P108" s="284"/>
      <c r="Q108" s="283">
        <f>(MAX(Q107:R107)-MIN(Q107:R107))/(MAX(Q107:R107))</f>
        <v>0.89425135853855942</v>
      </c>
      <c r="R108" s="284"/>
      <c r="S108" s="283">
        <f>(MAX(S107:T107)-MIN(S107:T107))/(MAX(S107:T107))</f>
        <v>0.44742896794972259</v>
      </c>
      <c r="T108" s="284"/>
      <c r="U108" s="283">
        <f>(MAX(U107:V107)-MIN(U107:V107))/(MAX(U107:V107))</f>
        <v>0.95119281714549464</v>
      </c>
      <c r="V108" s="284"/>
      <c r="W108" s="283">
        <f>(MAX(W107:X107)-MIN(W107:X107))/(MAX(W107:X107))</f>
        <v>0.67092095696138032</v>
      </c>
      <c r="X108" s="284"/>
      <c r="Y108" s="283">
        <f>(MAX(Y107:Z107)-MIN(Y107:Z107))/(MAX(Y107:Z107))</f>
        <v>0.49945965257356073</v>
      </c>
      <c r="Z108" s="284"/>
      <c r="AA108" s="283">
        <f>(MAX(AA107:AB107)-MIN(AA107:AB107))/(MAX(AA107:AB107))</f>
        <v>0.45628318584070793</v>
      </c>
      <c r="AB108" s="284"/>
    </row>
    <row r="109" spans="2:28" x14ac:dyDescent="0.25">
      <c r="B109" s="103" t="s">
        <v>112</v>
      </c>
      <c r="C109" s="285">
        <f>IF(C108&lt;25%,(C107*0.5+D107*0.5)*0.9,IF(C108&lt;50%,(MAX(C107:D107)*0.6+MIN(C107:D107)*0.4)*0.9,IF(C108&lt;70%,(MAX(C107:D107)*0.65+MIN(C107:D107)*0.35)*0.9,IF(C108&lt;100%,(MAX(C107:D107)*0.7+MIN(C107:D107)*0.3)*0.9,0.7*MAX(C107:D107)))))</f>
        <v>3433.38058770109</v>
      </c>
      <c r="D109" s="286"/>
      <c r="E109" s="285">
        <f>IF(E108&lt;25%,(E107*0.5+F107*0.5)*0.9,IF(E108&lt;50%,(MAX(E107:F107)*0.6+MIN(E107:F107)*0.4)*0.9,IF(E108&lt;70%,(MAX(E107:F107)*0.65+MIN(E107:F107)*0.35)*0.9,IF(E108&lt;100%,(MAX(E107:F107)*0.7+MIN(E107:F107)*0.3)*0.9,0.7*MAX(E107:F107)))))</f>
        <v>3493.298580931264</v>
      </c>
      <c r="F109" s="286"/>
      <c r="G109" s="285">
        <f>IF(G108&lt;25%,(G107*0.5+H107*0.5)*0.9,IF(G108&lt;50%,(MAX(G107:H107)*0.6+MIN(G107:H107)*0.4)*0.9,IF(G108&lt;70%,(MAX(G107:H107)*0.65+MIN(G107:H107)*0.35)*0.9,IF(G108&lt;100%,(MAX(G107:H107)*0.7+MIN(G107:H107)*0.3)*0.9,0.7*MAX(G107:H107)))))</f>
        <v>2251.9903270847421</v>
      </c>
      <c r="H109" s="286"/>
      <c r="I109" s="285">
        <f>IF(I108&lt;25%,(I107*0.5+J107*0.5)*0.9,IF(I108&lt;50%,(MAX(I107:J107)*0.6+MIN(I107:J107)*0.4)*0.9,IF(I108&lt;70%,(MAX(I107:J107)*0.65+MIN(I107:J107)*0.35)*0.9,IF(I108&lt;100%,(MAX(I107:J107)*0.7+MIN(I107:J107)*0.3)*0.9,0.7*MAX(I107:J107)))))</f>
        <v>1075.838148471616</v>
      </c>
      <c r="J109" s="286"/>
      <c r="K109" s="285">
        <f>IF(K108&lt;25%,(K107*0.5+L107*0.5)*0.9,IF(K108&lt;50%,(MAX(K107:L107)*0.6+MIN(K107:L107)*0.4)*0.9,IF(K108&lt;70%,(MAX(K107:L107)*0.65+MIN(K107:L107)*0.35)*0.9,IF(K108&lt;100%,(MAX(K107:L107)*0.7+MIN(K107:L107)*0.3)*0.9,0.7*MAX(K107:L107)))))</f>
        <v>1326.940078929307</v>
      </c>
      <c r="L109" s="286"/>
      <c r="M109" s="285">
        <f>IF(M108&lt;25%,(M107*0.5+N107*0.5)*0.9,IF(M108&lt;50%,(MAX(M107:N107)*0.6+MIN(M107:N107)*0.4)*0.9,IF(M108&lt;70%,(MAX(M107:N107)*0.65+MIN(M107:N107)*0.35)*0.9,IF(M108&lt;100%,(MAX(M107:N107)*0.7+MIN(M107:N107)*0.3)*0.9,0.7*MAX(M107:N107)))))</f>
        <v>1274.2366595744679</v>
      </c>
      <c r="N109" s="286"/>
      <c r="O109" s="285">
        <f>IF(O108&lt;25%,(O107*0.5+P107*0.5)*0.9,IF(O108&lt;50%,(MAX(O107:P107)*0.6+MIN(O107:P107)*0.4)*0.9,IF(O108&lt;70%,(MAX(O107:P107)*0.65+MIN(O107:P107)*0.35)*0.9,IF(O108&lt;100%,(MAX(O107:P107)*0.7+MIN(O107:P107)*0.3)*0.9,0.7*MAX(O107:P107)))))</f>
        <v>1422.5344978165942</v>
      </c>
      <c r="P109" s="286"/>
      <c r="Q109" s="285">
        <f>IF(Q108&lt;25%,(Q107*0.5+R107*0.5)*0.9,IF(Q108&lt;50%,(MAX(Q107:R107)*0.6+MIN(Q107:R107)*0.4)*0.9,IF(Q108&lt;70%,(MAX(Q107:R107)*0.65+MIN(Q107:R107)*0.35)*0.9,IF(Q108&lt;100%,(MAX(Q107:R107)*0.7+MIN(Q107:R107)*0.3)*0.9,0.7*MAX(Q107:R107)))))</f>
        <v>1413.8553829787234</v>
      </c>
      <c r="R109" s="286"/>
      <c r="S109" s="285">
        <f>IF(S108&lt;25%,(S107*0.5+T107*0.5)*0.9,IF(S108&lt;50%,(MAX(S107:T107)*0.6+MIN(S107:T107)*0.4)*0.9,IF(S108&lt;70%,(MAX(S107:T107)*0.65+MIN(S107:T107)*0.35)*0.9,IF(S108&lt;100%,(MAX(S107:T107)*0.7+MIN(S107:T107)*0.3)*0.9,0.7*MAX(S107:T107)))))</f>
        <v>2356.9467903930131</v>
      </c>
      <c r="T109" s="286"/>
      <c r="U109" s="285">
        <f>IF(U108&lt;25%,(U107*0.5+V107*0.5)*0.9,IF(U108&lt;50%,(MAX(U107:V107)*0.6+MIN(U107:V107)*0.4)*0.9,IF(U108&lt;70%,(MAX(U107:V107)*0.65+MIN(U107:V107)*0.35)*0.9,IF(U108&lt;100%,(MAX(U107:V107)*0.7+MIN(U107:V107)*0.3)*0.9,0.7*MAX(U107:V107)))))</f>
        <v>2051.5411000000004</v>
      </c>
      <c r="V109" s="286"/>
      <c r="W109" s="285">
        <f>IF(W108&lt;25%,(W107*0.5+X107*0.5)*0.9,IF(W108&lt;50%,(MAX(W107:X107)*0.6+MIN(W107:X107)*0.4)*0.9,IF(W108&lt;70%,(MAX(W107:X107)*0.65+MIN(W107:X107)*0.35)*0.9,IF(W108&lt;100%,(MAX(W107:X107)*0.7+MIN(W107:X107)*0.3)*0.9,0.7*MAX(W107:X107)))))</f>
        <v>2989.5389661390768</v>
      </c>
      <c r="X109" s="286"/>
      <c r="Y109" s="285">
        <f>IF(Y108&lt;25%,(Y107*0.5+Z107*0.5)*0.9,IF(Y108&lt;50%,(MAX(Y107:Z107)*0.6+MIN(Y107:Z107)*0.4)*0.9,IF(Y108&lt;70%,(MAX(Y107:Z107)*0.65+MIN(Y107:Z107)*0.35)*0.9,IF(Y108&lt;100%,(MAX(Y107:Z107)*0.7+MIN(Y107:Z107)*0.3)*0.9,0.7*MAX(Y107:Z107)))))</f>
        <v>3126.4338179386314</v>
      </c>
      <c r="Z109" s="286"/>
      <c r="AA109" s="285">
        <f>IF(AA108&lt;25%,(AA107*0.5+AB107*0.5)*0.9,IF(AA108&lt;50%,(MAX(AA107:AB107)*0.6+MIN(AA107:AB107)*0.4)*0.9,IF(AA108&lt;70%,(MAX(AA107:AB107)*0.65+MIN(AA107:AB107)*0.35)*0.9,IF(AA108&lt;100%,(MAX(AA107:AB107)*0.7+MIN(AA107:AB107)*0.3)*0.9,0.7*MAX(AA107:AB107)))))</f>
        <v>401.25825000000003</v>
      </c>
      <c r="AB109" s="286"/>
    </row>
    <row r="110" spans="2:28" x14ac:dyDescent="0.25">
      <c r="B110" s="104" t="s">
        <v>15</v>
      </c>
      <c r="C110" s="287">
        <f>C109/(0.9*(0.9*($C$7/100))*($L$9*1000))</f>
        <v>7.0740011119787063</v>
      </c>
      <c r="D110" s="288"/>
      <c r="E110" s="287">
        <f>E109/(0.9*(0.9*($C$7/100))*($L$9*1000))</f>
        <v>7.1974537674332506</v>
      </c>
      <c r="F110" s="288"/>
      <c r="G110" s="287">
        <f>G109/(0.9*(0.9*($C$7/100))*($L$9*1000))</f>
        <v>4.6399115015179531</v>
      </c>
      <c r="H110" s="288"/>
      <c r="I110" s="287">
        <f>I109/(0.9*(0.9*($C$7/100))*($L$9*1000))</f>
        <v>2.2166142273476068</v>
      </c>
      <c r="J110" s="288"/>
      <c r="K110" s="287">
        <f>K109/(0.9*(0.9*($C$7/100))*($L$9*1000))</f>
        <v>2.7339746800864253</v>
      </c>
      <c r="L110" s="288"/>
      <c r="M110" s="287">
        <f>M109/(0.9*(0.9*($C$7/100))*($L$9*1000))</f>
        <v>2.625386646340115</v>
      </c>
      <c r="N110" s="288"/>
      <c r="O110" s="287">
        <f>O109/(0.9*(0.9*($C$7/100))*($L$9*1000))</f>
        <v>2.9309336271749036</v>
      </c>
      <c r="P110" s="288"/>
      <c r="Q110" s="287">
        <f>Q109/(0.9*(0.9*($C$7/100))*($L$9*1000))</f>
        <v>2.9130515233865792</v>
      </c>
      <c r="R110" s="288"/>
      <c r="S110" s="287">
        <f>S109/(0.9*(0.9*($C$7/100))*($L$9*1000))</f>
        <v>4.8561596334062953</v>
      </c>
      <c r="T110" s="288"/>
      <c r="U110" s="287">
        <f>U109/(0.9*(0.9*($C$7/100))*($L$9*1000))</f>
        <v>4.2269138686973573</v>
      </c>
      <c r="V110" s="288"/>
      <c r="W110" s="287">
        <f>W109/(0.9*(0.9*($C$7/100))*($L$9*1000))</f>
        <v>6.1595274484066733</v>
      </c>
      <c r="X110" s="288"/>
      <c r="Y110" s="287">
        <f>Y109/(0.9*(0.9*($C$7/100))*($L$9*1000))</f>
        <v>6.4415801684934451</v>
      </c>
      <c r="Z110" s="288"/>
      <c r="AA110" s="287">
        <f>AA109/(0.9*(0.9*($C$7/100))*($L$9*1000))</f>
        <v>0.82673657469218198</v>
      </c>
      <c r="AB110" s="288"/>
    </row>
    <row r="111" spans="2:28" x14ac:dyDescent="0.25">
      <c r="B111" s="104" t="s">
        <v>98</v>
      </c>
      <c r="C111" s="281">
        <f>(C110*($L$9))/(0.85*$L$6*100)</f>
        <v>9.9775003325980785E-2</v>
      </c>
      <c r="D111" s="282"/>
      <c r="E111" s="281">
        <f>(E110*($L$9))/(0.85*$L$6*100)</f>
        <v>0.10151623702295046</v>
      </c>
      <c r="F111" s="282"/>
      <c r="G111" s="281">
        <f>(G110*($L$9))/(0.85*$L$6*100)</f>
        <v>6.5443470840325729E-2</v>
      </c>
      <c r="H111" s="282"/>
      <c r="I111" s="281">
        <f>(I110*($L$9))/(0.85*$L$6*100)</f>
        <v>3.1264158487552339E-2</v>
      </c>
      <c r="J111" s="282"/>
      <c r="K111" s="281">
        <f>(K110*($L$9))/(0.85*$L$6*100)</f>
        <v>3.8561251048838036E-2</v>
      </c>
      <c r="L111" s="282"/>
      <c r="M111" s="281">
        <f>(M110*($L$9))/(0.85*$L$6*100)</f>
        <v>3.7029674893180729E-2</v>
      </c>
      <c r="N111" s="282"/>
      <c r="O111" s="281">
        <f>(O110*($L$9))/(0.85*$L$6*100)</f>
        <v>4.1339251686632356E-2</v>
      </c>
      <c r="P111" s="282"/>
      <c r="Q111" s="281">
        <f>(Q110*($L$9))/(0.85*$L$6*100)</f>
        <v>4.1087034173981081E-2</v>
      </c>
      <c r="R111" s="282"/>
      <c r="S111" s="281">
        <f>(S110*($L$9))/(0.85*$L$6*100)</f>
        <v>6.8493535116094725E-2</v>
      </c>
      <c r="T111" s="282"/>
      <c r="U111" s="281">
        <f>(U110*($L$9))/(0.85*$L$6*100)</f>
        <v>5.9618360052808343E-2</v>
      </c>
      <c r="V111" s="282"/>
      <c r="W111" s="281">
        <f>(W110*($L$9))/(0.85*$L$6*100)</f>
        <v>8.6876841256156093E-2</v>
      </c>
      <c r="X111" s="282"/>
      <c r="Y111" s="281">
        <f>(Y110*($L$9))/(0.85*$L$6*100)</f>
        <v>9.0855044063773108E-2</v>
      </c>
      <c r="Z111" s="282"/>
      <c r="AA111" s="281">
        <f>(AA110*($L$9))/(0.85*$L$6*100)</f>
        <v>1.1660677342832555E-2</v>
      </c>
      <c r="AB111" s="282"/>
    </row>
    <row r="112" spans="2:28" ht="15.75" thickBot="1" x14ac:dyDescent="0.3">
      <c r="B112" s="105" t="s">
        <v>15</v>
      </c>
      <c r="C112" s="289">
        <f>ROUNDUP(C109/(0.9*(($C$7-C111/2)/100)*($L$9*1000)),2)</f>
        <v>6.39</v>
      </c>
      <c r="D112" s="290"/>
      <c r="E112" s="289">
        <f>ROUNDUP(E109/(0.9*(($C$7-E111/2)/100)*($L$9*1000)),2)</f>
        <v>6.51</v>
      </c>
      <c r="F112" s="290"/>
      <c r="G112" s="289">
        <f>ROUNDUP(G109/(0.9*(($C$7-G111/2)/100)*($L$9*1000)),2)</f>
        <v>4.1899999999999995</v>
      </c>
      <c r="H112" s="290"/>
      <c r="I112" s="289">
        <f>ROUNDUP(I109/(0.9*(($C$7-I111/2)/100)*($L$9*1000)),2)</f>
        <v>2</v>
      </c>
      <c r="J112" s="290"/>
      <c r="K112" s="289">
        <f>ROUNDUP(K109/(0.9*(($C$7-K111/2)/100)*($L$9*1000)),2)</f>
        <v>2.4699999999999998</v>
      </c>
      <c r="L112" s="290"/>
      <c r="M112" s="289">
        <f>ROUNDUP(M109/(0.9*(($C$7-M111/2)/100)*($L$9*1000)),2)</f>
        <v>2.3699999999999997</v>
      </c>
      <c r="N112" s="290"/>
      <c r="O112" s="289">
        <f>ROUNDUP(O109/(0.9*(($C$7-O111/2)/100)*($L$9*1000)),2)</f>
        <v>2.65</v>
      </c>
      <c r="P112" s="290"/>
      <c r="Q112" s="289">
        <f>ROUNDUP(Q109/(0.9*(($C$7-Q111/2)/100)*($L$9*1000)),2)</f>
        <v>2.63</v>
      </c>
      <c r="R112" s="290"/>
      <c r="S112" s="289">
        <f>ROUNDUP(S109/(0.9*(($C$7-S111/2)/100)*($L$9*1000)),2)</f>
        <v>4.3899999999999997</v>
      </c>
      <c r="T112" s="290"/>
      <c r="U112" s="289">
        <f>ROUNDUP(U109/(0.9*(($C$7-U111/2)/100)*($L$9*1000)),2)</f>
        <v>3.82</v>
      </c>
      <c r="V112" s="290"/>
      <c r="W112" s="289">
        <f>ROUNDUP(W109/(0.9*(($C$7-W111/2)/100)*($L$9*1000)),2)</f>
        <v>5.5699999999999994</v>
      </c>
      <c r="X112" s="290"/>
      <c r="Y112" s="289">
        <f>ROUNDUP(Y109/(0.9*(($C$7-Y111/2)/100)*($L$9*1000)),2)</f>
        <v>5.8199999999999994</v>
      </c>
      <c r="Z112" s="290"/>
      <c r="AA112" s="289">
        <f>ROUNDUP(AA109/(0.9*(($C$7-AA111/2)/100)*($L$9*1000)),2)</f>
        <v>0.75</v>
      </c>
      <c r="AB112" s="290"/>
    </row>
    <row r="113" spans="2:28" ht="16.5" thickBot="1" x14ac:dyDescent="0.3">
      <c r="B113" s="61" t="s">
        <v>113</v>
      </c>
      <c r="C113" s="279" t="str">
        <f>IF(C112&gt;$C$12,"$\phi"&amp;IF(VLOOKUP(VLOOKUP(C112,tablas!$S$3:$U$66,2,TRUE)&amp;VLOOKUP(C112,tablas!$S$3:$U$66,3,TRUE),tablas!$R$3:$S$66,2,FALSE)&lt;C112,VLOOKUP(C112+0.1,tablas!$S$3:$U$66,2,TRUE),VLOOKUP(C112,tablas!$S$3:$U$66,2,TRUE))&amp;"@"&amp;IF(VLOOKUP(VLOOKUP(C112,tablas!$S$3:$U$66,2,TRUE)&amp;VLOOKUP(C112,tablas!$S$3:$U$66,3,TRUE),tablas!$R$3:$S$66,2,FALSE)&lt;C112,VLOOKUP(C112+0.1,tablas!$S$3:$U$66,3,TRUE)&amp;"$",VLOOKUP(C112,tablas!$S$3:$U$66,3,TRUE)&amp;"$"),$C$13)</f>
        <v>$\phi12@18$</v>
      </c>
      <c r="D113" s="280"/>
      <c r="E113" s="279" t="str">
        <f>IF(E112&gt;$C$12,"$\phi"&amp;IF(VLOOKUP(VLOOKUP(E112,tablas!$S$3:$U$66,2,TRUE)&amp;VLOOKUP(E112,tablas!$S$3:$U$66,3,TRUE),tablas!$R$3:$S$66,2,FALSE)&lt;E112,VLOOKUP(E112+0.1,tablas!$S$3:$U$66,2,TRUE),VLOOKUP(E112,tablas!$S$3:$U$66,2,TRUE))&amp;"@"&amp;IF(VLOOKUP(VLOOKUP(E112,tablas!$S$3:$U$66,2,TRUE)&amp;VLOOKUP(E112,tablas!$S$3:$U$66,3,TRUE),tablas!$R$3:$S$66,2,FALSE)&lt;E112,VLOOKUP(E112+0.1,tablas!$S$3:$U$66,3,TRUE)&amp;"$",VLOOKUP(E112,tablas!$S$3:$U$66,3,TRUE)&amp;"$"),$C$13)</f>
        <v>$\phi10@12$</v>
      </c>
      <c r="F113" s="280"/>
      <c r="G113" s="279" t="str">
        <f>IF(G112&gt;$C$12,"$\phi"&amp;IF(VLOOKUP(VLOOKUP(G112,tablas!$S$3:$U$66,2,TRUE)&amp;VLOOKUP(G112,tablas!$S$3:$U$66,3,TRUE),tablas!$R$3:$S$66,2,FALSE)&lt;G112,VLOOKUP(G112+0.1,tablas!$S$3:$U$66,2,TRUE),VLOOKUP(G112,tablas!$S$3:$U$66,2,TRUE))&amp;"@"&amp;IF(VLOOKUP(VLOOKUP(G112,tablas!$S$3:$U$66,2,TRUE)&amp;VLOOKUP(G112,tablas!$S$3:$U$66,3,TRUE),tablas!$R$3:$S$66,2,FALSE)&lt;G112,VLOOKUP(G112+0.1,tablas!$S$3:$U$66,3,TRUE)&amp;"$",VLOOKUP(G112,tablas!$S$3:$U$66,3,TRUE)&amp;"$"),$C$13)</f>
        <v>$\phi8@12$</v>
      </c>
      <c r="H113" s="280"/>
      <c r="I113" s="279" t="str">
        <f>IF(I112&gt;$C$12,"$\phi"&amp;IF(VLOOKUP(VLOOKUP(I112,tablas!$S$3:$U$66,2,TRUE)&amp;VLOOKUP(I112,tablas!$S$3:$U$66,3,TRUE),tablas!$R$3:$S$66,2,FALSE)&lt;I112,VLOOKUP(I112+0.1,tablas!$S$3:$U$66,2,TRUE),VLOOKUP(I112,tablas!$S$3:$U$66,2,TRUE))&amp;"@"&amp;IF(VLOOKUP(VLOOKUP(I112,tablas!$S$3:$U$66,2,TRUE)&amp;VLOOKUP(I112,tablas!$S$3:$U$66,3,TRUE),tablas!$R$3:$S$66,2,FALSE)&lt;I112,VLOOKUP(I112+0.1,tablas!$S$3:$U$66,3,TRUE)&amp;"$",VLOOKUP(I112,tablas!$S$3:$U$66,3,TRUE)&amp;"$"),$C$13)</f>
        <v>$\phi8@17$</v>
      </c>
      <c r="J113" s="280"/>
      <c r="K113" s="279" t="str">
        <f>IF(K112&gt;$C$12,"$\phi"&amp;IF(VLOOKUP(VLOOKUP(K112,tablas!$S$3:$U$66,2,TRUE)&amp;VLOOKUP(K112,tablas!$S$3:$U$66,3,TRUE),tablas!$R$3:$S$66,2,FALSE)&lt;K112,VLOOKUP(K112+0.1,tablas!$S$3:$U$66,2,TRUE),VLOOKUP(K112,tablas!$S$3:$U$66,2,TRUE))&amp;"@"&amp;IF(VLOOKUP(VLOOKUP(K112,tablas!$S$3:$U$66,2,TRUE)&amp;VLOOKUP(K112,tablas!$S$3:$U$66,3,TRUE),tablas!$R$3:$S$66,2,FALSE)&lt;K112,VLOOKUP(K112+0.1,tablas!$S$3:$U$66,3,TRUE)&amp;"$",VLOOKUP(K112,tablas!$S$3:$U$66,3,TRUE)&amp;"$"),$C$13)</f>
        <v>$\phi8@17$</v>
      </c>
      <c r="L113" s="280"/>
      <c r="M113" s="279" t="str">
        <f>IF(M112&gt;$C$12,"$\phi"&amp;IF(VLOOKUP(VLOOKUP(M112,tablas!$S$3:$U$66,2,TRUE)&amp;VLOOKUP(M112,tablas!$S$3:$U$66,3,TRUE),tablas!$R$3:$S$66,2,FALSE)&lt;M112,VLOOKUP(M112+0.1,tablas!$S$3:$U$66,2,TRUE),VLOOKUP(M112,tablas!$S$3:$U$66,2,TRUE))&amp;"@"&amp;IF(VLOOKUP(VLOOKUP(M112,tablas!$S$3:$U$66,2,TRUE)&amp;VLOOKUP(M112,tablas!$S$3:$U$66,3,TRUE),tablas!$R$3:$S$66,2,FALSE)&lt;M112,VLOOKUP(M112+0.1,tablas!$S$3:$U$66,3,TRUE)&amp;"$",VLOOKUP(M112,tablas!$S$3:$U$66,3,TRUE)&amp;"$"),$C$13)</f>
        <v>$\phi8@17$</v>
      </c>
      <c r="N113" s="280"/>
      <c r="O113" s="279" t="str">
        <f>IF(O112&gt;$C$12,"$\phi"&amp;IF(VLOOKUP(VLOOKUP(O112,tablas!$S$3:$U$66,2,TRUE)&amp;VLOOKUP(O112,tablas!$S$3:$U$66,3,TRUE),tablas!$R$3:$S$66,2,FALSE)&lt;O112,VLOOKUP(O112+0.1,tablas!$S$3:$U$66,2,TRUE),VLOOKUP(O112,tablas!$S$3:$U$66,2,TRUE))&amp;"@"&amp;IF(VLOOKUP(VLOOKUP(O112,tablas!$S$3:$U$66,2,TRUE)&amp;VLOOKUP(O112,tablas!$S$3:$U$66,3,TRUE),tablas!$R$3:$S$66,2,FALSE)&lt;O112,VLOOKUP(O112+0.1,tablas!$S$3:$U$66,3,TRUE)&amp;"$",VLOOKUP(O112,tablas!$S$3:$U$66,3,TRUE)&amp;"$"),$C$13)</f>
        <v>$\phi8@17$</v>
      </c>
      <c r="P113" s="280"/>
      <c r="Q113" s="279" t="str">
        <f>IF(Q112&gt;$C$12,"$\phi"&amp;IF(VLOOKUP(VLOOKUP(Q112,tablas!$S$3:$U$66,2,TRUE)&amp;VLOOKUP(Q112,tablas!$S$3:$U$66,3,TRUE),tablas!$R$3:$S$66,2,FALSE)&lt;Q112,VLOOKUP(Q112+0.1,tablas!$S$3:$U$66,2,TRUE),VLOOKUP(Q112,tablas!$S$3:$U$66,2,TRUE))&amp;"@"&amp;IF(VLOOKUP(VLOOKUP(Q112,tablas!$S$3:$U$66,2,TRUE)&amp;VLOOKUP(Q112,tablas!$S$3:$U$66,3,TRUE),tablas!$R$3:$S$66,2,FALSE)&lt;Q112,VLOOKUP(Q112+0.1,tablas!$S$3:$U$66,3,TRUE)&amp;"$",VLOOKUP(Q112,tablas!$S$3:$U$66,3,TRUE)&amp;"$"),$C$13)</f>
        <v>$\phi8@17$</v>
      </c>
      <c r="R113" s="280"/>
      <c r="S113" s="279" t="str">
        <f>IF(S112&gt;$C$12,"$\phi"&amp;IF(VLOOKUP(VLOOKUP(S112,tablas!$S$3:$U$66,2,TRUE)&amp;VLOOKUP(S112,tablas!$S$3:$U$66,3,TRUE),tablas!$R$3:$S$66,2,FALSE)&lt;S112,VLOOKUP(S112+0.1,tablas!$S$3:$U$66,2,TRUE),VLOOKUP(S112,tablas!$S$3:$U$66,2,TRUE))&amp;"@"&amp;IF(VLOOKUP(VLOOKUP(S112,tablas!$S$3:$U$66,2,TRUE)&amp;VLOOKUP(S112,tablas!$S$3:$U$66,3,TRUE),tablas!$R$3:$S$66,2,FALSE)&lt;S112,VLOOKUP(S112+0.1,tablas!$S$3:$U$66,3,TRUE)&amp;"$",VLOOKUP(S112,tablas!$S$3:$U$66,3,TRUE)&amp;"$"),$C$13)</f>
        <v>$\phi10@18$</v>
      </c>
      <c r="T113" s="280"/>
      <c r="U113" s="279" t="str">
        <f>IF(U112&gt;$C$12,"$\phi"&amp;IF(VLOOKUP(VLOOKUP(U112,tablas!$S$3:$U$66,2,TRUE)&amp;VLOOKUP(U112,tablas!$S$3:$U$66,3,TRUE),tablas!$R$3:$S$66,2,FALSE)&lt;U112,VLOOKUP(U112+0.1,tablas!$S$3:$U$66,2,TRUE),VLOOKUP(U112,tablas!$S$3:$U$66,2,TRUE))&amp;"@"&amp;IF(VLOOKUP(VLOOKUP(U112,tablas!$S$3:$U$66,2,TRUE)&amp;VLOOKUP(U112,tablas!$S$3:$U$66,3,TRUE),tablas!$R$3:$S$66,2,FALSE)&lt;U112,VLOOKUP(U112+0.1,tablas!$S$3:$U$66,3,TRUE)&amp;"$",VLOOKUP(U112,tablas!$S$3:$U$66,3,TRUE)&amp;"$"),$C$13)</f>
        <v>$\phi8@13$</v>
      </c>
      <c r="V113" s="280"/>
      <c r="W113" s="279" t="str">
        <f>IF(W112&gt;$C$12,"$\phi"&amp;IF(VLOOKUP(VLOOKUP(W112,tablas!$S$3:$U$66,2,TRUE)&amp;VLOOKUP(W112,tablas!$S$3:$U$66,3,TRUE),tablas!$R$3:$S$66,2,FALSE)&lt;W112,VLOOKUP(W112+0.1,tablas!$S$3:$U$66,2,TRUE),VLOOKUP(W112,tablas!$S$3:$U$66,2,TRUE))&amp;"@"&amp;IF(VLOOKUP(VLOOKUP(W112,tablas!$S$3:$U$66,2,TRUE)&amp;VLOOKUP(W112,tablas!$S$3:$U$66,3,TRUE),tablas!$R$3:$S$66,2,FALSE)&lt;W112,VLOOKUP(W112+0.1,tablas!$S$3:$U$66,3,TRUE)&amp;"$",VLOOKUP(W112,tablas!$S$3:$U$66,3,TRUE)&amp;"$"),$C$13)</f>
        <v>$\phi12@20$</v>
      </c>
      <c r="X113" s="280"/>
      <c r="Y113" s="279" t="str">
        <f>IF(Y112&gt;$C$12,"$\phi"&amp;IF(VLOOKUP(VLOOKUP(Y112,tablas!$S$3:$U$66,2,TRUE)&amp;VLOOKUP(Y112,tablas!$S$3:$U$66,3,TRUE),tablas!$R$3:$S$66,2,FALSE)&lt;Y112,VLOOKUP(Y112+0.1,tablas!$S$3:$U$66,2,TRUE),VLOOKUP(Y112,tablas!$S$3:$U$66,2,TRUE))&amp;"@"&amp;IF(VLOOKUP(VLOOKUP(Y112,tablas!$S$3:$U$66,2,TRUE)&amp;VLOOKUP(Y112,tablas!$S$3:$U$66,3,TRUE),tablas!$R$3:$S$66,2,FALSE)&lt;Y112,VLOOKUP(Y112+0.1,tablas!$S$3:$U$66,3,TRUE)&amp;"$",VLOOKUP(Y112,tablas!$S$3:$U$66,3,TRUE)&amp;"$"),$C$13)</f>
        <v>$\phi12@20$</v>
      </c>
      <c r="Z113" s="280"/>
      <c r="AA113" s="279" t="str">
        <f>IF(AA112&gt;$C$12,"$\phi"&amp;IF(VLOOKUP(VLOOKUP(AA112,tablas!$S$3:$U$66,2,TRUE)&amp;VLOOKUP(AA112,tablas!$S$3:$U$66,3,TRUE),tablas!$R$3:$S$66,2,FALSE)&lt;AA112,VLOOKUP(AA112+0.1,tablas!$S$3:$U$66,2,TRUE),VLOOKUP(AA112,tablas!$S$3:$U$66,2,TRUE))&amp;"@"&amp;IF(VLOOKUP(VLOOKUP(AA112,tablas!$S$3:$U$66,2,TRUE)&amp;VLOOKUP(AA112,tablas!$S$3:$U$66,3,TRUE),tablas!$R$3:$S$66,2,FALSE)&lt;AA112,VLOOKUP(AA112+0.1,tablas!$S$3:$U$66,3,TRUE)&amp;"$",VLOOKUP(AA112,tablas!$S$3:$U$66,3,TRUE)&amp;"$"),$C$13)</f>
        <v>$\phi8@17$</v>
      </c>
      <c r="AB113" s="280"/>
    </row>
    <row r="114" spans="2:28" ht="15.75" thickBot="1" x14ac:dyDescent="0.3">
      <c r="P114" s="40"/>
      <c r="T114" s="40"/>
      <c r="U114" s="41"/>
    </row>
    <row r="115" spans="2:28" ht="15.75" thickBot="1" x14ac:dyDescent="0.3">
      <c r="B115" s="73" t="s">
        <v>43</v>
      </c>
      <c r="C115" s="74" t="s">
        <v>129</v>
      </c>
      <c r="D115" s="75" t="s">
        <v>130</v>
      </c>
      <c r="E115" s="74" t="s">
        <v>129</v>
      </c>
      <c r="F115" s="75" t="s">
        <v>135</v>
      </c>
      <c r="G115" s="74" t="s">
        <v>130</v>
      </c>
      <c r="H115" s="75" t="s">
        <v>135</v>
      </c>
      <c r="I115" s="74" t="s">
        <v>130</v>
      </c>
      <c r="J115" s="75" t="s">
        <v>131</v>
      </c>
      <c r="K115" s="74" t="s">
        <v>130</v>
      </c>
      <c r="L115" s="75" t="s">
        <v>132</v>
      </c>
      <c r="M115" s="74" t="s">
        <v>131</v>
      </c>
      <c r="N115" s="75" t="s">
        <v>136</v>
      </c>
      <c r="O115" s="74" t="s">
        <v>131</v>
      </c>
      <c r="P115" s="75" t="s">
        <v>132</v>
      </c>
      <c r="Q115" s="74" t="s">
        <v>132</v>
      </c>
      <c r="R115" s="75" t="s">
        <v>134</v>
      </c>
      <c r="S115" s="74" t="s">
        <v>132</v>
      </c>
      <c r="T115" s="75" t="s">
        <v>133</v>
      </c>
      <c r="U115" s="74" t="s">
        <v>133</v>
      </c>
      <c r="V115" s="75" t="s">
        <v>134</v>
      </c>
      <c r="W115" s="74" t="s">
        <v>135</v>
      </c>
      <c r="X115" s="75" t="s">
        <v>136</v>
      </c>
    </row>
    <row r="116" spans="2:28" ht="15.75" hidden="1" thickBot="1" x14ac:dyDescent="0.3">
      <c r="B116" s="141"/>
      <c r="C116" s="143" t="str">
        <f>C115&amp;"-"&amp;D115</f>
        <v>113-114</v>
      </c>
      <c r="D116" s="143"/>
      <c r="E116" s="143" t="str">
        <f>E115&amp;"-"&amp;F115</f>
        <v>113-119</v>
      </c>
      <c r="F116" s="142"/>
      <c r="G116" s="143" t="str">
        <f>G115&amp;"-"&amp;H115</f>
        <v>114-119</v>
      </c>
      <c r="H116" s="142"/>
      <c r="I116" s="143" t="str">
        <f>I115&amp;"-"&amp;J115</f>
        <v>114-115</v>
      </c>
      <c r="J116" s="142"/>
      <c r="K116" s="143" t="str">
        <f>K115&amp;"-"&amp;L115</f>
        <v>114-116</v>
      </c>
      <c r="L116" s="142"/>
      <c r="M116" s="143" t="str">
        <f>M115&amp;"-"&amp;N115</f>
        <v>115-120</v>
      </c>
      <c r="N116" s="142"/>
      <c r="O116" s="143" t="str">
        <f>O115&amp;"-"&amp;P115</f>
        <v>115-116</v>
      </c>
      <c r="P116" s="142"/>
      <c r="Q116" s="143" t="str">
        <f>Q115&amp;"-"&amp;R115</f>
        <v>116-118</v>
      </c>
      <c r="R116" s="142"/>
      <c r="S116" s="143" t="str">
        <f>S115&amp;"-"&amp;T115</f>
        <v>116-117</v>
      </c>
      <c r="T116" s="142"/>
      <c r="U116" s="143" t="str">
        <f>U115&amp;"-"&amp;V115</f>
        <v>117-118</v>
      </c>
      <c r="V116" s="142"/>
      <c r="W116" s="143" t="str">
        <f>W115&amp;"-"&amp;X115</f>
        <v>119-120</v>
      </c>
      <c r="X116" s="142"/>
    </row>
    <row r="117" spans="2:28" x14ac:dyDescent="0.25">
      <c r="B117" s="102" t="s">
        <v>114</v>
      </c>
      <c r="C117" s="99" t="s">
        <v>108</v>
      </c>
      <c r="D117" s="100" t="s">
        <v>109</v>
      </c>
      <c r="E117" s="99" t="s">
        <v>108</v>
      </c>
      <c r="F117" s="100" t="s">
        <v>108</v>
      </c>
      <c r="G117" s="99" t="s">
        <v>108</v>
      </c>
      <c r="H117" s="100" t="s">
        <v>109</v>
      </c>
      <c r="I117" s="99" t="s">
        <v>108</v>
      </c>
      <c r="J117" s="100" t="s">
        <v>109</v>
      </c>
      <c r="K117" s="99" t="s">
        <v>108</v>
      </c>
      <c r="L117" s="100" t="s">
        <v>108</v>
      </c>
      <c r="M117" s="99" t="s">
        <v>108</v>
      </c>
      <c r="N117" s="100" t="s">
        <v>109</v>
      </c>
      <c r="O117" s="99" t="s">
        <v>108</v>
      </c>
      <c r="P117" s="100" t="s">
        <v>109</v>
      </c>
      <c r="Q117" s="99" t="s">
        <v>108</v>
      </c>
      <c r="R117" s="100" t="s">
        <v>108</v>
      </c>
      <c r="S117" s="99" t="s">
        <v>109</v>
      </c>
      <c r="T117" s="100" t="s">
        <v>109</v>
      </c>
      <c r="U117" s="99" t="s">
        <v>108</v>
      </c>
      <c r="V117" s="100" t="s">
        <v>108</v>
      </c>
      <c r="W117" s="99" t="s">
        <v>109</v>
      </c>
      <c r="X117" s="100" t="s">
        <v>108</v>
      </c>
    </row>
    <row r="118" spans="2:28" x14ac:dyDescent="0.25">
      <c r="B118" s="103" t="s">
        <v>110</v>
      </c>
      <c r="C118" s="101">
        <f t="shared" ref="C118:X118" si="97">HLOOKUP(C115,$B$46:$AE$90,IF(C117="x",36,41),FALSE)</f>
        <v>545.38194444444446</v>
      </c>
      <c r="D118" s="85">
        <f t="shared" si="97"/>
        <v>155.67999999999998</v>
      </c>
      <c r="E118" s="101">
        <f t="shared" si="97"/>
        <v>545.38194444444446</v>
      </c>
      <c r="F118" s="85">
        <f t="shared" si="97"/>
        <v>670.04318181818178</v>
      </c>
      <c r="G118" s="101">
        <f t="shared" si="97"/>
        <v>227.0333333333333</v>
      </c>
      <c r="H118" s="85">
        <f t="shared" si="97"/>
        <v>479.38048780487804</v>
      </c>
      <c r="I118" s="101">
        <f t="shared" si="97"/>
        <v>227.0333333333333</v>
      </c>
      <c r="J118" s="85">
        <f t="shared" si="97"/>
        <v>667.99428571428564</v>
      </c>
      <c r="K118" s="101">
        <f t="shared" si="97"/>
        <v>227.0333333333333</v>
      </c>
      <c r="L118" s="85">
        <f t="shared" si="97"/>
        <v>1428.5638297872338</v>
      </c>
      <c r="M118" s="101">
        <f t="shared" si="97"/>
        <v>974.1583333333333</v>
      </c>
      <c r="N118" s="85">
        <f t="shared" si="97"/>
        <v>441.61273885350312</v>
      </c>
      <c r="O118" s="101">
        <f t="shared" si="97"/>
        <v>974.1583333333333</v>
      </c>
      <c r="P118" s="85">
        <f t="shared" si="97"/>
        <v>1323.0049261083741</v>
      </c>
      <c r="Q118" s="101">
        <f t="shared" si="97"/>
        <v>1428.5638297872338</v>
      </c>
      <c r="R118" s="85">
        <f t="shared" si="97"/>
        <v>276.07350000000002</v>
      </c>
      <c r="S118" s="101">
        <f t="shared" si="97"/>
        <v>1323.0049261083741</v>
      </c>
      <c r="T118" s="85">
        <f t="shared" si="97"/>
        <v>1879.8058604651167</v>
      </c>
      <c r="U118" s="101">
        <f t="shared" si="97"/>
        <v>2172.8938709677423</v>
      </c>
      <c r="V118" s="85">
        <f t="shared" si="97"/>
        <v>276.07350000000002</v>
      </c>
      <c r="W118" s="101">
        <f t="shared" si="97"/>
        <v>479.38048780487804</v>
      </c>
      <c r="X118" s="85">
        <f t="shared" si="97"/>
        <v>630.30181818181802</v>
      </c>
    </row>
    <row r="119" spans="2:28" x14ac:dyDescent="0.25">
      <c r="B119" s="103" t="s">
        <v>111</v>
      </c>
      <c r="C119" s="283">
        <f>(MAX(C118:D118)-MIN(C118:D118))/(MAX(C118:D118))</f>
        <v>0.71454867256637178</v>
      </c>
      <c r="D119" s="284"/>
      <c r="E119" s="283">
        <f>(MAX(E118:F118)-MIN(E118:F118))/(MAX(E118:F118))</f>
        <v>0.18604955733668599</v>
      </c>
      <c r="F119" s="284"/>
      <c r="G119" s="283">
        <f>(MAX(G118:H118)-MIN(G118:H118))/(MAX(G118:H118))</f>
        <v>0.5264026402640265</v>
      </c>
      <c r="H119" s="284"/>
      <c r="I119" s="283">
        <f>(MAX(I118:J118)-MIN(I118:J118))/(MAX(I118:J118))</f>
        <v>0.66012683313515652</v>
      </c>
      <c r="J119" s="284"/>
      <c r="K119" s="283">
        <f>(MAX(K118:L118)-MIN(K118:L118))/(MAX(K118:L118))</f>
        <v>0.84107582132529068</v>
      </c>
      <c r="L119" s="284"/>
      <c r="M119" s="283">
        <f>(MAX(M118:N118)-MIN(M118:N118))/(MAX(M118:N118))</f>
        <v>0.5466725236108062</v>
      </c>
      <c r="N119" s="284"/>
      <c r="O119" s="283">
        <f>(MAX(O118:P118)-MIN(O118:P118))/(MAX(O118:P118))</f>
        <v>0.26367747080214954</v>
      </c>
      <c r="P119" s="284"/>
      <c r="Q119" s="283">
        <f>(MAX(Q118:R118)-MIN(Q118:R118))/(MAX(Q118:R118))</f>
        <v>0.80674752206128753</v>
      </c>
      <c r="R119" s="284"/>
      <c r="S119" s="283">
        <f>(MAX(S118:T118)-MIN(S118:T118))/(MAX(S118:T118))</f>
        <v>0.29620129720149635</v>
      </c>
      <c r="T119" s="284"/>
      <c r="U119" s="283">
        <f>(MAX(U118:V118)-MIN(U118:V118))/(MAX(U118:V118))</f>
        <v>0.87294662491866437</v>
      </c>
      <c r="V119" s="284"/>
      <c r="W119" s="283">
        <f>(MAX(W118:X118)-MIN(W118:X118))/(MAX(W118:X118))</f>
        <v>0.23944295577679095</v>
      </c>
      <c r="X119" s="284"/>
    </row>
    <row r="120" spans="2:28" x14ac:dyDescent="0.25">
      <c r="B120" s="103" t="s">
        <v>112</v>
      </c>
      <c r="C120" s="285">
        <f>IF(C119&lt;25%,(C118*0.5+D118*0.5)*0.9,IF(C119&lt;50%,(MAX(C118:D118)*0.6+MIN(C118:D118)*0.4)*0.9,IF(C119&lt;70%,(MAX(C118:D118)*0.65+MIN(C118:D118)*0.35)*0.9,IF(C119&lt;100%,(MAX(C118:D118)*0.7+MIN(C118:D118)*0.3)*0.9,0.7*MAX(C118:D118)))))</f>
        <v>385.62422499999997</v>
      </c>
      <c r="D120" s="286"/>
      <c r="E120" s="285">
        <f>IF(E119&lt;25%,(E118*0.5+F118*0.5)*0.9,IF(E119&lt;50%,(MAX(E118:F118)*0.6+MIN(E118:F118)*0.4)*0.9,IF(E119&lt;70%,(MAX(E118:F118)*0.65+MIN(E118:F118)*0.35)*0.9,IF(E119&lt;100%,(MAX(E118:F118)*0.7+MIN(E118:F118)*0.3)*0.9,0.7*MAX(E118:F118)))))</f>
        <v>546.94130681818183</v>
      </c>
      <c r="F120" s="286"/>
      <c r="G120" s="285">
        <f>IF(G119&lt;25%,(G118*0.5+H118*0.5)*0.9,IF(G119&lt;50%,(MAX(G118:H118)*0.6+MIN(G118:H118)*0.4)*0.9,IF(G119&lt;70%,(MAX(G118:H118)*0.65+MIN(G118:H118)*0.35)*0.9,IF(G119&lt;100%,(MAX(G118:H118)*0.7+MIN(G118:H118)*0.3)*0.9,0.7*MAX(G118:H118)))))</f>
        <v>351.95308536585367</v>
      </c>
      <c r="H120" s="286"/>
      <c r="I120" s="285">
        <f>IF(I119&lt;25%,(I118*0.5+J118*0.5)*0.9,IF(I119&lt;50%,(MAX(I118:J118)*0.6+MIN(I118:J118)*0.4)*0.9,IF(I119&lt;70%,(MAX(I118:J118)*0.65+MIN(I118:J118)*0.35)*0.9,IF(I119&lt;100%,(MAX(I118:J118)*0.7+MIN(I118:J118)*0.3)*0.9,0.7*MAX(I118:J118)))))</f>
        <v>462.29215714285709</v>
      </c>
      <c r="J120" s="286"/>
      <c r="K120" s="285">
        <f>IF(K119&lt;25%,(K118*0.5+L118*0.5)*0.9,IF(K119&lt;50%,(MAX(K118:L118)*0.6+MIN(K118:L118)*0.4)*0.9,IF(K119&lt;70%,(MAX(K118:L118)*0.65+MIN(K118:L118)*0.35)*0.9,IF(K119&lt;100%,(MAX(K118:L118)*0.7+MIN(K118:L118)*0.3)*0.9,0.7*MAX(K118:L118)))))</f>
        <v>961.29421276595713</v>
      </c>
      <c r="L120" s="286"/>
      <c r="M120" s="285">
        <f>IF(M119&lt;25%,(M118*0.5+N118*0.5)*0.9,IF(M119&lt;50%,(MAX(M118:N118)*0.6+MIN(M118:N118)*0.4)*0.9,IF(M119&lt;70%,(MAX(M118:N118)*0.65+MIN(M118:N118)*0.35)*0.9,IF(M119&lt;100%,(MAX(M118:N118)*0.7+MIN(M118:N118)*0.3)*0.9,0.7*MAX(M118:N118)))))</f>
        <v>708.99063773885348</v>
      </c>
      <c r="N120" s="286"/>
      <c r="O120" s="285">
        <f>IF(O119&lt;25%,(O118*0.5+P118*0.5)*0.9,IF(O119&lt;50%,(MAX(O118:P118)*0.6+MIN(O118:P118)*0.4)*0.9,IF(O119&lt;70%,(MAX(O118:P118)*0.65+MIN(O118:P118)*0.35)*0.9,IF(O119&lt;100%,(MAX(O118:P118)*0.7+MIN(O118:P118)*0.3)*0.9,0.7*MAX(O118:P118)))))</f>
        <v>1065.1196600985222</v>
      </c>
      <c r="P120" s="286"/>
      <c r="Q120" s="285">
        <f>IF(Q119&lt;25%,(Q118*0.5+R118*0.5)*0.9,IF(Q119&lt;50%,(MAX(Q118:R118)*0.6+MIN(Q118:R118)*0.4)*0.9,IF(Q119&lt;70%,(MAX(Q118:R118)*0.65+MIN(Q118:R118)*0.35)*0.9,IF(Q119&lt;100%,(MAX(Q118:R118)*0.7+MIN(Q118:R118)*0.3)*0.9,0.7*MAX(Q118:R118)))))</f>
        <v>974.53505776595716</v>
      </c>
      <c r="R120" s="286"/>
      <c r="S120" s="285">
        <f>IF(S119&lt;25%,(S118*0.5+T118*0.5)*0.9,IF(S119&lt;50%,(MAX(S118:T118)*0.6+MIN(S118:T118)*0.4)*0.9,IF(S119&lt;70%,(MAX(S118:T118)*0.65+MIN(S118:T118)*0.35)*0.9,IF(S119&lt;100%,(MAX(S118:T118)*0.7+MIN(S118:T118)*0.3)*0.9,0.7*MAX(S118:T118)))))</f>
        <v>1491.3769380501776</v>
      </c>
      <c r="T120" s="286"/>
      <c r="U120" s="285">
        <f>IF(U119&lt;25%,(U118*0.5+V118*0.5)*0.9,IF(U119&lt;50%,(MAX(U118:V118)*0.6+MIN(U118:V118)*0.4)*0.9,IF(U119&lt;70%,(MAX(U118:V118)*0.65+MIN(U118:V118)*0.35)*0.9,IF(U119&lt;100%,(MAX(U118:V118)*0.7+MIN(U118:V118)*0.3)*0.9,0.7*MAX(U118:V118)))))</f>
        <v>1443.4629837096775</v>
      </c>
      <c r="V120" s="286"/>
      <c r="W120" s="285">
        <f>IF(W119&lt;25%,(W118*0.5+X118*0.5)*0.9,IF(W119&lt;50%,(MAX(W118:X118)*0.6+MIN(W118:X118)*0.4)*0.9,IF(W119&lt;70%,(MAX(W118:X118)*0.65+MIN(W118:X118)*0.35)*0.9,IF(W119&lt;100%,(MAX(W118:X118)*0.7+MIN(W118:X118)*0.3)*0.9,0.7*MAX(W118:X118)))))</f>
        <v>499.35703769401323</v>
      </c>
      <c r="X120" s="286"/>
    </row>
    <row r="121" spans="2:28" x14ac:dyDescent="0.25">
      <c r="B121" s="104" t="s">
        <v>15</v>
      </c>
      <c r="C121" s="287">
        <f>C120/(0.9*(0.9*($C$7/100))*($L$9*1000))</f>
        <v>0.79452485000576867</v>
      </c>
      <c r="D121" s="288"/>
      <c r="E121" s="287">
        <f>E120/(0.9*(0.9*($C$7/100))*($L$9*1000))</f>
        <v>1.1268961636465527</v>
      </c>
      <c r="F121" s="288"/>
      <c r="G121" s="287">
        <f>G120/(0.9*(0.9*($C$7/100))*($L$9*1000))</f>
        <v>0.72515017011540817</v>
      </c>
      <c r="H121" s="288"/>
      <c r="I121" s="287">
        <f>I120/(0.9*(0.9*($C$7/100))*($L$9*1000))</f>
        <v>0.95248841488828095</v>
      </c>
      <c r="J121" s="288"/>
      <c r="K121" s="287">
        <f>K120/(0.9*(0.9*($C$7/100))*($L$9*1000))</f>
        <v>1.9806124478027429</v>
      </c>
      <c r="L121" s="288"/>
      <c r="M121" s="287">
        <f>M120/(0.9*(0.9*($C$7/100))*($L$9*1000))</f>
        <v>1.4607761742793957</v>
      </c>
      <c r="N121" s="288"/>
      <c r="O121" s="287">
        <f>O120/(0.9*(0.9*($C$7/100))*($L$9*1000))</f>
        <v>2.194530279258192</v>
      </c>
      <c r="P121" s="288"/>
      <c r="Q121" s="287">
        <f>Q120/(0.9*(0.9*($C$7/100))*($L$9*1000))</f>
        <v>2.0078933593885608</v>
      </c>
      <c r="R121" s="288"/>
      <c r="S121" s="287">
        <f>S120/(0.9*(0.9*($C$7/100))*($L$9*1000))</f>
        <v>3.07277385907584</v>
      </c>
      <c r="T121" s="288"/>
      <c r="U121" s="287">
        <f>U120/(0.9*(0.9*($C$7/100))*($L$9*1000))</f>
        <v>2.974053848979044</v>
      </c>
      <c r="V121" s="288"/>
      <c r="W121" s="287">
        <f>W120/(0.9*(0.9*($C$7/100))*($L$9*1000))</f>
        <v>1.0288554238861962</v>
      </c>
      <c r="X121" s="288"/>
    </row>
    <row r="122" spans="2:28" x14ac:dyDescent="0.25">
      <c r="B122" s="104" t="s">
        <v>98</v>
      </c>
      <c r="C122" s="281">
        <f>(C121*($L$9))/(0.85*$L$6*100)</f>
        <v>1.1206348189239383E-2</v>
      </c>
      <c r="D122" s="282"/>
      <c r="E122" s="281">
        <f>(E121*($L$9))/(0.85*$L$6*100)</f>
        <v>1.5894267854365613E-2</v>
      </c>
      <c r="F122" s="282"/>
      <c r="G122" s="281">
        <f>(G121*($L$9))/(0.85*$L$6*100)</f>
        <v>1.0227855422949241E-2</v>
      </c>
      <c r="H122" s="282"/>
      <c r="I122" s="281">
        <f>(I121*($L$9))/(0.85*$L$6*100)</f>
        <v>1.3434339811243508E-2</v>
      </c>
      <c r="J122" s="282"/>
      <c r="K122" s="281">
        <f>(K121*($L$9))/(0.85*$L$6*100)</f>
        <v>2.7935479573556569E-2</v>
      </c>
      <c r="L122" s="282"/>
      <c r="M122" s="281">
        <f>(M121*($L$9))/(0.85*$L$6*100)</f>
        <v>2.0603466883888002E-2</v>
      </c>
      <c r="N122" s="282"/>
      <c r="O122" s="281">
        <f>(O121*($L$9))/(0.85*$L$6*100)</f>
        <v>3.0952676207695051E-2</v>
      </c>
      <c r="P122" s="282"/>
      <c r="Q122" s="281">
        <f>(Q121*($L$9))/(0.85*$L$6*100)</f>
        <v>2.8320262244794996E-2</v>
      </c>
      <c r="R122" s="282"/>
      <c r="S122" s="281">
        <f>(S121*($L$9))/(0.85*$L$6*100)</f>
        <v>4.3339832317826982E-2</v>
      </c>
      <c r="T122" s="282"/>
      <c r="U122" s="281">
        <f>(U121*($L$9))/(0.85*$L$6*100)</f>
        <v>4.194743935946716E-2</v>
      </c>
      <c r="V122" s="282"/>
      <c r="W122" s="281">
        <f>(W121*($L$9))/(0.85*$L$6*100)</f>
        <v>1.4511455640905981E-2</v>
      </c>
      <c r="X122" s="282"/>
    </row>
    <row r="123" spans="2:28" ht="15.75" thickBot="1" x14ac:dyDescent="0.3">
      <c r="B123" s="105" t="s">
        <v>15</v>
      </c>
      <c r="C123" s="289">
        <f>ROUNDUP(C120/(0.9*(($C$7-C122/2)/100)*($L$9*1000)),2)</f>
        <v>0.72</v>
      </c>
      <c r="D123" s="290"/>
      <c r="E123" s="289">
        <f>ROUNDUP(E120/(0.9*(($C$7-E122/2)/100)*($L$9*1000)),2)</f>
        <v>1.02</v>
      </c>
      <c r="F123" s="290"/>
      <c r="G123" s="289">
        <f>ROUNDUP(G120/(0.9*(($C$7-G122/2)/100)*($L$9*1000)),2)</f>
        <v>0.66</v>
      </c>
      <c r="H123" s="290"/>
      <c r="I123" s="289">
        <f>ROUNDUP(I120/(0.9*(($C$7-I122/2)/100)*($L$9*1000)),2)</f>
        <v>0.86</v>
      </c>
      <c r="J123" s="290"/>
      <c r="K123" s="289">
        <f>ROUNDUP(K120/(0.9*(($C$7-K122/2)/100)*($L$9*1000)),2)</f>
        <v>1.79</v>
      </c>
      <c r="L123" s="290"/>
      <c r="M123" s="289">
        <f>ROUNDUP(M120/(0.9*(($C$7-M122/2)/100)*($L$9*1000)),2)</f>
        <v>1.32</v>
      </c>
      <c r="N123" s="290"/>
      <c r="O123" s="289">
        <f>ROUNDUP(O120/(0.9*(($C$7-O122/2)/100)*($L$9*1000)),2)</f>
        <v>1.98</v>
      </c>
      <c r="P123" s="290"/>
      <c r="Q123" s="289">
        <f>ROUNDUP(Q120/(0.9*(($C$7-Q122/2)/100)*($L$9*1000)),2)</f>
        <v>1.81</v>
      </c>
      <c r="R123" s="290"/>
      <c r="S123" s="289">
        <f>ROUNDUP(S120/(0.9*(($C$7-S122/2)/100)*($L$9*1000)),2)</f>
        <v>2.7699999999999996</v>
      </c>
      <c r="T123" s="290"/>
      <c r="U123" s="289">
        <f>ROUNDUP(U120/(0.9*(($C$7-U122/2)/100)*($L$9*1000)),2)</f>
        <v>2.69</v>
      </c>
      <c r="V123" s="290"/>
      <c r="W123" s="289">
        <f>ROUNDUP(W120/(0.9*(($C$7-W122/2)/100)*($L$9*1000)),2)</f>
        <v>0.93</v>
      </c>
      <c r="X123" s="290"/>
    </row>
    <row r="124" spans="2:28" ht="16.5" thickBot="1" x14ac:dyDescent="0.3">
      <c r="B124" s="61" t="s">
        <v>113</v>
      </c>
      <c r="C124" s="279" t="str">
        <f>IF(C123&gt;$C$12,"$\phi"&amp;IF(VLOOKUP(VLOOKUP(C123,tablas!$S$3:$U$66,2,TRUE)&amp;VLOOKUP(C123,tablas!$S$3:$U$66,3,TRUE),tablas!$R$3:$S$66,2,FALSE)&lt;C123,VLOOKUP(C123+0.1,tablas!$S$3:$U$66,2,TRUE),VLOOKUP(C123,tablas!$S$3:$U$66,2,TRUE))&amp;"@"&amp;IF(VLOOKUP(VLOOKUP(C123,tablas!$S$3:$U$66,2,TRUE)&amp;VLOOKUP(C123,tablas!$S$3:$U$66,3,TRUE),tablas!$R$3:$S$66,2,FALSE)&lt;C123,VLOOKUP(C123+0.1,tablas!$S$3:$U$66,3,TRUE)&amp;"$",VLOOKUP(C123,tablas!$S$3:$U$66,3,TRUE)&amp;"$"),$C$13)</f>
        <v>$\phi8@17$</v>
      </c>
      <c r="D124" s="280"/>
      <c r="E124" s="279" t="str">
        <f>IF(E123&gt;$C$12,"$\phi"&amp;IF(VLOOKUP(VLOOKUP(E123,tablas!$S$3:$U$66,2,TRUE)&amp;VLOOKUP(E123,tablas!$S$3:$U$66,3,TRUE),tablas!$R$3:$S$66,2,FALSE)&lt;E123,VLOOKUP(E123+0.1,tablas!$S$3:$U$66,2,TRUE),VLOOKUP(E123,tablas!$S$3:$U$66,2,TRUE))&amp;"@"&amp;IF(VLOOKUP(VLOOKUP(E123,tablas!$S$3:$U$66,2,TRUE)&amp;VLOOKUP(E123,tablas!$S$3:$U$66,3,TRUE),tablas!$R$3:$S$66,2,FALSE)&lt;E123,VLOOKUP(E123+0.1,tablas!$S$3:$U$66,3,TRUE)&amp;"$",VLOOKUP(E123,tablas!$S$3:$U$66,3,TRUE)&amp;"$"),$C$13)</f>
        <v>$\phi8@17$</v>
      </c>
      <c r="F124" s="280"/>
      <c r="G124" s="279" t="str">
        <f>IF(G123&gt;$C$12,"$\phi"&amp;IF(VLOOKUP(VLOOKUP(G123,tablas!$S$3:$U$66,2,TRUE)&amp;VLOOKUP(G123,tablas!$S$3:$U$66,3,TRUE),tablas!$R$3:$S$66,2,FALSE)&lt;G123,VLOOKUP(G123+0.1,tablas!$S$3:$U$66,2,TRUE),VLOOKUP(G123,tablas!$S$3:$U$66,2,TRUE))&amp;"@"&amp;IF(VLOOKUP(VLOOKUP(G123,tablas!$S$3:$U$66,2,TRUE)&amp;VLOOKUP(G123,tablas!$S$3:$U$66,3,TRUE),tablas!$R$3:$S$66,2,FALSE)&lt;G123,VLOOKUP(G123+0.1,tablas!$S$3:$U$66,3,TRUE)&amp;"$",VLOOKUP(G123,tablas!$S$3:$U$66,3,TRUE)&amp;"$"),$C$13)</f>
        <v>$\phi8@17$</v>
      </c>
      <c r="H124" s="280"/>
      <c r="I124" s="279" t="str">
        <f>IF(I123&gt;$C$12,"$\phi"&amp;IF(VLOOKUP(VLOOKUP(I123,tablas!$S$3:$U$66,2,TRUE)&amp;VLOOKUP(I123,tablas!$S$3:$U$66,3,TRUE),tablas!$R$3:$S$66,2,FALSE)&lt;I123,VLOOKUP(I123+0.1,tablas!$S$3:$U$66,2,TRUE),VLOOKUP(I123,tablas!$S$3:$U$66,2,TRUE))&amp;"@"&amp;IF(VLOOKUP(VLOOKUP(I123,tablas!$S$3:$U$66,2,TRUE)&amp;VLOOKUP(I123,tablas!$S$3:$U$66,3,TRUE),tablas!$R$3:$S$66,2,FALSE)&lt;I123,VLOOKUP(I123+0.1,tablas!$S$3:$U$66,3,TRUE)&amp;"$",VLOOKUP(I123,tablas!$S$3:$U$66,3,TRUE)&amp;"$"),$C$13)</f>
        <v>$\phi8@17$</v>
      </c>
      <c r="J124" s="280"/>
      <c r="K124" s="279" t="str">
        <f>IF(K123&gt;$C$12,"$\phi"&amp;IF(VLOOKUP(VLOOKUP(K123,tablas!$S$3:$U$66,2,TRUE)&amp;VLOOKUP(K123,tablas!$S$3:$U$66,3,TRUE),tablas!$R$3:$S$66,2,FALSE)&lt;K123,VLOOKUP(K123+0.1,tablas!$S$3:$U$66,2,TRUE),VLOOKUP(K123,tablas!$S$3:$U$66,2,TRUE))&amp;"@"&amp;IF(VLOOKUP(VLOOKUP(K123,tablas!$S$3:$U$66,2,TRUE)&amp;VLOOKUP(K123,tablas!$S$3:$U$66,3,TRUE),tablas!$R$3:$S$66,2,FALSE)&lt;K123,VLOOKUP(K123+0.1,tablas!$S$3:$U$66,3,TRUE)&amp;"$",VLOOKUP(K123,tablas!$S$3:$U$66,3,TRUE)&amp;"$"),$C$13)</f>
        <v>$\phi8@17$</v>
      </c>
      <c r="L124" s="280"/>
      <c r="M124" s="279" t="str">
        <f>IF(M123&gt;$C$12,"$\phi"&amp;IF(VLOOKUP(VLOOKUP(M123,tablas!$S$3:$U$66,2,TRUE)&amp;VLOOKUP(M123,tablas!$S$3:$U$66,3,TRUE),tablas!$R$3:$S$66,2,FALSE)&lt;M123,VLOOKUP(M123+0.1,tablas!$S$3:$U$66,2,TRUE),VLOOKUP(M123,tablas!$S$3:$U$66,2,TRUE))&amp;"@"&amp;IF(VLOOKUP(VLOOKUP(M123,tablas!$S$3:$U$66,2,TRUE)&amp;VLOOKUP(M123,tablas!$S$3:$U$66,3,TRUE),tablas!$R$3:$S$66,2,FALSE)&lt;M123,VLOOKUP(M123+0.1,tablas!$S$3:$U$66,3,TRUE)&amp;"$",VLOOKUP(M123,tablas!$S$3:$U$66,3,TRUE)&amp;"$"),$C$13)</f>
        <v>$\phi8@17$</v>
      </c>
      <c r="N124" s="280"/>
      <c r="O124" s="279" t="str">
        <f>IF(O123&gt;$C$12,"$\phi"&amp;IF(VLOOKUP(VLOOKUP(O123,tablas!$S$3:$U$66,2,TRUE)&amp;VLOOKUP(O123,tablas!$S$3:$U$66,3,TRUE),tablas!$R$3:$S$66,2,FALSE)&lt;O123,VLOOKUP(O123+0.1,tablas!$S$3:$U$66,2,TRUE),VLOOKUP(O123,tablas!$S$3:$U$66,2,TRUE))&amp;"@"&amp;IF(VLOOKUP(VLOOKUP(O123,tablas!$S$3:$U$66,2,TRUE)&amp;VLOOKUP(O123,tablas!$S$3:$U$66,3,TRUE),tablas!$R$3:$S$66,2,FALSE)&lt;O123,VLOOKUP(O123+0.1,tablas!$S$3:$U$66,3,TRUE)&amp;"$",VLOOKUP(O123,tablas!$S$3:$U$66,3,TRUE)&amp;"$"),$C$13)</f>
        <v>$\phi8@17$</v>
      </c>
      <c r="P124" s="280"/>
      <c r="Q124" s="279" t="str">
        <f>IF(Q123&gt;$C$12,"$\phi"&amp;IF(VLOOKUP(VLOOKUP(Q123,tablas!$S$3:$U$66,2,TRUE)&amp;VLOOKUP(Q123,tablas!$S$3:$U$66,3,TRUE),tablas!$R$3:$S$66,2,FALSE)&lt;Q123,VLOOKUP(Q123+0.1,tablas!$S$3:$U$66,2,TRUE),VLOOKUP(Q123,tablas!$S$3:$U$66,2,TRUE))&amp;"@"&amp;IF(VLOOKUP(VLOOKUP(Q123,tablas!$S$3:$U$66,2,TRUE)&amp;VLOOKUP(Q123,tablas!$S$3:$U$66,3,TRUE),tablas!$R$3:$S$66,2,FALSE)&lt;Q123,VLOOKUP(Q123+0.1,tablas!$S$3:$U$66,3,TRUE)&amp;"$",VLOOKUP(Q123,tablas!$S$3:$U$66,3,TRUE)&amp;"$"),$C$13)</f>
        <v>$\phi8@17$</v>
      </c>
      <c r="R124" s="280"/>
      <c r="S124" s="279" t="str">
        <f>IF(S123&gt;$C$12,"$\phi"&amp;IF(VLOOKUP(VLOOKUP(S123,tablas!$S$3:$U$66,2,TRUE)&amp;VLOOKUP(S123,tablas!$S$3:$U$66,3,TRUE),tablas!$R$3:$S$66,2,FALSE)&lt;S123,VLOOKUP(S123+0.1,tablas!$S$3:$U$66,2,TRUE),VLOOKUP(S123,tablas!$S$3:$U$66,2,TRUE))&amp;"@"&amp;IF(VLOOKUP(VLOOKUP(S123,tablas!$S$3:$U$66,2,TRUE)&amp;VLOOKUP(S123,tablas!$S$3:$U$66,3,TRUE),tablas!$R$3:$S$66,2,FALSE)&lt;S123,VLOOKUP(S123+0.1,tablas!$S$3:$U$66,3,TRUE)&amp;"$",VLOOKUP(S123,tablas!$S$3:$U$66,3,TRUE)&amp;"$"),$C$13)</f>
        <v>$\phi8@17$</v>
      </c>
      <c r="T124" s="280"/>
      <c r="U124" s="279" t="str">
        <f>IF(U123&gt;$C$12,"$\phi"&amp;IF(VLOOKUP(VLOOKUP(U123,tablas!$S$3:$U$66,2,TRUE)&amp;VLOOKUP(U123,tablas!$S$3:$U$66,3,TRUE),tablas!$R$3:$S$66,2,FALSE)&lt;U123,VLOOKUP(U123+0.1,tablas!$S$3:$U$66,2,TRUE),VLOOKUP(U123,tablas!$S$3:$U$66,2,TRUE))&amp;"@"&amp;IF(VLOOKUP(VLOOKUP(U123,tablas!$S$3:$U$66,2,TRUE)&amp;VLOOKUP(U123,tablas!$S$3:$U$66,3,TRUE),tablas!$R$3:$S$66,2,FALSE)&lt;U123,VLOOKUP(U123+0.1,tablas!$S$3:$U$66,3,TRUE)&amp;"$",VLOOKUP(U123,tablas!$S$3:$U$66,3,TRUE)&amp;"$"),$C$13)</f>
        <v>$\phi8@17$</v>
      </c>
      <c r="V124" s="280"/>
      <c r="W124" s="279" t="str">
        <f>IF(W123&gt;$C$12,"$\phi"&amp;IF(VLOOKUP(VLOOKUP(W123,tablas!$S$3:$U$66,2,TRUE)&amp;VLOOKUP(W123,tablas!$S$3:$U$66,3,TRUE),tablas!$R$3:$S$66,2,FALSE)&lt;W123,VLOOKUP(W123+0.1,tablas!$S$3:$U$66,2,TRUE),VLOOKUP(W123,tablas!$S$3:$U$66,2,TRUE))&amp;"@"&amp;IF(VLOOKUP(VLOOKUP(W123,tablas!$S$3:$U$66,2,TRUE)&amp;VLOOKUP(W123,tablas!$S$3:$U$66,3,TRUE),tablas!$R$3:$S$66,2,FALSE)&lt;W123,VLOOKUP(W123+0.1,tablas!$S$3:$U$66,3,TRUE)&amp;"$",VLOOKUP(W123,tablas!$S$3:$U$66,3,TRUE)&amp;"$"),$C$13)</f>
        <v>$\phi8@17$</v>
      </c>
      <c r="X124" s="280"/>
    </row>
  </sheetData>
  <mergeCells count="232">
    <mergeCell ref="E4:F4"/>
    <mergeCell ref="H4:I4"/>
    <mergeCell ref="K4:L4"/>
    <mergeCell ref="S97:T97"/>
    <mergeCell ref="U97:V97"/>
    <mergeCell ref="W97:X97"/>
    <mergeCell ref="B92:C92"/>
    <mergeCell ref="C97:D97"/>
    <mergeCell ref="E97:F97"/>
    <mergeCell ref="G97:H97"/>
    <mergeCell ref="I97:J97"/>
    <mergeCell ref="K97:L97"/>
    <mergeCell ref="M97:N97"/>
    <mergeCell ref="O97:P97"/>
    <mergeCell ref="Q97:R97"/>
    <mergeCell ref="J15:K15"/>
    <mergeCell ref="M15:N15"/>
    <mergeCell ref="J16:K16"/>
    <mergeCell ref="M16:N16"/>
    <mergeCell ref="J22:K22"/>
    <mergeCell ref="J33:K33"/>
    <mergeCell ref="K99:L99"/>
    <mergeCell ref="M99:N99"/>
    <mergeCell ref="U98:V98"/>
    <mergeCell ref="W98:X98"/>
    <mergeCell ref="C98:D98"/>
    <mergeCell ref="E98:F98"/>
    <mergeCell ref="G98:H98"/>
    <mergeCell ref="I98:J98"/>
    <mergeCell ref="K98:L98"/>
    <mergeCell ref="M98:N98"/>
    <mergeCell ref="O98:P98"/>
    <mergeCell ref="Q98:R98"/>
    <mergeCell ref="S98:T98"/>
    <mergeCell ref="Y97:Z97"/>
    <mergeCell ref="AA97:AB97"/>
    <mergeCell ref="C108:D108"/>
    <mergeCell ref="E108:F108"/>
    <mergeCell ref="G108:H108"/>
    <mergeCell ref="I108:J108"/>
    <mergeCell ref="U102:V102"/>
    <mergeCell ref="W102:X102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S101:T101"/>
    <mergeCell ref="U101:V101"/>
    <mergeCell ref="W101:X101"/>
    <mergeCell ref="C101:D101"/>
    <mergeCell ref="E101:F101"/>
    <mergeCell ref="G101:H101"/>
    <mergeCell ref="I101:J101"/>
    <mergeCell ref="Y98:Z98"/>
    <mergeCell ref="AA98:AB98"/>
    <mergeCell ref="C109:D109"/>
    <mergeCell ref="E109:F109"/>
    <mergeCell ref="G109:H109"/>
    <mergeCell ref="I109:J109"/>
    <mergeCell ref="K109:L109"/>
    <mergeCell ref="K108:L108"/>
    <mergeCell ref="M108:N108"/>
    <mergeCell ref="O108:P108"/>
    <mergeCell ref="Q108:R108"/>
    <mergeCell ref="S108:T108"/>
    <mergeCell ref="K101:L101"/>
    <mergeCell ref="M101:N101"/>
    <mergeCell ref="O101:P101"/>
    <mergeCell ref="Q101:R101"/>
    <mergeCell ref="Q100:R100"/>
    <mergeCell ref="S100:T100"/>
    <mergeCell ref="U100:V100"/>
    <mergeCell ref="W100:X100"/>
    <mergeCell ref="C100:D100"/>
    <mergeCell ref="E100:F100"/>
    <mergeCell ref="G100:H100"/>
    <mergeCell ref="I100:J100"/>
    <mergeCell ref="Y99:Z99"/>
    <mergeCell ref="AA99:AB99"/>
    <mergeCell ref="C110:D110"/>
    <mergeCell ref="E110:F110"/>
    <mergeCell ref="G110:H110"/>
    <mergeCell ref="I110:J110"/>
    <mergeCell ref="K110:L110"/>
    <mergeCell ref="M110:N110"/>
    <mergeCell ref="M109:N109"/>
    <mergeCell ref="O109:P109"/>
    <mergeCell ref="Q109:R109"/>
    <mergeCell ref="S109:T109"/>
    <mergeCell ref="K100:L100"/>
    <mergeCell ref="M100:N100"/>
    <mergeCell ref="O100:P100"/>
    <mergeCell ref="O99:P99"/>
    <mergeCell ref="Q99:R99"/>
    <mergeCell ref="S99:T99"/>
    <mergeCell ref="U99:V99"/>
    <mergeCell ref="W99:X99"/>
    <mergeCell ref="C99:D99"/>
    <mergeCell ref="E99:F99"/>
    <mergeCell ref="G99:H99"/>
    <mergeCell ref="I99:J99"/>
    <mergeCell ref="Y101:Z101"/>
    <mergeCell ref="AA101:AB101"/>
    <mergeCell ref="C112:D112"/>
    <mergeCell ref="E112:F112"/>
    <mergeCell ref="G112:H112"/>
    <mergeCell ref="I112:J112"/>
    <mergeCell ref="Q111:R111"/>
    <mergeCell ref="S111:T111"/>
    <mergeCell ref="Y100:Z100"/>
    <mergeCell ref="AA100:AB100"/>
    <mergeCell ref="C111:D111"/>
    <mergeCell ref="E111:F111"/>
    <mergeCell ref="G111:H111"/>
    <mergeCell ref="I111:J111"/>
    <mergeCell ref="K111:L111"/>
    <mergeCell ref="M111:N111"/>
    <mergeCell ref="O111:P111"/>
    <mergeCell ref="O110:P110"/>
    <mergeCell ref="Q110:R110"/>
    <mergeCell ref="S110:T110"/>
    <mergeCell ref="Y102:Z102"/>
    <mergeCell ref="AA102:AB102"/>
    <mergeCell ref="S112:T112"/>
    <mergeCell ref="U108:V108"/>
    <mergeCell ref="W108:X108"/>
    <mergeCell ref="Y108:Z108"/>
    <mergeCell ref="AA108:AB108"/>
    <mergeCell ref="C119:D119"/>
    <mergeCell ref="E119:F119"/>
    <mergeCell ref="G119:H119"/>
    <mergeCell ref="I119:J119"/>
    <mergeCell ref="M113:N113"/>
    <mergeCell ref="O113:P113"/>
    <mergeCell ref="Q113:R113"/>
    <mergeCell ref="S113:T113"/>
    <mergeCell ref="U110:V110"/>
    <mergeCell ref="W110:X110"/>
    <mergeCell ref="Y110:Z110"/>
    <mergeCell ref="AA110:AB110"/>
    <mergeCell ref="C113:D113"/>
    <mergeCell ref="E113:F113"/>
    <mergeCell ref="G113:H113"/>
    <mergeCell ref="I113:J113"/>
    <mergeCell ref="K113:L113"/>
    <mergeCell ref="K112:L112"/>
    <mergeCell ref="M112:N112"/>
    <mergeCell ref="O112:P112"/>
    <mergeCell ref="Q112:R112"/>
    <mergeCell ref="Y109:Z109"/>
    <mergeCell ref="AA109:AB109"/>
    <mergeCell ref="C120:D120"/>
    <mergeCell ref="E120:F120"/>
    <mergeCell ref="G120:H120"/>
    <mergeCell ref="I120:J120"/>
    <mergeCell ref="K120:L120"/>
    <mergeCell ref="K119:L119"/>
    <mergeCell ref="M119:N119"/>
    <mergeCell ref="O119:P119"/>
    <mergeCell ref="U111:V111"/>
    <mergeCell ref="W111:X111"/>
    <mergeCell ref="Y111:Z111"/>
    <mergeCell ref="AA111:AB111"/>
    <mergeCell ref="W112:X112"/>
    <mergeCell ref="Y112:Z112"/>
    <mergeCell ref="AA112:AB112"/>
    <mergeCell ref="AA113:AB113"/>
    <mergeCell ref="W119:X119"/>
    <mergeCell ref="W113:X113"/>
    <mergeCell ref="Y113:Z113"/>
    <mergeCell ref="U109:V109"/>
    <mergeCell ref="W109:X109"/>
    <mergeCell ref="G122:H122"/>
    <mergeCell ref="G121:H121"/>
    <mergeCell ref="I121:J121"/>
    <mergeCell ref="K121:L121"/>
    <mergeCell ref="M121:N121"/>
    <mergeCell ref="O121:P121"/>
    <mergeCell ref="U112:V112"/>
    <mergeCell ref="C121:D121"/>
    <mergeCell ref="E121:F121"/>
    <mergeCell ref="M120:N120"/>
    <mergeCell ref="O120:P120"/>
    <mergeCell ref="S119:T119"/>
    <mergeCell ref="U119:V119"/>
    <mergeCell ref="U113:V113"/>
    <mergeCell ref="S121:T121"/>
    <mergeCell ref="U121:V121"/>
    <mergeCell ref="Q119:R119"/>
    <mergeCell ref="O122:P122"/>
    <mergeCell ref="C122:D122"/>
    <mergeCell ref="E122:F122"/>
    <mergeCell ref="C124:D124"/>
    <mergeCell ref="E124:F124"/>
    <mergeCell ref="G124:H124"/>
    <mergeCell ref="I124:J124"/>
    <mergeCell ref="K124:L124"/>
    <mergeCell ref="K123:L123"/>
    <mergeCell ref="M123:N123"/>
    <mergeCell ref="O123:P123"/>
    <mergeCell ref="M124:N124"/>
    <mergeCell ref="O124:P124"/>
    <mergeCell ref="C123:D123"/>
    <mergeCell ref="E123:F123"/>
    <mergeCell ref="G123:H123"/>
    <mergeCell ref="I123:J123"/>
    <mergeCell ref="W121:X121"/>
    <mergeCell ref="S120:T120"/>
    <mergeCell ref="U120:V120"/>
    <mergeCell ref="W120:X120"/>
    <mergeCell ref="Q124:R124"/>
    <mergeCell ref="Q121:R121"/>
    <mergeCell ref="Q120:R120"/>
    <mergeCell ref="I122:J122"/>
    <mergeCell ref="K122:L122"/>
    <mergeCell ref="M122:N122"/>
    <mergeCell ref="S124:T124"/>
    <mergeCell ref="U124:V124"/>
    <mergeCell ref="W124:X124"/>
    <mergeCell ref="Q123:R123"/>
    <mergeCell ref="S123:T123"/>
    <mergeCell ref="U123:V123"/>
    <mergeCell ref="W123:X123"/>
    <mergeCell ref="Q122:R122"/>
    <mergeCell ref="S122:T122"/>
    <mergeCell ref="U122:V122"/>
    <mergeCell ref="W122:X122"/>
  </mergeCells>
  <conditionalFormatting sqref="K21">
    <cfRule type="cellIs" dxfId="5" priority="2" operator="greaterThan">
      <formula>$C$4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E1F7-9451-45B0-A62C-1F8A316BC610}">
  <dimension ref="B1:S88"/>
  <sheetViews>
    <sheetView showGridLines="0" topLeftCell="D1" zoomScale="85" zoomScaleNormal="85" workbookViewId="0">
      <selection activeCell="P13" sqref="P13"/>
    </sheetView>
  </sheetViews>
  <sheetFormatPr defaultColWidth="11.42578125" defaultRowHeight="15" x14ac:dyDescent="0.25"/>
  <cols>
    <col min="1" max="1" width="2.85546875" customWidth="1"/>
    <col min="5" max="5" width="13.28515625" customWidth="1"/>
    <col min="6" max="6" width="12.42578125" customWidth="1"/>
    <col min="7" max="7" width="13.5703125" customWidth="1"/>
    <col min="8" max="8" width="12.7109375" bestFit="1" customWidth="1"/>
    <col min="9" max="9" width="13.5703125" customWidth="1"/>
    <col min="10" max="10" width="12.7109375" bestFit="1" customWidth="1"/>
    <col min="11" max="11" width="13.5703125" customWidth="1"/>
    <col min="12" max="12" width="12.7109375" bestFit="1" customWidth="1"/>
    <col min="13" max="13" width="13.5703125" customWidth="1"/>
    <col min="15" max="15" width="9.7109375" bestFit="1" customWidth="1"/>
    <col min="16" max="16" width="20.7109375" bestFit="1" customWidth="1"/>
    <col min="17" max="17" width="14.28515625" bestFit="1" customWidth="1"/>
    <col min="18" max="18" width="15.28515625" customWidth="1"/>
  </cols>
  <sheetData>
    <row r="1" spans="2:19" ht="15.75" thickBot="1" x14ac:dyDescent="0.3"/>
    <row r="2" spans="2:19" ht="15.75" thickBot="1" x14ac:dyDescent="0.3">
      <c r="B2" s="305" t="s">
        <v>249</v>
      </c>
      <c r="C2" s="306"/>
      <c r="D2" s="306"/>
      <c r="E2" s="306"/>
      <c r="F2" s="306"/>
      <c r="G2" s="307"/>
      <c r="H2" s="308"/>
      <c r="I2" s="308"/>
      <c r="J2" s="308"/>
      <c r="K2" s="308"/>
      <c r="L2" s="308"/>
      <c r="M2" s="308"/>
    </row>
    <row r="3" spans="2:19" ht="15.75" thickBot="1" x14ac:dyDescent="0.3">
      <c r="B3" s="309" t="s">
        <v>43</v>
      </c>
      <c r="C3" s="313" t="s">
        <v>19</v>
      </c>
      <c r="D3" s="313" t="s">
        <v>246</v>
      </c>
      <c r="E3" s="313" t="s">
        <v>244</v>
      </c>
      <c r="F3" s="315" t="s">
        <v>240</v>
      </c>
      <c r="G3" s="316"/>
      <c r="H3" s="315" t="s">
        <v>241</v>
      </c>
      <c r="I3" s="316"/>
      <c r="J3" s="315" t="s">
        <v>247</v>
      </c>
      <c r="K3" s="316"/>
      <c r="L3" s="315" t="s">
        <v>248</v>
      </c>
      <c r="M3" s="317"/>
    </row>
    <row r="4" spans="2:19" ht="30" customHeight="1" thickBot="1" x14ac:dyDescent="0.3">
      <c r="B4" s="310"/>
      <c r="C4" s="314"/>
      <c r="D4" s="314"/>
      <c r="E4" s="314"/>
      <c r="F4" s="223" t="s">
        <v>245</v>
      </c>
      <c r="G4" s="224" t="s">
        <v>242</v>
      </c>
      <c r="H4" s="223" t="s">
        <v>245</v>
      </c>
      <c r="I4" s="224" t="s">
        <v>242</v>
      </c>
      <c r="J4" s="223" t="s">
        <v>245</v>
      </c>
      <c r="K4" s="224" t="s">
        <v>242</v>
      </c>
      <c r="L4" s="223" t="s">
        <v>245</v>
      </c>
      <c r="M4" s="225" t="s">
        <v>242</v>
      </c>
      <c r="O4" s="272" t="str">
        <f>B3</f>
        <v>N° Losa</v>
      </c>
      <c r="P4" s="263" t="s">
        <v>240</v>
      </c>
      <c r="Q4" s="264" t="s">
        <v>241</v>
      </c>
      <c r="R4" s="264" t="s">
        <v>247</v>
      </c>
      <c r="S4" s="265" t="s">
        <v>248</v>
      </c>
    </row>
    <row r="5" spans="2:19" x14ac:dyDescent="0.25">
      <c r="B5" s="212" t="str">
        <f>'1'!C46</f>
        <v>101</v>
      </c>
      <c r="C5" s="241">
        <f>'1'!$C$4</f>
        <v>16</v>
      </c>
      <c r="D5" s="226">
        <f>'1'!$C$12</f>
        <v>2.88</v>
      </c>
      <c r="E5" s="226">
        <f>HLOOKUP($B5,'1'!$C$46:$AE$90,22)</f>
        <v>1550</v>
      </c>
      <c r="F5" s="226">
        <f>HLOOKUP($B5,'1'!$C$46:$AE$90,29)</f>
        <v>2.0599999999999996</v>
      </c>
      <c r="G5" s="226" t="str">
        <f>HLOOKUP($B5,'1'!$C$46:$AE$90,30)</f>
        <v>$\phi8@17$</v>
      </c>
      <c r="H5" s="226">
        <f>HLOOKUP($B5,'1'!$C$46:$AE$90,34)</f>
        <v>1.34</v>
      </c>
      <c r="I5" s="226" t="str">
        <f>HLOOKUP($B5,'1'!$C$46:$AE$90,35)</f>
        <v>$\phi8@17$</v>
      </c>
      <c r="J5" s="226">
        <f>HLOOKUP($B5,'1'!$C$46:$AE$90,39)</f>
        <v>4.72</v>
      </c>
      <c r="K5" s="226" t="str">
        <f>HLOOKUP($B5,'1'!$C$46:$AE$90,40)</f>
        <v>$\phi12@24$</v>
      </c>
      <c r="L5" s="226">
        <f>HLOOKUP($B5,'1'!$C$46:$AE$90,44)</f>
        <v>3.94</v>
      </c>
      <c r="M5" s="227" t="str">
        <f>HLOOKUP($B5,'1'!$C$46:$AE$90,45)</f>
        <v>$\phi10@20$</v>
      </c>
      <c r="O5" s="270" t="str">
        <f>B5</f>
        <v>101</v>
      </c>
      <c r="P5" s="266" t="str">
        <f>IF(G5='[1]Tabla 1'!G5,"IGUAL","CAMBIO")</f>
        <v>IGUAL</v>
      </c>
      <c r="Q5" s="123" t="str">
        <f>IF(I5='[1]Tabla 1'!I5,"IGUAL","CAMBIO")</f>
        <v>IGUAL</v>
      </c>
      <c r="R5" s="123" t="str">
        <f>IF(K5='[1]Tabla 1'!K5,"IGUAL","CAMBIO")</f>
        <v>IGUAL</v>
      </c>
      <c r="S5" s="217" t="str">
        <f>IF(M5='[1]Tabla 1'!M5,"IGUAL","CAMBIO")</f>
        <v>IGUAL</v>
      </c>
    </row>
    <row r="6" spans="2:19" x14ac:dyDescent="0.25">
      <c r="B6" s="216" t="str">
        <f>'1'!D46</f>
        <v>102</v>
      </c>
      <c r="C6" s="243">
        <f>'1'!$C$4</f>
        <v>16</v>
      </c>
      <c r="D6" s="203">
        <f>'1'!$C$12</f>
        <v>2.88</v>
      </c>
      <c r="E6" s="203">
        <f>HLOOKUP($B6,'1'!$C$46:$AE$90,22)</f>
        <v>1550</v>
      </c>
      <c r="F6" s="203">
        <f>HLOOKUP($B6,'1'!$C$46:$AE$90,29)</f>
        <v>2.8299999999999996</v>
      </c>
      <c r="G6" s="203" t="str">
        <f>HLOOKUP($B6,'1'!$C$46:$AE$90,30)</f>
        <v>$\phi8@17$</v>
      </c>
      <c r="H6" s="203">
        <f>HLOOKUP($B6,'1'!$C$46:$AE$90,34)</f>
        <v>0.9</v>
      </c>
      <c r="I6" s="203" t="str">
        <f>HLOOKUP($B6,'1'!$C$46:$AE$90,35)</f>
        <v>$\phi8@17$</v>
      </c>
      <c r="J6" s="203">
        <f>HLOOKUP($B6,'1'!$C$46:$AE$90,39)</f>
        <v>5.25</v>
      </c>
      <c r="K6" s="203" t="str">
        <f>HLOOKUP($B6,'1'!$C$46:$AE$90,40)</f>
        <v>$\phi10@15$</v>
      </c>
      <c r="L6" s="203">
        <f>HLOOKUP($B6,'1'!$C$46:$AE$90,44)</f>
        <v>3.96</v>
      </c>
      <c r="M6" s="228" t="str">
        <f>HLOOKUP($B6,'1'!$C$46:$AE$90,45)</f>
        <v>$\phi10@20$</v>
      </c>
      <c r="O6" s="270" t="str">
        <f t="shared" ref="O6:O25" si="0">B6</f>
        <v>102</v>
      </c>
      <c r="P6" s="266" t="str">
        <f>IF(G6='[1]Tabla 1'!G6,"IGUAL","CAMBIO")</f>
        <v>IGUAL</v>
      </c>
      <c r="Q6" s="123" t="str">
        <f>IF(I6='[1]Tabla 1'!I6,"IGUAL","CAMBIO")</f>
        <v>IGUAL</v>
      </c>
      <c r="R6" s="123" t="str">
        <f>IF(K6='[1]Tabla 1'!K6,"IGUAL","CAMBIO")</f>
        <v>IGUAL</v>
      </c>
      <c r="S6" s="217" t="str">
        <f>IF(M6='[1]Tabla 1'!M6,"IGUAL","CAMBIO")</f>
        <v>IGUAL</v>
      </c>
    </row>
    <row r="7" spans="2:19" x14ac:dyDescent="0.25">
      <c r="B7" s="216" t="str">
        <f>'1'!E46</f>
        <v>103</v>
      </c>
      <c r="C7" s="243">
        <f>'1'!$C$4</f>
        <v>16</v>
      </c>
      <c r="D7" s="203">
        <f>'1'!$C$12</f>
        <v>2.88</v>
      </c>
      <c r="E7" s="203">
        <f>HLOOKUP($B7,'1'!$C$46:$AE$90,22)</f>
        <v>1550</v>
      </c>
      <c r="F7" s="203">
        <f>HLOOKUP($B7,'1'!$C$46:$AE$90,29)</f>
        <v>2.8299999999999996</v>
      </c>
      <c r="G7" s="203" t="str">
        <f>HLOOKUP($B7,'1'!$C$46:$AE$90,30)</f>
        <v>$\phi8@17$</v>
      </c>
      <c r="H7" s="203">
        <f>HLOOKUP($B7,'1'!$C$46:$AE$90,34)</f>
        <v>0.9</v>
      </c>
      <c r="I7" s="203" t="str">
        <f>HLOOKUP($B7,'1'!$C$46:$AE$90,35)</f>
        <v>$\phi8@17$</v>
      </c>
      <c r="J7" s="203">
        <f>HLOOKUP($B7,'1'!$C$46:$AE$90,39)</f>
        <v>5.25</v>
      </c>
      <c r="K7" s="203" t="str">
        <f>HLOOKUP($B7,'1'!$C$46:$AE$90,40)</f>
        <v>$\phi10@15$</v>
      </c>
      <c r="L7" s="203">
        <f>HLOOKUP($B7,'1'!$C$46:$AE$90,44)</f>
        <v>3.96</v>
      </c>
      <c r="M7" s="228" t="str">
        <f>HLOOKUP($B7,'1'!$C$46:$AE$90,45)</f>
        <v>$\phi10@20$</v>
      </c>
      <c r="O7" s="270" t="str">
        <f t="shared" si="0"/>
        <v>103</v>
      </c>
      <c r="P7" s="266" t="str">
        <f>IF(G7='[1]Tabla 1'!G7,"IGUAL","CAMBIO")</f>
        <v>IGUAL</v>
      </c>
      <c r="Q7" s="123" t="str">
        <f>IF(I7='[1]Tabla 1'!I7,"IGUAL","CAMBIO")</f>
        <v>IGUAL</v>
      </c>
      <c r="R7" s="123" t="str">
        <f>IF(K7='[1]Tabla 1'!K7,"IGUAL","CAMBIO")</f>
        <v>IGUAL</v>
      </c>
      <c r="S7" s="217" t="str">
        <f>IF(M7='[1]Tabla 1'!M7,"IGUAL","CAMBIO")</f>
        <v>IGUAL</v>
      </c>
    </row>
    <row r="8" spans="2:19" x14ac:dyDescent="0.25">
      <c r="B8" s="216" t="str">
        <f>'1'!F46</f>
        <v>104</v>
      </c>
      <c r="C8" s="243">
        <f>'1'!$C$4</f>
        <v>16</v>
      </c>
      <c r="D8" s="203">
        <f>'1'!$C$12</f>
        <v>2.88</v>
      </c>
      <c r="E8" s="203">
        <f>HLOOKUP($B8,'1'!$C$46:$AE$90,22)</f>
        <v>1550</v>
      </c>
      <c r="F8" s="203">
        <f>HLOOKUP($B8,'1'!$C$46:$AE$90,29)</f>
        <v>3.0199999999999996</v>
      </c>
      <c r="G8" s="203" t="str">
        <f>HLOOKUP($B8,'1'!$C$46:$AE$90,30)</f>
        <v>$\phi8@17$</v>
      </c>
      <c r="H8" s="203">
        <f>HLOOKUP($B8,'1'!$C$46:$AE$90,34)</f>
        <v>0.86</v>
      </c>
      <c r="I8" s="203" t="str">
        <f>HLOOKUP($B8,'1'!$C$46:$AE$90,35)</f>
        <v>$\phi8@17$</v>
      </c>
      <c r="J8" s="203">
        <f>HLOOKUP($B8,'1'!$C$46:$AE$90,39)</f>
        <v>5.55</v>
      </c>
      <c r="K8" s="203" t="str">
        <f>HLOOKUP($B8,'1'!$C$46:$AE$90,40)</f>
        <v>$\phi10@14$</v>
      </c>
      <c r="L8" s="203">
        <f>HLOOKUP($B8,'1'!$C$46:$AE$90,44)</f>
        <v>4.08</v>
      </c>
      <c r="M8" s="228" t="str">
        <f>HLOOKUP($B8,'1'!$C$46:$AE$90,45)</f>
        <v>$\phi10@19$</v>
      </c>
      <c r="O8" s="270" t="str">
        <f t="shared" si="0"/>
        <v>104</v>
      </c>
      <c r="P8" s="266" t="str">
        <f>IF(G8='[1]Tabla 1'!G8,"IGUAL","CAMBIO")</f>
        <v>IGUAL</v>
      </c>
      <c r="Q8" s="123" t="str">
        <f>IF(I8='[1]Tabla 1'!I8,"IGUAL","CAMBIO")</f>
        <v>IGUAL</v>
      </c>
      <c r="R8" s="123" t="str">
        <f>IF(K8='[1]Tabla 1'!K8,"IGUAL","CAMBIO")</f>
        <v>IGUAL</v>
      </c>
      <c r="S8" s="217" t="str">
        <f>IF(M8='[1]Tabla 1'!M8,"IGUAL","CAMBIO")</f>
        <v>IGUAL</v>
      </c>
    </row>
    <row r="9" spans="2:19" x14ac:dyDescent="0.25">
      <c r="B9" s="216" t="str">
        <f>'1'!G46</f>
        <v>105</v>
      </c>
      <c r="C9" s="243">
        <f>'1'!$C$4</f>
        <v>16</v>
      </c>
      <c r="D9" s="203">
        <f>'1'!$C$12</f>
        <v>2.88</v>
      </c>
      <c r="E9" s="203">
        <f>HLOOKUP($B9,'1'!$C$46:$AE$90,22)</f>
        <v>1550</v>
      </c>
      <c r="F9" s="203">
        <f>HLOOKUP($B9,'1'!$C$46:$AE$90,29)</f>
        <v>2.48</v>
      </c>
      <c r="G9" s="203" t="str">
        <f>HLOOKUP($B9,'1'!$C$46:$AE$90,30)</f>
        <v>$\phi8@17$</v>
      </c>
      <c r="H9" s="203">
        <f>HLOOKUP($B9,'1'!$C$46:$AE$90,34)</f>
        <v>1.97</v>
      </c>
      <c r="I9" s="203" t="str">
        <f>HLOOKUP($B9,'1'!$C$46:$AE$90,35)</f>
        <v>$\phi8@17$</v>
      </c>
      <c r="J9" s="203">
        <f>HLOOKUP($B9,'1'!$C$46:$AE$90,39)</f>
        <v>5.42</v>
      </c>
      <c r="K9" s="203" t="str">
        <f>HLOOKUP($B9,'1'!$C$46:$AE$90,40)</f>
        <v>$\phi12@21$</v>
      </c>
      <c r="L9" s="203">
        <f>HLOOKUP($B9,'1'!$C$46:$AE$90,44)</f>
        <v>5.05</v>
      </c>
      <c r="M9" s="228" t="str">
        <f>HLOOKUP($B9,'1'!$C$46:$AE$90,45)</f>
        <v>$\phi12@22$</v>
      </c>
      <c r="O9" s="270" t="str">
        <f t="shared" si="0"/>
        <v>105</v>
      </c>
      <c r="P9" s="266" t="str">
        <f>IF(G9='[1]Tabla 1'!G9,"IGUAL","CAMBIO")</f>
        <v>IGUAL</v>
      </c>
      <c r="Q9" s="123" t="str">
        <f>IF(I9='[1]Tabla 1'!I9,"IGUAL","CAMBIO")</f>
        <v>IGUAL</v>
      </c>
      <c r="R9" s="123" t="str">
        <f>IF(K9='[1]Tabla 1'!K9,"IGUAL","CAMBIO")</f>
        <v>IGUAL</v>
      </c>
      <c r="S9" s="217" t="str">
        <f>IF(M9='[1]Tabla 1'!M9,"IGUAL","CAMBIO")</f>
        <v>IGUAL</v>
      </c>
    </row>
    <row r="10" spans="2:19" x14ac:dyDescent="0.25">
      <c r="B10" s="216" t="str">
        <f>'1'!H46</f>
        <v>106</v>
      </c>
      <c r="C10" s="243">
        <f>'1'!$C$4</f>
        <v>16</v>
      </c>
      <c r="D10" s="203">
        <f>'1'!$C$12</f>
        <v>2.88</v>
      </c>
      <c r="E10" s="203">
        <f>HLOOKUP($B10,'1'!$C$46:$AE$90,22)</f>
        <v>1550</v>
      </c>
      <c r="F10" s="203">
        <f>HLOOKUP($B10,'1'!$C$46:$AE$90,29)</f>
        <v>3.03</v>
      </c>
      <c r="G10" s="203" t="str">
        <f>HLOOKUP($B10,'1'!$C$46:$AE$90,30)</f>
        <v>$\phi8@17$</v>
      </c>
      <c r="H10" s="203">
        <f>HLOOKUP($B10,'1'!$C$46:$AE$90,34)</f>
        <v>1.43</v>
      </c>
      <c r="I10" s="203" t="str">
        <f>HLOOKUP($B10,'1'!$C$46:$AE$90,35)</f>
        <v>$\phi8@17$</v>
      </c>
      <c r="J10" s="203">
        <f>HLOOKUP($B10,'1'!$C$46:$AE$90,39)</f>
        <v>6.12</v>
      </c>
      <c r="K10" s="203" t="str">
        <f>HLOOKUP($B10,'1'!$C$46:$AE$90,40)</f>
        <v>$\phi10@13$</v>
      </c>
      <c r="L10" s="203">
        <f>HLOOKUP($B10,'1'!$C$46:$AE$90,44)</f>
        <v>5.0299999999999994</v>
      </c>
      <c r="M10" s="228" t="str">
        <f>HLOOKUP($B10,'1'!$C$46:$AE$90,45)</f>
        <v>$\phi8@10$</v>
      </c>
      <c r="O10" s="270" t="str">
        <f t="shared" si="0"/>
        <v>106</v>
      </c>
      <c r="P10" s="266" t="str">
        <f>IF(G10='[1]Tabla 1'!G10,"IGUAL","CAMBIO")</f>
        <v>IGUAL</v>
      </c>
      <c r="Q10" s="123" t="str">
        <f>IF(I10='[1]Tabla 1'!I10,"IGUAL","CAMBIO")</f>
        <v>IGUAL</v>
      </c>
      <c r="R10" s="123" t="str">
        <f>IF(K10='[1]Tabla 1'!K10,"IGUAL","CAMBIO")</f>
        <v>IGUAL</v>
      </c>
      <c r="S10" s="217" t="str">
        <f>IF(M10='[1]Tabla 1'!M10,"IGUAL","CAMBIO")</f>
        <v>IGUAL</v>
      </c>
    </row>
    <row r="11" spans="2:19" x14ac:dyDescent="0.25">
      <c r="B11" s="216" t="str">
        <f>'1'!I46</f>
        <v>107</v>
      </c>
      <c r="C11" s="243">
        <f>'1'!$C$4</f>
        <v>16</v>
      </c>
      <c r="D11" s="203">
        <f>'1'!$C$12</f>
        <v>2.88</v>
      </c>
      <c r="E11" s="203">
        <f>HLOOKUP($B11,'1'!$C$46:$AE$90,22)</f>
        <v>1550</v>
      </c>
      <c r="F11" s="203">
        <f>HLOOKUP($B11,'1'!$C$46:$AE$90,29)</f>
        <v>3.03</v>
      </c>
      <c r="G11" s="203" t="str">
        <f>HLOOKUP($B11,'1'!$C$46:$AE$90,30)</f>
        <v>$\phi8@17$</v>
      </c>
      <c r="H11" s="203">
        <f>HLOOKUP($B11,'1'!$C$46:$AE$90,34)</f>
        <v>1.43</v>
      </c>
      <c r="I11" s="203" t="str">
        <f>HLOOKUP($B11,'1'!$C$46:$AE$90,35)</f>
        <v>$\phi8@17$</v>
      </c>
      <c r="J11" s="203">
        <f>HLOOKUP($B11,'1'!$C$46:$AE$90,39)</f>
        <v>6.12</v>
      </c>
      <c r="K11" s="203" t="str">
        <f>HLOOKUP($B11,'1'!$C$46:$AE$90,40)</f>
        <v>$\phi10@13$</v>
      </c>
      <c r="L11" s="203">
        <f>HLOOKUP($B11,'1'!$C$46:$AE$90,44)</f>
        <v>5.0299999999999994</v>
      </c>
      <c r="M11" s="228" t="str">
        <f>HLOOKUP($B11,'1'!$C$46:$AE$90,45)</f>
        <v>$\phi8@10$</v>
      </c>
      <c r="O11" s="270" t="str">
        <f t="shared" si="0"/>
        <v>107</v>
      </c>
      <c r="P11" s="266" t="str">
        <f>IF(G11='[1]Tabla 1'!G11,"IGUAL","CAMBIO")</f>
        <v>IGUAL</v>
      </c>
      <c r="Q11" s="123" t="str">
        <f>IF(I11='[1]Tabla 1'!I11,"IGUAL","CAMBIO")</f>
        <v>IGUAL</v>
      </c>
      <c r="R11" s="123" t="str">
        <f>IF(K11='[1]Tabla 1'!K11,"IGUAL","CAMBIO")</f>
        <v>IGUAL</v>
      </c>
      <c r="S11" s="217" t="str">
        <f>IF(M11='[1]Tabla 1'!M11,"IGUAL","CAMBIO")</f>
        <v>IGUAL</v>
      </c>
    </row>
    <row r="12" spans="2:19" x14ac:dyDescent="0.25">
      <c r="B12" s="216" t="str">
        <f>'1'!J46</f>
        <v>108</v>
      </c>
      <c r="C12" s="243">
        <f>'1'!$C$4</f>
        <v>16</v>
      </c>
      <c r="D12" s="203">
        <f>'1'!$C$12</f>
        <v>2.88</v>
      </c>
      <c r="E12" s="203">
        <f>HLOOKUP($B12,'1'!$C$46:$AE$90,22)</f>
        <v>1550</v>
      </c>
      <c r="F12" s="203">
        <f>HLOOKUP($B12,'1'!$C$46:$AE$90,29)</f>
        <v>3.44</v>
      </c>
      <c r="G12" s="203" t="str">
        <f>HLOOKUP($B12,'1'!$C$46:$AE$90,30)</f>
        <v>$\phi10@23$</v>
      </c>
      <c r="H12" s="203">
        <f>HLOOKUP($B12,'1'!$C$46:$AE$90,34)</f>
        <v>1.0900000000000001</v>
      </c>
      <c r="I12" s="203" t="str">
        <f>HLOOKUP($B12,'1'!$C$46:$AE$90,35)</f>
        <v>$\phi8@17$</v>
      </c>
      <c r="J12" s="203">
        <f>HLOOKUP($B12,'1'!$C$46:$AE$90,39)</f>
        <v>6.37</v>
      </c>
      <c r="K12" s="203" t="str">
        <f>HLOOKUP($B12,'1'!$C$46:$AE$90,40)</f>
        <v>$\phi12@18$</v>
      </c>
      <c r="L12" s="203">
        <f>HLOOKUP($B12,'1'!$C$46:$AE$90,44)</f>
        <v>4.8099999999999996</v>
      </c>
      <c r="M12" s="228" t="str">
        <f>HLOOKUP($B12,'1'!$C$46:$AE$90,45)</f>
        <v>$\phi12@24$</v>
      </c>
      <c r="O12" s="270" t="str">
        <f t="shared" si="0"/>
        <v>108</v>
      </c>
      <c r="P12" s="266" t="str">
        <f>IF(G12='[1]Tabla 1'!G12,"IGUAL","CAMBIO")</f>
        <v>CAMBIO</v>
      </c>
      <c r="Q12" s="123" t="str">
        <f>IF(I12='[1]Tabla 1'!I12,"IGUAL","CAMBIO")</f>
        <v>IGUAL</v>
      </c>
      <c r="R12" s="123" t="str">
        <f>IF(K12='[1]Tabla 1'!K12,"IGUAL","CAMBIO")</f>
        <v>IGUAL</v>
      </c>
      <c r="S12" s="217" t="str">
        <f>IF(M12='[1]Tabla 1'!M12,"IGUAL","CAMBIO")</f>
        <v>IGUAL</v>
      </c>
    </row>
    <row r="13" spans="2:19" x14ac:dyDescent="0.25">
      <c r="B13" s="216" t="str">
        <f>'1'!K46</f>
        <v>109</v>
      </c>
      <c r="C13" s="243">
        <f>'1'!$C$4</f>
        <v>16</v>
      </c>
      <c r="D13" s="203">
        <f>'1'!$C$12</f>
        <v>2.88</v>
      </c>
      <c r="E13" s="203">
        <f>HLOOKUP($B13,'1'!$C$46:$AE$90,22)</f>
        <v>1550</v>
      </c>
      <c r="F13" s="203">
        <f>HLOOKUP($B13,'1'!$C$46:$AE$90,29)</f>
        <v>1.92</v>
      </c>
      <c r="G13" s="203" t="str">
        <f>HLOOKUP($B13,'1'!$C$46:$AE$90,30)</f>
        <v>$\phi8@17$</v>
      </c>
      <c r="H13" s="203">
        <f>HLOOKUP($B13,'1'!$C$46:$AE$90,34)</f>
        <v>1.26</v>
      </c>
      <c r="I13" s="203" t="str">
        <f>HLOOKUP($B13,'1'!$C$46:$AE$90,35)</f>
        <v>$\phi8@17$</v>
      </c>
      <c r="J13" s="203">
        <f>HLOOKUP($B13,'1'!$C$46:$AE$90,39)</f>
        <v>4.5</v>
      </c>
      <c r="K13" s="203" t="str">
        <f>HLOOKUP($B13,'1'!$C$46:$AE$90,40)</f>
        <v>$\phi8@11$</v>
      </c>
      <c r="L13" s="203">
        <f>HLOOKUP($B13,'1'!$C$46:$AE$90,44)</f>
        <v>4.1099999999999994</v>
      </c>
      <c r="M13" s="228" t="str">
        <f>HLOOKUP($B13,'1'!$C$46:$AE$90,45)</f>
        <v>$\phi8@12$</v>
      </c>
      <c r="O13" s="270" t="str">
        <f t="shared" si="0"/>
        <v>109</v>
      </c>
      <c r="P13" s="266" t="str">
        <f>IF(G13='[1]Tabla 1'!G13,"IGUAL","CAMBIO")</f>
        <v>IGUAL</v>
      </c>
      <c r="Q13" s="123" t="str">
        <f>IF(I13='[1]Tabla 1'!I13,"IGUAL","CAMBIO")</f>
        <v>IGUAL</v>
      </c>
      <c r="R13" s="123" t="str">
        <f>IF(K13='[1]Tabla 1'!K13,"IGUAL","CAMBIO")</f>
        <v>IGUAL</v>
      </c>
      <c r="S13" s="217" t="str">
        <f>IF(M13='[1]Tabla 1'!M13,"IGUAL","CAMBIO")</f>
        <v>IGUAL</v>
      </c>
    </row>
    <row r="14" spans="2:19" x14ac:dyDescent="0.25">
      <c r="B14" s="216" t="str">
        <f>'1'!L46</f>
        <v>110</v>
      </c>
      <c r="C14" s="243">
        <f>'1'!$C$4</f>
        <v>16</v>
      </c>
      <c r="D14" s="203">
        <f>'1'!$C$12</f>
        <v>2.88</v>
      </c>
      <c r="E14" s="203">
        <f>HLOOKUP($B14,'1'!$C$46:$AE$90,22)</f>
        <v>1390</v>
      </c>
      <c r="F14" s="203">
        <f>HLOOKUP($B14,'1'!$C$46:$AE$90,29)</f>
        <v>1.74</v>
      </c>
      <c r="G14" s="203" t="str">
        <f>HLOOKUP($B14,'1'!$C$46:$AE$90,30)</f>
        <v>$\phi8@17$</v>
      </c>
      <c r="H14" s="203">
        <f>HLOOKUP($B14,'1'!$C$46:$AE$90,34)</f>
        <v>0.83</v>
      </c>
      <c r="I14" s="203" t="str">
        <f>HLOOKUP($B14,'1'!$C$46:$AE$90,35)</f>
        <v>$\phi8@17$</v>
      </c>
      <c r="J14" s="203">
        <f>HLOOKUP($B14,'1'!$C$46:$AE$90,39)</f>
        <v>3.5799999999999996</v>
      </c>
      <c r="K14" s="203" t="str">
        <f>HLOOKUP($B14,'1'!$C$46:$AE$90,40)</f>
        <v>$\phi8@14$</v>
      </c>
      <c r="L14" s="203">
        <f>HLOOKUP($B14,'1'!$C$46:$AE$90,44)</f>
        <v>2.94</v>
      </c>
      <c r="M14" s="228" t="str">
        <f>HLOOKUP($B14,'1'!$C$46:$AE$90,45)</f>
        <v>$\phi8@17$</v>
      </c>
      <c r="O14" s="270" t="str">
        <f t="shared" si="0"/>
        <v>110</v>
      </c>
      <c r="P14" s="266" t="str">
        <f>IF(G14='[1]Tabla 1'!G14,"IGUAL","CAMBIO")</f>
        <v>IGUAL</v>
      </c>
      <c r="Q14" s="123" t="str">
        <f>IF(I14='[1]Tabla 1'!I14,"IGUAL","CAMBIO")</f>
        <v>IGUAL</v>
      </c>
      <c r="R14" s="123" t="str">
        <f>IF(K14='[1]Tabla 1'!K14,"IGUAL","CAMBIO")</f>
        <v>IGUAL</v>
      </c>
      <c r="S14" s="217" t="str">
        <f>IF(M14='[1]Tabla 1'!M14,"IGUAL","CAMBIO")</f>
        <v>IGUAL</v>
      </c>
    </row>
    <row r="15" spans="2:19" x14ac:dyDescent="0.25">
      <c r="B15" s="216" t="str">
        <f>'1'!M46</f>
        <v>111</v>
      </c>
      <c r="C15" s="243">
        <f>'1'!$C$4</f>
        <v>16</v>
      </c>
      <c r="D15" s="203">
        <f>'1'!$C$12</f>
        <v>2.88</v>
      </c>
      <c r="E15" s="203">
        <f>HLOOKUP($B15,'1'!$C$46:$AE$90,22)</f>
        <v>1550</v>
      </c>
      <c r="F15" s="203">
        <f>HLOOKUP($B15,'1'!$C$46:$AE$90,29)</f>
        <v>1.98</v>
      </c>
      <c r="G15" s="203" t="str">
        <f>HLOOKUP($B15,'1'!$C$46:$AE$90,30)</f>
        <v>$\phi8@17$</v>
      </c>
      <c r="H15" s="203">
        <f>HLOOKUP($B15,'1'!$C$46:$AE$90,34)</f>
        <v>0.94000000000000006</v>
      </c>
      <c r="I15" s="203" t="str">
        <f>HLOOKUP($B15,'1'!$C$46:$AE$90,35)</f>
        <v>$\phi8@17$</v>
      </c>
      <c r="J15" s="203">
        <f>HLOOKUP($B15,'1'!$C$46:$AE$90,39)</f>
        <v>3.9899999999999998</v>
      </c>
      <c r="K15" s="203" t="str">
        <f>HLOOKUP($B15,'1'!$C$46:$AE$90,40)</f>
        <v>$\phi10@20$</v>
      </c>
      <c r="L15" s="203">
        <f>HLOOKUP($B15,'1'!$C$46:$AE$90,44)</f>
        <v>3.28</v>
      </c>
      <c r="M15" s="228" t="str">
        <f>HLOOKUP($B15,'1'!$C$46:$AE$90,45)</f>
        <v>$\phi8@15$</v>
      </c>
      <c r="O15" s="270" t="str">
        <f t="shared" si="0"/>
        <v>111</v>
      </c>
      <c r="P15" s="266" t="str">
        <f>IF(G15='[1]Tabla 1'!G15,"IGUAL","CAMBIO")</f>
        <v>IGUAL</v>
      </c>
      <c r="Q15" s="123" t="str">
        <f>IF(I15='[1]Tabla 1'!I15,"IGUAL","CAMBIO")</f>
        <v>IGUAL</v>
      </c>
      <c r="R15" s="123" t="str">
        <f>IF(K15='[1]Tabla 1'!K15,"IGUAL","CAMBIO")</f>
        <v>IGUAL</v>
      </c>
      <c r="S15" s="217" t="str">
        <f>IF(M15='[1]Tabla 1'!M15,"IGUAL","CAMBIO")</f>
        <v>IGUAL</v>
      </c>
    </row>
    <row r="16" spans="2:19" x14ac:dyDescent="0.25">
      <c r="B16" s="216" t="str">
        <f>'1'!N46</f>
        <v>112</v>
      </c>
      <c r="C16" s="243">
        <f>'1'!$C$4</f>
        <v>16</v>
      </c>
      <c r="D16" s="203">
        <f>'1'!$C$12</f>
        <v>2.88</v>
      </c>
      <c r="E16" s="203">
        <f>HLOOKUP($B16,'1'!$C$46:$AE$90,22)</f>
        <v>1550</v>
      </c>
      <c r="F16" s="203">
        <f>HLOOKUP($B16,'1'!$C$46:$AE$90,29)</f>
        <v>4.3999999999999995</v>
      </c>
      <c r="G16" s="203" t="str">
        <f>HLOOKUP($B16,'1'!$C$46:$AE$90,30)</f>
        <v>$\phi10@18$</v>
      </c>
      <c r="H16" s="203">
        <f>HLOOKUP($B16,'1'!$C$46:$AE$90,34)</f>
        <v>1.25</v>
      </c>
      <c r="I16" s="203" t="str">
        <f>HLOOKUP($B16,'1'!$C$46:$AE$90,35)</f>
        <v>$\phi8@17$</v>
      </c>
      <c r="J16" s="203">
        <f>HLOOKUP($B16,'1'!$C$46:$AE$90,39)</f>
        <v>8.09</v>
      </c>
      <c r="K16" s="203" t="str">
        <f>HLOOKUP($B16,'1'!$C$46:$AE$90,40)</f>
        <v>$\phi12@14$</v>
      </c>
      <c r="L16" s="203">
        <f>HLOOKUP($B16,'1'!$C$46:$AE$90,44)</f>
        <v>5.9399999999999995</v>
      </c>
      <c r="M16" s="228" t="str">
        <f>HLOOKUP($B16,'1'!$C$46:$AE$90,45)</f>
        <v>$\phi12@19$</v>
      </c>
      <c r="O16" s="270" t="str">
        <f t="shared" si="0"/>
        <v>112</v>
      </c>
      <c r="P16" s="266" t="str">
        <f>IF(G16='[1]Tabla 1'!G16,"IGUAL","CAMBIO")</f>
        <v>CAMBIO</v>
      </c>
      <c r="Q16" s="123" t="str">
        <f>IF(I16='[1]Tabla 1'!I16,"IGUAL","CAMBIO")</f>
        <v>IGUAL</v>
      </c>
      <c r="R16" s="123" t="str">
        <f>IF(K16='[1]Tabla 1'!K16,"IGUAL","CAMBIO")</f>
        <v>IGUAL</v>
      </c>
      <c r="S16" s="217" t="str">
        <f>IF(M16='[1]Tabla 1'!M16,"IGUAL","CAMBIO")</f>
        <v>IGUAL</v>
      </c>
    </row>
    <row r="17" spans="2:19" x14ac:dyDescent="0.25">
      <c r="B17" s="216" t="str">
        <f>'1'!$O$46</f>
        <v>113</v>
      </c>
      <c r="C17" s="243">
        <f>'1'!$C$4</f>
        <v>16</v>
      </c>
      <c r="D17" s="203">
        <f>'1'!$C$12</f>
        <v>2.88</v>
      </c>
      <c r="E17" s="203">
        <f>HLOOKUP($B17,'1'!$C$46:$AE$90,22)</f>
        <v>1390</v>
      </c>
      <c r="F17" s="203">
        <f>HLOOKUP($B17,'1'!$C$46:$AE$90,29)</f>
        <v>0.52</v>
      </c>
      <c r="G17" s="203" t="str">
        <f>HLOOKUP($B17,'1'!$C$46:$AE$90,30)</f>
        <v>$\phi8@17$</v>
      </c>
      <c r="H17" s="203">
        <f>HLOOKUP($B17,'1'!$C$46:$AE$90,34)</f>
        <v>0.22</v>
      </c>
      <c r="I17" s="203" t="str">
        <f>HLOOKUP($B17,'1'!$C$46:$AE$90,35)</f>
        <v>$\phi8@17$</v>
      </c>
      <c r="J17" s="203">
        <f>HLOOKUP($B17,'1'!$C$46:$AE$90,39)</f>
        <v>1.02</v>
      </c>
      <c r="K17" s="203" t="str">
        <f>HLOOKUP($B17,'1'!$C$46:$AE$90,40)</f>
        <v>$\phi8@17$</v>
      </c>
      <c r="L17" s="203">
        <f>HLOOKUP($B17,'1'!$C$46:$AE$90,44)</f>
        <v>0.79</v>
      </c>
      <c r="M17" s="228" t="str">
        <f>HLOOKUP($B17,'1'!$C$46:$AE$90,45)</f>
        <v>$\phi8@17$</v>
      </c>
      <c r="O17" s="270" t="str">
        <f t="shared" si="0"/>
        <v>113</v>
      </c>
      <c r="P17" s="266" t="str">
        <f>IF(G17='[1]Tabla 1'!G17,"IGUAL","CAMBIO")</f>
        <v>IGUAL</v>
      </c>
      <c r="Q17" s="123" t="str">
        <f>IF(I17='[1]Tabla 1'!I17,"IGUAL","CAMBIO")</f>
        <v>IGUAL</v>
      </c>
      <c r="R17" s="123" t="str">
        <f>IF(K17='[1]Tabla 1'!K17,"IGUAL","CAMBIO")</f>
        <v>IGUAL</v>
      </c>
      <c r="S17" s="217" t="str">
        <f>IF(M17='[1]Tabla 1'!M17,"IGUAL","CAMBIO")</f>
        <v>IGUAL</v>
      </c>
    </row>
    <row r="18" spans="2:19" x14ac:dyDescent="0.25">
      <c r="B18" s="216" t="str">
        <f>'1'!$P$46</f>
        <v>114</v>
      </c>
      <c r="C18" s="243">
        <f>'1'!$C$4</f>
        <v>16</v>
      </c>
      <c r="D18" s="203">
        <f>'1'!$C$12</f>
        <v>2.88</v>
      </c>
      <c r="E18" s="203">
        <f>HLOOKUP($B18,'1'!$C$46:$AE$90,22)</f>
        <v>1390</v>
      </c>
      <c r="F18" s="203">
        <f>HLOOKUP($B18,'1'!$C$46:$AE$90,29)</f>
        <v>0.3</v>
      </c>
      <c r="G18" s="203" t="str">
        <f>HLOOKUP($B18,'1'!$C$46:$AE$90,30)</f>
        <v>$\phi8@17$</v>
      </c>
      <c r="H18" s="203">
        <f>HLOOKUP($B18,'1'!$C$46:$AE$90,34)</f>
        <v>0</v>
      </c>
      <c r="I18" s="203" t="str">
        <f>HLOOKUP($B18,'1'!$C$46:$AE$90,35)</f>
        <v>$\phi8@17$</v>
      </c>
      <c r="J18" s="203">
        <f>HLOOKUP($B18,'1'!$C$46:$AE$90,39)</f>
        <v>0.43</v>
      </c>
      <c r="K18" s="203" t="str">
        <f>HLOOKUP($B18,'1'!$C$46:$AE$90,40)</f>
        <v>$\phi8@17$</v>
      </c>
      <c r="L18" s="203">
        <f>HLOOKUP($B18,'1'!$C$46:$AE$90,44)</f>
        <v>0.29000000000000004</v>
      </c>
      <c r="M18" s="228" t="str">
        <f>HLOOKUP($B18,'1'!$C$46:$AE$90,45)</f>
        <v>$\phi8@17$</v>
      </c>
      <c r="O18" s="270" t="str">
        <f t="shared" si="0"/>
        <v>114</v>
      </c>
      <c r="P18" s="266" t="str">
        <f>IF(G18='[1]Tabla 1'!G18,"IGUAL","CAMBIO")</f>
        <v>IGUAL</v>
      </c>
      <c r="Q18" s="123" t="str">
        <f>IF(I18='[1]Tabla 1'!I18,"IGUAL","CAMBIO")</f>
        <v>IGUAL</v>
      </c>
      <c r="R18" s="123" t="str">
        <f>IF(K18='[1]Tabla 1'!K18,"IGUAL","CAMBIO")</f>
        <v>IGUAL</v>
      </c>
      <c r="S18" s="217" t="str">
        <f>IF(M18='[1]Tabla 1'!M18,"IGUAL","CAMBIO")</f>
        <v>IGUAL</v>
      </c>
    </row>
    <row r="19" spans="2:19" x14ac:dyDescent="0.25">
      <c r="B19" s="216" t="str">
        <f>'1'!$Q$46</f>
        <v>115</v>
      </c>
      <c r="C19" s="243">
        <f>'1'!$C$4</f>
        <v>16</v>
      </c>
      <c r="D19" s="203">
        <f>'1'!$C$12</f>
        <v>2.88</v>
      </c>
      <c r="E19" s="203">
        <f>HLOOKUP($B19,'1'!$C$46:$AE$90,22)</f>
        <v>1390</v>
      </c>
      <c r="F19" s="203">
        <f>HLOOKUP($B19,'1'!$C$46:$AE$90,29)</f>
        <v>1.28</v>
      </c>
      <c r="G19" s="203" t="str">
        <f>HLOOKUP($B19,'1'!$C$46:$AE$90,30)</f>
        <v>$\phi8@17$</v>
      </c>
      <c r="H19" s="203">
        <f>HLOOKUP($B19,'1'!$C$46:$AE$90,34)</f>
        <v>0</v>
      </c>
      <c r="I19" s="203" t="str">
        <f>HLOOKUP($B19,'1'!$C$46:$AE$90,35)</f>
        <v>$\phi8@17$</v>
      </c>
      <c r="J19" s="203">
        <f>HLOOKUP($B19,'1'!$C$46:$AE$90,39)</f>
        <v>1.81</v>
      </c>
      <c r="K19" s="203" t="str">
        <f>HLOOKUP($B19,'1'!$C$46:$AE$90,40)</f>
        <v>$\phi8@17$</v>
      </c>
      <c r="L19" s="203">
        <f>HLOOKUP($B19,'1'!$C$46:$AE$90,44)</f>
        <v>1.24</v>
      </c>
      <c r="M19" s="228" t="str">
        <f>HLOOKUP($B19,'1'!$C$46:$AE$90,45)</f>
        <v>$\phi8@17$</v>
      </c>
      <c r="O19" s="270" t="str">
        <f t="shared" si="0"/>
        <v>115</v>
      </c>
      <c r="P19" s="266" t="str">
        <f>IF(G19='[1]Tabla 1'!G19,"IGUAL","CAMBIO")</f>
        <v>IGUAL</v>
      </c>
      <c r="Q19" s="123" t="str">
        <f>IF(I19='[1]Tabla 1'!I19,"IGUAL","CAMBIO")</f>
        <v>IGUAL</v>
      </c>
      <c r="R19" s="123" t="str">
        <f>IF(K19='[1]Tabla 1'!K19,"IGUAL","CAMBIO")</f>
        <v>IGUAL</v>
      </c>
      <c r="S19" s="217" t="str">
        <f>IF(M19='[1]Tabla 1'!M19,"IGUAL","CAMBIO")</f>
        <v>IGUAL</v>
      </c>
    </row>
    <row r="20" spans="2:19" x14ac:dyDescent="0.25">
      <c r="B20" s="216" t="str">
        <f>'1'!$R$46</f>
        <v>116</v>
      </c>
      <c r="C20" s="243">
        <f>'1'!$C$4</f>
        <v>16</v>
      </c>
      <c r="D20" s="203">
        <f>'1'!$C$12</f>
        <v>2.88</v>
      </c>
      <c r="E20" s="203">
        <f>HLOOKUP($B20,'1'!$C$46:$AE$90,22)</f>
        <v>1070</v>
      </c>
      <c r="F20" s="203">
        <f>HLOOKUP($B20,'1'!$C$46:$AE$90,29)</f>
        <v>1.08</v>
      </c>
      <c r="G20" s="203" t="str">
        <f>HLOOKUP($B20,'1'!$C$46:$AE$90,30)</f>
        <v>$\phi8@17$</v>
      </c>
      <c r="H20" s="203">
        <f>HLOOKUP($B20,'1'!$C$46:$AE$90,34)</f>
        <v>0.83</v>
      </c>
      <c r="I20" s="203" t="str">
        <f>HLOOKUP($B20,'1'!$C$46:$AE$90,35)</f>
        <v>$\phi8@17$</v>
      </c>
      <c r="J20" s="203">
        <f>HLOOKUP($B20,'1'!$C$46:$AE$90,39)</f>
        <v>2.6599999999999997</v>
      </c>
      <c r="K20" s="203" t="str">
        <f>HLOOKUP($B20,'1'!$C$46:$AE$90,40)</f>
        <v>$\phi8@17$</v>
      </c>
      <c r="L20" s="203">
        <f>HLOOKUP($B20,'1'!$C$46:$AE$90,44)</f>
        <v>2.46</v>
      </c>
      <c r="M20" s="228" t="str">
        <f>HLOOKUP($B20,'1'!$C$46:$AE$90,45)</f>
        <v>$\phi8@17$</v>
      </c>
      <c r="O20" s="270" t="str">
        <f t="shared" si="0"/>
        <v>116</v>
      </c>
      <c r="P20" s="266" t="str">
        <f>IF(G20='[1]Tabla 1'!G20,"IGUAL","CAMBIO")</f>
        <v>IGUAL</v>
      </c>
      <c r="Q20" s="123" t="str">
        <f>IF(I20='[1]Tabla 1'!I20,"IGUAL","CAMBIO")</f>
        <v>IGUAL</v>
      </c>
      <c r="R20" s="123" t="str">
        <f>IF(K20='[1]Tabla 1'!K20,"IGUAL","CAMBIO")</f>
        <v>IGUAL</v>
      </c>
      <c r="S20" s="217" t="str">
        <f>IF(M20='[1]Tabla 1'!M20,"IGUAL","CAMBIO")</f>
        <v>IGUAL</v>
      </c>
    </row>
    <row r="21" spans="2:19" x14ac:dyDescent="0.25">
      <c r="B21" s="216" t="str">
        <f>'1'!$S$46</f>
        <v>117</v>
      </c>
      <c r="C21" s="243">
        <f>'1'!$C$4</f>
        <v>16</v>
      </c>
      <c r="D21" s="203">
        <f>'1'!$C$12</f>
        <v>2.88</v>
      </c>
      <c r="E21" s="203">
        <f>HLOOKUP($B21,'1'!$C$46:$AE$90,22)</f>
        <v>1070</v>
      </c>
      <c r="F21" s="203">
        <f>HLOOKUP($B21,'1'!$C$46:$AE$90,29)</f>
        <v>1.76</v>
      </c>
      <c r="G21" s="203" t="str">
        <f>HLOOKUP($B21,'1'!$C$46:$AE$90,30)</f>
        <v>$\phi8@17$</v>
      </c>
      <c r="H21" s="203">
        <f>HLOOKUP($B21,'1'!$C$46:$AE$90,34)</f>
        <v>1.05</v>
      </c>
      <c r="I21" s="203" t="str">
        <f>HLOOKUP($B21,'1'!$C$46:$AE$90,35)</f>
        <v>$\phi8@17$</v>
      </c>
      <c r="J21" s="203">
        <f>HLOOKUP($B21,'1'!$C$46:$AE$90,39)</f>
        <v>4.04</v>
      </c>
      <c r="K21" s="203" t="str">
        <f>HLOOKUP($B21,'1'!$C$46:$AE$90,40)</f>
        <v>$\phi10@19$</v>
      </c>
      <c r="L21" s="203">
        <f>HLOOKUP($B21,'1'!$C$46:$AE$90,44)</f>
        <v>3.5</v>
      </c>
      <c r="M21" s="228" t="str">
        <f>HLOOKUP($B21,'1'!$C$46:$AE$90,45)</f>
        <v>$\phi8@14$</v>
      </c>
      <c r="O21" s="270" t="str">
        <f t="shared" si="0"/>
        <v>117</v>
      </c>
      <c r="P21" s="266" t="str">
        <f>IF(G21='[1]Tabla 1'!G21,"IGUAL","CAMBIO")</f>
        <v>IGUAL</v>
      </c>
      <c r="Q21" s="123" t="str">
        <f>IF(I21='[1]Tabla 1'!I21,"IGUAL","CAMBIO")</f>
        <v>IGUAL</v>
      </c>
      <c r="R21" s="123" t="str">
        <f>IF(K21='[1]Tabla 1'!K21,"IGUAL","CAMBIO")</f>
        <v>IGUAL</v>
      </c>
      <c r="S21" s="217" t="str">
        <f>IF(M21='[1]Tabla 1'!M21,"IGUAL","CAMBIO")</f>
        <v>IGUAL</v>
      </c>
    </row>
    <row r="22" spans="2:19" x14ac:dyDescent="0.25">
      <c r="B22" s="216" t="str">
        <f>'1'!T46</f>
        <v>118</v>
      </c>
      <c r="C22" s="243">
        <f>'1'!$C$4</f>
        <v>16</v>
      </c>
      <c r="D22" s="203">
        <f>'1'!$C$12</f>
        <v>2.88</v>
      </c>
      <c r="E22" s="203">
        <f>HLOOKUP($B22,'1'!$C$46:$AE$90,22)</f>
        <v>1230</v>
      </c>
      <c r="F22" s="203">
        <f>HLOOKUP($B22,'1'!$C$46:$AE$90,29)</f>
        <v>0.35000000000000003</v>
      </c>
      <c r="G22" s="203" t="str">
        <f>HLOOKUP($B22,'1'!$C$46:$AE$90,30)</f>
        <v>$\phi8@17$</v>
      </c>
      <c r="H22" s="203">
        <f>HLOOKUP($B22,'1'!$C$46:$AE$90,34)</f>
        <v>0</v>
      </c>
      <c r="I22" s="203" t="str">
        <f>HLOOKUP($B22,'1'!$C$46:$AE$90,35)</f>
        <v>$\phi8@17$</v>
      </c>
      <c r="J22" s="203">
        <f>HLOOKUP($B22,'1'!$C$46:$AE$90,39)</f>
        <v>0.52</v>
      </c>
      <c r="K22" s="203" t="str">
        <f>HLOOKUP($B22,'1'!$C$46:$AE$90,40)</f>
        <v>$\phi8@17$</v>
      </c>
      <c r="L22" s="203">
        <f>HLOOKUP($B22,'1'!$C$46:$AE$90,44)</f>
        <v>0.37</v>
      </c>
      <c r="M22" s="228" t="str">
        <f>HLOOKUP($B22,'1'!$C$46:$AE$90,45)</f>
        <v>$\phi8@17$</v>
      </c>
      <c r="O22" s="270" t="str">
        <f t="shared" si="0"/>
        <v>118</v>
      </c>
      <c r="P22" s="266" t="str">
        <f>IF(G22='[1]Tabla 1'!G22,"IGUAL","CAMBIO")</f>
        <v>IGUAL</v>
      </c>
      <c r="Q22" s="123" t="str">
        <f>IF(I22='[1]Tabla 1'!I22,"IGUAL","CAMBIO")</f>
        <v>IGUAL</v>
      </c>
      <c r="R22" s="123" t="str">
        <f>IF(K22='[1]Tabla 1'!K22,"IGUAL","CAMBIO")</f>
        <v>IGUAL</v>
      </c>
      <c r="S22" s="217" t="str">
        <f>IF(M22='[1]Tabla 1'!M22,"IGUAL","CAMBIO")</f>
        <v>IGUAL</v>
      </c>
    </row>
    <row r="23" spans="2:19" x14ac:dyDescent="0.25">
      <c r="B23" s="216" t="str">
        <f>'1'!$U$46</f>
        <v>119</v>
      </c>
      <c r="C23" s="243">
        <f>'1'!$C$4</f>
        <v>16</v>
      </c>
      <c r="D23" s="203">
        <f>'1'!$C$12</f>
        <v>2.88</v>
      </c>
      <c r="E23" s="203">
        <f>HLOOKUP($B23,'1'!$C$46:$AE$90,22)</f>
        <v>1390</v>
      </c>
      <c r="F23" s="203">
        <f>HLOOKUP($B23,'1'!$C$46:$AE$90,29)</f>
        <v>0.65</v>
      </c>
      <c r="G23" s="203" t="str">
        <f>HLOOKUP($B23,'1'!$C$46:$AE$90,30)</f>
        <v>$\phi8@17$</v>
      </c>
      <c r="H23" s="203">
        <f>HLOOKUP($B23,'1'!$C$46:$AE$90,34)</f>
        <v>0.12</v>
      </c>
      <c r="I23" s="203" t="str">
        <f>HLOOKUP($B23,'1'!$C$46:$AE$90,35)</f>
        <v>$\phi8@17$</v>
      </c>
      <c r="J23" s="203">
        <f>HLOOKUP($B23,'1'!$C$46:$AE$90,39)</f>
        <v>1.25</v>
      </c>
      <c r="K23" s="203" t="str">
        <f>HLOOKUP($B23,'1'!$C$46:$AE$90,40)</f>
        <v>$\phi8@17$</v>
      </c>
      <c r="L23" s="203">
        <f>HLOOKUP($B23,'1'!$C$46:$AE$90,44)</f>
        <v>0.89</v>
      </c>
      <c r="M23" s="228" t="str">
        <f>HLOOKUP($B23,'1'!$C$46:$AE$90,45)</f>
        <v>$\phi8@17$</v>
      </c>
      <c r="O23" s="270" t="str">
        <f t="shared" si="0"/>
        <v>119</v>
      </c>
      <c r="P23" s="266" t="str">
        <f>IF(G23='[1]Tabla 1'!G23,"IGUAL","CAMBIO")</f>
        <v>IGUAL</v>
      </c>
      <c r="Q23" s="123" t="str">
        <f>IF(I23='[1]Tabla 1'!I23,"IGUAL","CAMBIO")</f>
        <v>IGUAL</v>
      </c>
      <c r="R23" s="123" t="str">
        <f>IF(K23='[1]Tabla 1'!K23,"IGUAL","CAMBIO")</f>
        <v>IGUAL</v>
      </c>
      <c r="S23" s="217" t="str">
        <f>IF(M23='[1]Tabla 1'!M23,"IGUAL","CAMBIO")</f>
        <v>IGUAL</v>
      </c>
    </row>
    <row r="24" spans="2:19" x14ac:dyDescent="0.25">
      <c r="B24" s="216" t="str">
        <f>'1'!$V$46</f>
        <v>120</v>
      </c>
      <c r="C24" s="243">
        <f>'1'!$C$4</f>
        <v>16</v>
      </c>
      <c r="D24" s="203">
        <f>'1'!$C$12</f>
        <v>2.88</v>
      </c>
      <c r="E24" s="203">
        <f>HLOOKUP($B24,'1'!$C$46:$AE$90,22)</f>
        <v>1390</v>
      </c>
      <c r="F24" s="203">
        <f>HLOOKUP($B24,'1'!$C$46:$AE$90,29)</f>
        <v>0.64</v>
      </c>
      <c r="G24" s="203" t="str">
        <f>HLOOKUP($B24,'1'!$C$46:$AE$90,30)</f>
        <v>$\phi8@17$</v>
      </c>
      <c r="H24" s="203">
        <f>HLOOKUP($B24,'1'!$C$46:$AE$90,34)</f>
        <v>0.17</v>
      </c>
      <c r="I24" s="203" t="str">
        <f>HLOOKUP($B24,'1'!$C$46:$AE$90,35)</f>
        <v>$\phi8@17$</v>
      </c>
      <c r="J24" s="203">
        <f>HLOOKUP($B24,'1'!$C$46:$AE$90,39)</f>
        <v>1.17</v>
      </c>
      <c r="K24" s="203" t="str">
        <f>HLOOKUP($B24,'1'!$C$46:$AE$90,40)</f>
        <v>$\phi8@17$</v>
      </c>
      <c r="L24" s="203">
        <f>HLOOKUP($B24,'1'!$C$46:$AE$90,44)</f>
        <v>0.82000000000000006</v>
      </c>
      <c r="M24" s="228" t="str">
        <f>HLOOKUP($B24,'1'!$C$46:$AE$90,45)</f>
        <v>$\phi8@17$</v>
      </c>
      <c r="O24" s="270" t="str">
        <f t="shared" si="0"/>
        <v>120</v>
      </c>
      <c r="P24" s="266" t="str">
        <f>IF(G24='[1]Tabla 1'!G24,"IGUAL","CAMBIO")</f>
        <v>IGUAL</v>
      </c>
      <c r="Q24" s="123" t="str">
        <f>IF(I24='[1]Tabla 1'!I24,"IGUAL","CAMBIO")</f>
        <v>IGUAL</v>
      </c>
      <c r="R24" s="123" t="str">
        <f>IF(K24='[1]Tabla 1'!K24,"IGUAL","CAMBIO")</f>
        <v>IGUAL</v>
      </c>
      <c r="S24" s="217" t="str">
        <f>IF(M24='[1]Tabla 1'!M24,"IGUAL","CAMBIO")</f>
        <v>IGUAL</v>
      </c>
    </row>
    <row r="25" spans="2:19" ht="15.75" thickBot="1" x14ac:dyDescent="0.3">
      <c r="B25" s="222" t="str">
        <f>'1'!$W$46</f>
        <v>121</v>
      </c>
      <c r="C25" s="242">
        <f>'1'!$C$4</f>
        <v>16</v>
      </c>
      <c r="D25" s="204">
        <f>'1'!$C$12</f>
        <v>2.88</v>
      </c>
      <c r="E25" s="204">
        <f>HLOOKUP($B25,'1'!$C$46:$AE$90,22)</f>
        <v>1390</v>
      </c>
      <c r="F25" s="204">
        <f>HLOOKUP($B25,'1'!$C$46:$AE$90,29)</f>
        <v>0.39</v>
      </c>
      <c r="G25" s="204" t="str">
        <f>HLOOKUP($B25,'1'!$C$46:$AE$90,30)</f>
        <v>$\phi8@17$</v>
      </c>
      <c r="H25" s="204">
        <f>HLOOKUP($B25,'1'!$C$46:$AE$90,34)</f>
        <v>0</v>
      </c>
      <c r="I25" s="204" t="str">
        <f>HLOOKUP($B25,'1'!$C$46:$AE$90,35)</f>
        <v>$\phi8@17$</v>
      </c>
      <c r="J25" s="204">
        <f>HLOOKUP($B25,'1'!$C$46:$AE$90,39)</f>
        <v>0.56000000000000005</v>
      </c>
      <c r="K25" s="204" t="str">
        <f>HLOOKUP($B25,'1'!$C$46:$AE$90,40)</f>
        <v>$\phi8@17$</v>
      </c>
      <c r="L25" s="204">
        <f>HLOOKUP($B25,'1'!$C$46:$AE$90,44)</f>
        <v>0.38</v>
      </c>
      <c r="M25" s="229" t="str">
        <f>HLOOKUP($B25,'1'!$C$46:$AE$90,45)</f>
        <v>$\phi8@17$</v>
      </c>
      <c r="O25" s="271" t="str">
        <f t="shared" si="0"/>
        <v>121</v>
      </c>
      <c r="P25" s="258" t="str">
        <f>IF(G25='[1]Tabla 1'!G25,"IGUAL","CAMBIO")</f>
        <v>IGUAL</v>
      </c>
      <c r="Q25" s="125" t="str">
        <f>IF(I25='[1]Tabla 1'!I25,"IGUAL","CAMBIO")</f>
        <v>IGUAL</v>
      </c>
      <c r="R25" s="125" t="str">
        <f>IF(K25='[1]Tabla 1'!K25,"IGUAL","CAMBIO")</f>
        <v>IGUAL</v>
      </c>
      <c r="S25" s="220" t="str">
        <f>IF(M25='[1]Tabla 1'!M25,"IGUAL","CAMBIO")</f>
        <v>IGUAL</v>
      </c>
    </row>
    <row r="26" spans="2:19" ht="15.75" thickBot="1" x14ac:dyDescent="0.3">
      <c r="B26" s="208"/>
      <c r="C26" s="208"/>
      <c r="D26" s="209"/>
      <c r="E26" s="202"/>
      <c r="F26" s="202"/>
      <c r="G26" s="202"/>
      <c r="H26" s="202"/>
      <c r="I26" s="202"/>
      <c r="J26" s="202"/>
      <c r="K26" s="202"/>
      <c r="L26" s="202"/>
      <c r="M26" s="202"/>
      <c r="O26" s="262"/>
      <c r="P26" s="202"/>
      <c r="Q26" s="202"/>
      <c r="R26" s="202"/>
      <c r="S26" s="202"/>
    </row>
    <row r="27" spans="2:19" ht="15.75" thickBot="1" x14ac:dyDescent="0.3">
      <c r="B27" s="208"/>
      <c r="C27" s="208"/>
      <c r="D27" s="301" t="s">
        <v>107</v>
      </c>
      <c r="E27" s="302"/>
      <c r="F27" s="121"/>
      <c r="G27" s="121"/>
      <c r="H27" s="202"/>
      <c r="I27" s="202"/>
      <c r="J27" s="202"/>
      <c r="K27" s="202"/>
      <c r="L27" s="202"/>
      <c r="M27" s="202"/>
      <c r="O27" s="262"/>
      <c r="P27" s="202"/>
      <c r="Q27" s="202"/>
      <c r="R27" s="202"/>
      <c r="S27" s="202"/>
    </row>
    <row r="28" spans="2:19" s="235" customFormat="1" ht="30" customHeight="1" thickBot="1" x14ac:dyDescent="0.3">
      <c r="B28" s="208"/>
      <c r="C28" s="208"/>
      <c r="D28" s="133" t="s">
        <v>278</v>
      </c>
      <c r="E28" s="134" t="str">
        <f>'-1'!B98</f>
        <v>Mu $[kgf \cdot m/m]$</v>
      </c>
      <c r="F28" s="134" t="str">
        <f>'-1'!B101</f>
        <v>As $[cm^2/m]$</v>
      </c>
      <c r="G28" s="135" t="str">
        <f>'-1'!B102</f>
        <v>F'</v>
      </c>
      <c r="H28" s="202"/>
      <c r="I28" s="269" t="s">
        <v>338</v>
      </c>
      <c r="J28" s="202"/>
      <c r="K28" s="202"/>
      <c r="L28" s="202"/>
      <c r="M28" s="202"/>
      <c r="O28" s="262"/>
      <c r="P28" s="202"/>
      <c r="Q28" s="202"/>
      <c r="R28" s="202"/>
      <c r="S28" s="202"/>
    </row>
    <row r="29" spans="2:19" x14ac:dyDescent="0.25">
      <c r="B29" s="208"/>
      <c r="C29" s="208"/>
      <c r="D29" s="144" t="str">
        <f>'1'!C93&amp;"-"&amp;'1'!D93</f>
        <v>101-102</v>
      </c>
      <c r="E29" s="152">
        <f>HLOOKUP($D29,'1'!$C$94:$AF$102,E$66,FALSE)</f>
        <v>1911.6469465648854</v>
      </c>
      <c r="F29" s="152">
        <f>HLOOKUP($D29,'1'!$C$94:$AF$102,F$66,FALSE)</f>
        <v>3.5599999999999996</v>
      </c>
      <c r="G29" s="153" t="str">
        <f>HLOOKUP($D29,'1'!$C$94:$AF$102,G$66,FALSE)</f>
        <v>$\phi8@14$</v>
      </c>
      <c r="H29" s="202"/>
      <c r="I29" s="267" t="str">
        <f>IF(G29='[1]Tabla 1'!G29,"IGUAL","CAMBIO")</f>
        <v>IGUAL</v>
      </c>
      <c r="J29" s="202"/>
      <c r="K29" s="202"/>
      <c r="L29" s="202"/>
      <c r="M29" s="202"/>
      <c r="O29" s="262"/>
      <c r="P29" s="202"/>
      <c r="Q29" s="202"/>
      <c r="R29" s="202"/>
      <c r="S29" s="202"/>
    </row>
    <row r="30" spans="2:19" x14ac:dyDescent="0.25">
      <c r="B30" s="208"/>
      <c r="C30" s="208"/>
      <c r="D30" s="145" t="str">
        <f>'1'!E93&amp;"-"&amp;'1'!F93</f>
        <v>101-105</v>
      </c>
      <c r="E30" s="146">
        <f>HLOOKUP($D30,'1'!$C$94:$AF$102,E$66,FALSE)</f>
        <v>2449.54380072305</v>
      </c>
      <c r="F30" s="146">
        <f>HLOOKUP($D30,'1'!$C$94:$AF$102,F$66,FALSE)</f>
        <v>4.5599999999999996</v>
      </c>
      <c r="G30" s="147" t="str">
        <f>HLOOKUP($D30,'1'!$C$94:$AF$102,G$66,FALSE)</f>
        <v>$\phi10@17$</v>
      </c>
      <c r="H30" s="202"/>
      <c r="I30" s="267" t="str">
        <f>IF(G30='[1]Tabla 1'!G30,"IGUAL","CAMBIO")</f>
        <v>IGUAL</v>
      </c>
      <c r="J30" s="202"/>
      <c r="K30" s="202"/>
      <c r="L30" s="202"/>
      <c r="M30" s="202"/>
      <c r="O30" s="262"/>
      <c r="P30" s="202"/>
      <c r="Q30" s="202"/>
      <c r="R30" s="202"/>
      <c r="S30" s="202"/>
    </row>
    <row r="31" spans="2:19" x14ac:dyDescent="0.25">
      <c r="B31" s="208"/>
      <c r="C31" s="208"/>
      <c r="D31" s="145" t="str">
        <f>'1'!G93&amp;"-"&amp;'1'!H93</f>
        <v>102-106</v>
      </c>
      <c r="E31" s="146">
        <f>HLOOKUP($D31,'1'!$C$94:$AF$102,E$66,FALSE)</f>
        <v>2748.0690522243713</v>
      </c>
      <c r="F31" s="146">
        <f>HLOOKUP($D31,'1'!$C$94:$AF$102,F$66,FALSE)</f>
        <v>5.12</v>
      </c>
      <c r="G31" s="147" t="str">
        <f>HLOOKUP($D31,'1'!$C$94:$AF$102,G$66,FALSE)</f>
        <v>$\phi12@22$</v>
      </c>
      <c r="H31" s="202"/>
      <c r="I31" s="267" t="str">
        <f>IF(G31='[1]Tabla 1'!G31,"IGUAL","CAMBIO")</f>
        <v>IGUAL</v>
      </c>
      <c r="J31" s="202"/>
      <c r="K31" s="202"/>
      <c r="L31" s="202"/>
      <c r="M31" s="202"/>
      <c r="O31" s="262"/>
      <c r="P31" s="202"/>
      <c r="Q31" s="202"/>
      <c r="R31" s="202"/>
      <c r="S31" s="202"/>
    </row>
    <row r="32" spans="2:19" x14ac:dyDescent="0.25">
      <c r="B32" s="208"/>
      <c r="C32" s="208"/>
      <c r="D32" s="145" t="str">
        <f>'1'!I93&amp;"-"&amp;'1'!J93</f>
        <v>102-103</v>
      </c>
      <c r="E32" s="146">
        <f>HLOOKUP($D32,'1'!$C$94:$AF$102,E$66,FALSE)</f>
        <v>1916.7938931297713</v>
      </c>
      <c r="F32" s="146">
        <f>HLOOKUP($D32,'1'!$C$94:$AF$102,F$66,FALSE)</f>
        <v>3.57</v>
      </c>
      <c r="G32" s="147" t="str">
        <f>HLOOKUP($D32,'1'!$C$94:$AF$102,G$66,FALSE)</f>
        <v>$\phi10@22$</v>
      </c>
      <c r="H32" s="202"/>
      <c r="I32" s="267" t="str">
        <f>IF(G32='[1]Tabla 1'!G32,"IGUAL","CAMBIO")</f>
        <v>IGUAL</v>
      </c>
      <c r="J32" s="202"/>
      <c r="K32" s="202"/>
      <c r="L32" s="202"/>
      <c r="M32" s="202"/>
      <c r="O32" s="262"/>
      <c r="P32" s="202"/>
      <c r="Q32" s="202"/>
      <c r="R32" s="202"/>
      <c r="S32" s="202"/>
    </row>
    <row r="33" spans="2:19" x14ac:dyDescent="0.25">
      <c r="B33" s="208"/>
      <c r="C33" s="208"/>
      <c r="D33" s="145" t="str">
        <f>'1'!K93&amp;"-"&amp;'1'!L93</f>
        <v>103-107</v>
      </c>
      <c r="E33" s="146">
        <f>HLOOKUP($D33,'1'!$C$94:$AF$102,E$66,FALSE)</f>
        <v>2748.0690522243713</v>
      </c>
      <c r="F33" s="146">
        <f>HLOOKUP($D33,'1'!$C$94:$AF$102,F$66,FALSE)</f>
        <v>5.12</v>
      </c>
      <c r="G33" s="147" t="str">
        <f>HLOOKUP($D33,'1'!$C$94:$AF$102,G$66,FALSE)</f>
        <v>$\phi12@22$</v>
      </c>
      <c r="H33" s="202"/>
      <c r="I33" s="267" t="str">
        <f>IF(G33='[1]Tabla 1'!G33,"IGUAL","CAMBIO")</f>
        <v>IGUAL</v>
      </c>
      <c r="J33" s="202"/>
      <c r="K33" s="202"/>
      <c r="L33" s="202"/>
      <c r="M33" s="202"/>
      <c r="O33" s="262"/>
      <c r="P33" s="202"/>
      <c r="Q33" s="202"/>
      <c r="R33" s="202"/>
      <c r="S33" s="202"/>
    </row>
    <row r="34" spans="2:19" x14ac:dyDescent="0.25">
      <c r="B34" s="39"/>
      <c r="C34" s="39"/>
      <c r="D34" s="145" t="str">
        <f>'1'!M93&amp;"-"&amp;'1'!N93</f>
        <v>103-104</v>
      </c>
      <c r="E34" s="146">
        <f>HLOOKUP($D34,'1'!$C$94:$AF$102,E$66,FALSE)</f>
        <v>1944.6469465648859</v>
      </c>
      <c r="F34" s="146">
        <f>HLOOKUP($D34,'1'!$C$94:$AF$102,F$66,FALSE)</f>
        <v>3.6199999999999997</v>
      </c>
      <c r="G34" s="147" t="str">
        <f>HLOOKUP($D34,'1'!$C$94:$AF$102,G$66,FALSE)</f>
        <v>$\phi8@14$</v>
      </c>
      <c r="H34" s="39"/>
      <c r="I34" s="267" t="str">
        <f>IF(G34='[1]Tabla 1'!G34,"IGUAL","CAMBIO")</f>
        <v>IGUAL</v>
      </c>
      <c r="J34" s="39"/>
      <c r="K34" s="39"/>
      <c r="L34" s="39"/>
      <c r="M34" s="39"/>
    </row>
    <row r="35" spans="2:19" x14ac:dyDescent="0.25">
      <c r="D35" s="145" t="str">
        <f>'1'!O93&amp;"-"&amp;'1'!P93</f>
        <v>104-108</v>
      </c>
      <c r="E35" s="146">
        <f>HLOOKUP($D35,'1'!$C$94:$AF$102,E$66,FALSE)</f>
        <v>2882.0674223946785</v>
      </c>
      <c r="F35" s="146">
        <f>HLOOKUP($D35,'1'!$C$94:$AF$102,F$66,FALSE)</f>
        <v>5.37</v>
      </c>
      <c r="G35" s="147" t="str">
        <f>HLOOKUP($D35,'1'!$C$94:$AF$102,G$66,FALSE)</f>
        <v>$\phi12@21$</v>
      </c>
      <c r="I35" s="267" t="str">
        <f>IF(G35='[1]Tabla 1'!G35,"IGUAL","CAMBIO")</f>
        <v>IGUAL</v>
      </c>
    </row>
    <row r="36" spans="2:19" x14ac:dyDescent="0.25">
      <c r="D36" s="145" t="str">
        <f>'1'!Q93&amp;"-"&amp;'1'!R93</f>
        <v>105-106</v>
      </c>
      <c r="E36" s="146">
        <f>HLOOKUP($D36,'1'!$C$94:$AF$102,E$66,FALSE)</f>
        <v>2436.8051076419215</v>
      </c>
      <c r="F36" s="146">
        <f>HLOOKUP($D36,'1'!$C$94:$AF$102,F$66,FALSE)</f>
        <v>4.54</v>
      </c>
      <c r="G36" s="147" t="str">
        <f>HLOOKUP($D36,'1'!$C$94:$AF$102,G$66,FALSE)</f>
        <v>$\phi10@17$</v>
      </c>
      <c r="I36" s="267" t="str">
        <f>IF(G36='[1]Tabla 1'!G36,"IGUAL","CAMBIO")</f>
        <v>IGUAL</v>
      </c>
    </row>
    <row r="37" spans="2:19" x14ac:dyDescent="0.25">
      <c r="D37" s="145" t="str">
        <f>'1'!S93&amp;"-"&amp;'1'!T93</f>
        <v>106-121</v>
      </c>
      <c r="E37" s="146">
        <f>HLOOKUP($D37,'1'!$C$94:$AF$102,E$66,FALSE)</f>
        <v>2126.743156231003</v>
      </c>
      <c r="F37" s="146">
        <f>HLOOKUP($D37,'1'!$C$94:$AF$102,F$66,FALSE)</f>
        <v>3.96</v>
      </c>
      <c r="G37" s="147" t="str">
        <f>HLOOKUP($D37,'1'!$C$94:$AF$102,G$66,FALSE)</f>
        <v>$\phi10@20$</v>
      </c>
      <c r="I37" s="267" t="str">
        <f>IF(G37='[1]Tabla 1'!G37,"IGUAL","CAMBIO")</f>
        <v>IGUAL</v>
      </c>
    </row>
    <row r="38" spans="2:19" x14ac:dyDescent="0.25">
      <c r="D38" s="145" t="str">
        <f>'1'!U93&amp;"-"&amp;'1'!V93</f>
        <v>106-110</v>
      </c>
      <c r="E38" s="146">
        <f>HLOOKUP($D38,'1'!$C$94:$AF$102,E$66,FALSE)</f>
        <v>2468.9719148936174</v>
      </c>
      <c r="F38" s="146">
        <f>HLOOKUP($D38,'1'!$C$94:$AF$102,F$66,FALSE)</f>
        <v>4.5999999999999996</v>
      </c>
      <c r="G38" s="147" t="str">
        <f>HLOOKUP($D38,'1'!$C$94:$AF$102,G$66,FALSE)</f>
        <v>$\phi10@17$</v>
      </c>
      <c r="I38" s="267" t="str">
        <f>IF(G38='[1]Tabla 1'!G38,"IGUAL","CAMBIO")</f>
        <v>IGUAL</v>
      </c>
    </row>
    <row r="39" spans="2:19" x14ac:dyDescent="0.25">
      <c r="D39" s="145" t="str">
        <f>'1'!W93&amp;"-"&amp;'1'!X93</f>
        <v>106-107</v>
      </c>
      <c r="E39" s="146">
        <f>HLOOKUP($D39,'1'!$C$94:$AF$102,E$66,FALSE)</f>
        <v>2429.8585152838432</v>
      </c>
      <c r="F39" s="146">
        <f>HLOOKUP($D39,'1'!$C$94:$AF$102,F$66,FALSE)</f>
        <v>4.5199999999999996</v>
      </c>
      <c r="G39" s="147" t="str">
        <f>HLOOKUP($D39,'1'!$C$94:$AF$102,G$66,FALSE)</f>
        <v>$\phi12@25$</v>
      </c>
      <c r="I39" s="267" t="str">
        <f>IF(G39='[1]Tabla 1'!G39,"IGUAL","CAMBIO")</f>
        <v>IGUAL</v>
      </c>
    </row>
    <row r="40" spans="2:19" x14ac:dyDescent="0.25">
      <c r="D40" s="145" t="str">
        <f>'1'!Y93&amp;"-"&amp;'1'!Z93</f>
        <v>107-111</v>
      </c>
      <c r="E40" s="146">
        <f>HLOOKUP($D40,'1'!$C$94:$AF$102,E$66,FALSE)</f>
        <v>2548.7540425531915</v>
      </c>
      <c r="F40" s="146">
        <f>HLOOKUP($D40,'1'!$C$94:$AF$102,F$66,FALSE)</f>
        <v>4.74</v>
      </c>
      <c r="G40" s="147" t="str">
        <f>HLOOKUP($D40,'1'!$C$94:$AF$102,G$66,FALSE)</f>
        <v>$\phi12@24$</v>
      </c>
      <c r="I40" s="267" t="str">
        <f>IF(G40='[1]Tabla 1'!G40,"IGUAL","CAMBIO")</f>
        <v>IGUAL</v>
      </c>
    </row>
    <row r="41" spans="2:19" x14ac:dyDescent="0.25">
      <c r="D41" s="145" t="str">
        <f>'1'!AA93&amp;"-"&amp;'1'!AB93</f>
        <v>107-108</v>
      </c>
      <c r="E41" s="146">
        <f>HLOOKUP($D41,'1'!$C$94:$AF$102,E$66,FALSE)</f>
        <v>2378.5988568785629</v>
      </c>
      <c r="F41" s="146">
        <f>HLOOKUP($D41,'1'!$C$94:$AF$102,F$66,FALSE)</f>
        <v>4.43</v>
      </c>
      <c r="G41" s="147" t="str">
        <f>HLOOKUP($D41,'1'!$C$94:$AF$102,G$66,FALSE)</f>
        <v>$\phi12@25$</v>
      </c>
      <c r="I41" s="267" t="str">
        <f>IF(G41='[1]Tabla 1'!G41,"IGUAL","CAMBIO")</f>
        <v>IGUAL</v>
      </c>
    </row>
    <row r="42" spans="2:19" x14ac:dyDescent="0.25">
      <c r="D42" s="145" t="str">
        <f>'1'!C104&amp;"-"&amp;'1'!D104</f>
        <v>107-112</v>
      </c>
      <c r="E42" s="146">
        <f>HLOOKUP($D42,'1'!$C$105:$AF$113,E$66,FALSE)</f>
        <v>3433.38058770109</v>
      </c>
      <c r="F42" s="146">
        <f>HLOOKUP($D42,'1'!$C$105:$AF$113,F$66,FALSE)</f>
        <v>6.39</v>
      </c>
      <c r="G42" s="147" t="str">
        <f>HLOOKUP($D42,'1'!$C$105:$AF$113,G$66,FALSE)</f>
        <v>$\phi12@18$</v>
      </c>
      <c r="I42" s="267" t="str">
        <f>IF(G42='[1]Tabla 1'!G42,"IGUAL","CAMBIO")</f>
        <v>IGUAL</v>
      </c>
    </row>
    <row r="43" spans="2:19" x14ac:dyDescent="0.25">
      <c r="D43" s="145" t="str">
        <f>'1'!E104&amp;"-"&amp;'1'!F104</f>
        <v>108-112</v>
      </c>
      <c r="E43" s="146">
        <f>HLOOKUP($D43,'1'!$C$105:$AF$113,E$66,FALSE)</f>
        <v>3493.298580931264</v>
      </c>
      <c r="F43" s="146">
        <f>HLOOKUP($D43,'1'!$C$105:$AF$113,F$66,FALSE)</f>
        <v>6.51</v>
      </c>
      <c r="G43" s="147" t="str">
        <f>HLOOKUP($D43,'1'!$C$105:$AF$113,G$66,FALSE)</f>
        <v>$\phi10@12$</v>
      </c>
      <c r="I43" s="267" t="str">
        <f>IF(G43='[1]Tabla 1'!G43,"IGUAL","CAMBIO")</f>
        <v>IGUAL</v>
      </c>
    </row>
    <row r="44" spans="2:19" x14ac:dyDescent="0.25">
      <c r="D44" s="145" t="str">
        <f>'1'!G104&amp;"-"&amp;'1'!H104</f>
        <v>108-109</v>
      </c>
      <c r="E44" s="146">
        <f>HLOOKUP($D44,'1'!$C$105:$AF$113,E$66,FALSE)</f>
        <v>2251.9903270847421</v>
      </c>
      <c r="F44" s="146">
        <f>HLOOKUP($D44,'1'!$C$105:$AF$113,F$66,FALSE)</f>
        <v>4.1899999999999995</v>
      </c>
      <c r="G44" s="147" t="str">
        <f>HLOOKUP($D44,'1'!$C$105:$AF$113,G$66,FALSE)</f>
        <v>$\phi8@12$</v>
      </c>
      <c r="I44" s="267" t="str">
        <f>IF(G44='[1]Tabla 1'!G44,"IGUAL","CAMBIO")</f>
        <v>IGUAL</v>
      </c>
    </row>
    <row r="45" spans="2:19" x14ac:dyDescent="0.25">
      <c r="D45" s="145" t="str">
        <f>'1'!I104&amp;"-"&amp;'1'!J104</f>
        <v>110-121</v>
      </c>
      <c r="E45" s="146">
        <f>HLOOKUP($D45,'1'!$C$105:$AF$113,E$66,FALSE)</f>
        <v>1075.838148471616</v>
      </c>
      <c r="F45" s="146">
        <f>HLOOKUP($D45,'1'!$C$105:$AF$113,F$66,FALSE)</f>
        <v>2</v>
      </c>
      <c r="G45" s="147" t="str">
        <f>HLOOKUP($D45,'1'!$C$105:$AF$113,G$66,FALSE)</f>
        <v>$\phi8@17$</v>
      </c>
      <c r="I45" s="267" t="str">
        <f>IF(G45='[1]Tabla 1'!G45,"IGUAL","CAMBIO")</f>
        <v>IGUAL</v>
      </c>
    </row>
    <row r="46" spans="2:19" x14ac:dyDescent="0.25">
      <c r="D46" s="145" t="str">
        <f>'1'!K104&amp;"-"&amp;'1'!L104</f>
        <v>110-113</v>
      </c>
      <c r="E46" s="146">
        <f>HLOOKUP($D46,'1'!$C$105:$AF$113,E$66,FALSE)</f>
        <v>1326.940078929307</v>
      </c>
      <c r="F46" s="146">
        <f>HLOOKUP($D46,'1'!$C$105:$AF$113,F$66,FALSE)</f>
        <v>2.4699999999999998</v>
      </c>
      <c r="G46" s="147" t="str">
        <f>HLOOKUP($D46,'1'!$C$105:$AF$113,G$66,FALSE)</f>
        <v>$\phi8@17$</v>
      </c>
      <c r="I46" s="267" t="str">
        <f>IF(G46='[1]Tabla 1'!G46,"IGUAL","CAMBIO")</f>
        <v>IGUAL</v>
      </c>
    </row>
    <row r="47" spans="2:19" x14ac:dyDescent="0.25">
      <c r="D47" s="145" t="str">
        <f>'1'!M104&amp;"-"&amp;'1'!N104</f>
        <v>110-114</v>
      </c>
      <c r="E47" s="146">
        <f>HLOOKUP($D47,'1'!$C$105:$AF$113,E$66,FALSE)</f>
        <v>1274.2366595744679</v>
      </c>
      <c r="F47" s="146">
        <f>HLOOKUP($D47,'1'!$C$105:$AF$113,F$66,FALSE)</f>
        <v>2.3699999999999997</v>
      </c>
      <c r="G47" s="147" t="str">
        <f>HLOOKUP($D47,'1'!$C$105:$AF$113,G$66,FALSE)</f>
        <v>$\phi8@17$</v>
      </c>
      <c r="I47" s="267" t="str">
        <f>IF(G47='[1]Tabla 1'!G47,"IGUAL","CAMBIO")</f>
        <v>IGUAL</v>
      </c>
    </row>
    <row r="48" spans="2:19" x14ac:dyDescent="0.25">
      <c r="D48" s="145" t="str">
        <f>'1'!O104&amp;"-"&amp;'1'!P104</f>
        <v>110-110</v>
      </c>
      <c r="E48" s="146">
        <f>HLOOKUP($D48,'1'!$C$105:$AF$113,E$66,FALSE)</f>
        <v>1422.5344978165942</v>
      </c>
      <c r="F48" s="146">
        <f>HLOOKUP($D48,'1'!$C$105:$AF$113,F$66,FALSE)</f>
        <v>2.65</v>
      </c>
      <c r="G48" s="147" t="str">
        <f>HLOOKUP($D48,'1'!$C$105:$AF$113,G$66,FALSE)</f>
        <v>$\phi8@17$</v>
      </c>
      <c r="I48" s="267" t="str">
        <f>IF(G48='[1]Tabla 1'!G48,"IGUAL","CAMBIO")</f>
        <v>IGUAL</v>
      </c>
    </row>
    <row r="49" spans="4:9" x14ac:dyDescent="0.25">
      <c r="D49" s="145" t="str">
        <f>'1'!Q104&amp;"-"&amp;'1'!R104</f>
        <v>111-114</v>
      </c>
      <c r="E49" s="146">
        <f>HLOOKUP($D49,'1'!$C$105:$AF$113,E$66,FALSE)</f>
        <v>1413.8553829787234</v>
      </c>
      <c r="F49" s="146">
        <f>HLOOKUP($D49,'1'!$C$105:$AF$113,F$66,FALSE)</f>
        <v>2.63</v>
      </c>
      <c r="G49" s="147" t="str">
        <f>HLOOKUP($D49,'1'!$C$105:$AF$113,G$66,FALSE)</f>
        <v>$\phi8@17$</v>
      </c>
      <c r="I49" s="267" t="str">
        <f>IF(G49='[1]Tabla 1'!G49,"IGUAL","CAMBIO")</f>
        <v>IGUAL</v>
      </c>
    </row>
    <row r="50" spans="4:9" x14ac:dyDescent="0.25">
      <c r="D50" s="145" t="str">
        <f>'1'!S104&amp;"-"&amp;'1'!T104</f>
        <v>111-112</v>
      </c>
      <c r="E50" s="146">
        <f>HLOOKUP($D50,'1'!$C$105:$AF$113,E$66,FALSE)</f>
        <v>2356.9467903930131</v>
      </c>
      <c r="F50" s="146">
        <f>HLOOKUP($D50,'1'!$C$105:$AF$113,F$66,FALSE)</f>
        <v>4.3899999999999997</v>
      </c>
      <c r="G50" s="147" t="str">
        <f>HLOOKUP($D50,'1'!$C$105:$AF$113,G$66,FALSE)</f>
        <v>$\phi10@18$</v>
      </c>
      <c r="I50" s="267" t="str">
        <f>IF(G50='[1]Tabla 1'!G50,"IGUAL","CAMBIO")</f>
        <v>IGUAL</v>
      </c>
    </row>
    <row r="51" spans="4:9" hidden="1" x14ac:dyDescent="0.25">
      <c r="D51" s="145" t="str">
        <f>'1'!U104&amp;"-"&amp;'1'!V104</f>
        <v>112-114</v>
      </c>
      <c r="E51" s="146">
        <f>HLOOKUP($D51,'1'!$C$105:$AF$113,E$66,FALSE)</f>
        <v>2051.5411000000004</v>
      </c>
      <c r="F51" s="146">
        <f>HLOOKUP($D51,'1'!$C$105:$AF$113,F$66,FALSE)</f>
        <v>3.82</v>
      </c>
      <c r="G51" s="147" t="str">
        <f>HLOOKUP($D51,'1'!$C$105:$AF$113,G$66,FALSE)</f>
        <v>$\phi8@13$</v>
      </c>
      <c r="I51" s="267" t="str">
        <f>IF(G51='[1]Tabla 1'!G51,"IGUAL","CAMBIO")</f>
        <v>IGUAL</v>
      </c>
    </row>
    <row r="52" spans="4:9" x14ac:dyDescent="0.25">
      <c r="D52" s="145" t="str">
        <f>'1'!W104&amp;"-"&amp;'1'!X104</f>
        <v>112-116</v>
      </c>
      <c r="E52" s="146">
        <f>HLOOKUP($D52,'1'!$C$105:$AF$113,E$66,FALSE)</f>
        <v>2989.5389661390768</v>
      </c>
      <c r="F52" s="146">
        <f>HLOOKUP($D52,'1'!$C$105:$AF$113,F$66,FALSE)</f>
        <v>5.5699999999999994</v>
      </c>
      <c r="G52" s="147" t="str">
        <f>HLOOKUP($D52,'1'!$C$105:$AF$113,G$66,FALSE)</f>
        <v>$\phi12@20$</v>
      </c>
      <c r="I52" s="267" t="str">
        <f>IF(G52='[1]Tabla 1'!G52,"IGUAL","CAMBIO")</f>
        <v>IGUAL</v>
      </c>
    </row>
    <row r="53" spans="4:9" x14ac:dyDescent="0.25">
      <c r="D53" s="145" t="str">
        <f>'1'!Y104&amp;"-"&amp;'1'!Z104</f>
        <v>112-117</v>
      </c>
      <c r="E53" s="146">
        <f>HLOOKUP($D53,'1'!$C$105:$AF$113,E$66,FALSE)</f>
        <v>3126.4338179386314</v>
      </c>
      <c r="F53" s="146">
        <f>HLOOKUP($D53,'1'!$C$105:$AF$113,F$66,FALSE)</f>
        <v>5.8199999999999994</v>
      </c>
      <c r="G53" s="147" t="str">
        <f>HLOOKUP($D53,'1'!$C$105:$AF$113,G$66,FALSE)</f>
        <v>$\phi12@20$</v>
      </c>
      <c r="I53" s="267" t="str">
        <f>IF(G53='[1]Tabla 1'!G53,"IGUAL","CAMBIO")</f>
        <v>IGUAL</v>
      </c>
    </row>
    <row r="54" spans="4:9" x14ac:dyDescent="0.25">
      <c r="D54" s="145" t="str">
        <f>'1'!AA104&amp;"-"&amp;'1'!AB104</f>
        <v>113-121</v>
      </c>
      <c r="E54" s="146">
        <f>HLOOKUP($D54,'1'!$C$105:$AF$113,E$66,FALSE)</f>
        <v>401.25825000000003</v>
      </c>
      <c r="F54" s="146">
        <f>HLOOKUP($D54,'1'!$C$105:$AF$113,F$66,FALSE)</f>
        <v>0.75</v>
      </c>
      <c r="G54" s="147" t="str">
        <f>HLOOKUP($D54,'1'!$C$105:$AF$113,G$66,FALSE)</f>
        <v>$\phi8@17$</v>
      </c>
      <c r="I54" s="267" t="str">
        <f>IF(G54='[1]Tabla 1'!G54,"IGUAL","CAMBIO")</f>
        <v>IGUAL</v>
      </c>
    </row>
    <row r="55" spans="4:9" hidden="1" x14ac:dyDescent="0.25">
      <c r="D55" s="145" t="str">
        <f>'1'!C115&amp;"-"&amp;'1'!D115</f>
        <v>113-114</v>
      </c>
      <c r="E55" s="146">
        <f>HLOOKUP($D55,'1'!$C$116:$AF$124,E$66,FALSE)</f>
        <v>385.62422499999997</v>
      </c>
      <c r="F55" s="146">
        <f>HLOOKUP($D55,'1'!$C$116:$AF$124,F$66,FALSE)</f>
        <v>0.72</v>
      </c>
      <c r="G55" s="147" t="str">
        <f>HLOOKUP($D55,'1'!$C$116:$AF$124,G$66,FALSE)</f>
        <v>$\phi8@17$</v>
      </c>
      <c r="I55" s="267" t="str">
        <f>IF(G55='[1]Tabla 1'!G55,"IGUAL","CAMBIO")</f>
        <v>IGUAL</v>
      </c>
    </row>
    <row r="56" spans="4:9" hidden="1" x14ac:dyDescent="0.25">
      <c r="D56" s="145" t="str">
        <f>'1'!E115&amp;"-"&amp;'1'!F115</f>
        <v>113-119</v>
      </c>
      <c r="E56" s="146">
        <f>HLOOKUP($D56,'1'!$C$116:$AF$124,E$66,FALSE)</f>
        <v>546.94130681818183</v>
      </c>
      <c r="F56" s="146">
        <f>HLOOKUP($D56,'1'!$C$116:$AF$124,F$66,FALSE)</f>
        <v>1.02</v>
      </c>
      <c r="G56" s="147" t="str">
        <f>HLOOKUP($D56,'1'!$C$116:$AF$124,G$66,FALSE)</f>
        <v>$\phi8@17$</v>
      </c>
      <c r="I56" s="267" t="str">
        <f>IF(G56='[1]Tabla 1'!G56,"IGUAL","CAMBIO")</f>
        <v>IGUAL</v>
      </c>
    </row>
    <row r="57" spans="4:9" x14ac:dyDescent="0.25">
      <c r="D57" s="145" t="str">
        <f>'1'!G115&amp;"-"&amp;'1'!H115</f>
        <v>114-119</v>
      </c>
      <c r="E57" s="146">
        <f>HLOOKUP($D57,'1'!$C$116:$AF$124,E$66,FALSE)</f>
        <v>351.95308536585367</v>
      </c>
      <c r="F57" s="146">
        <f>HLOOKUP($D57,'1'!$C$116:$AF$124,F$66,FALSE)</f>
        <v>0.66</v>
      </c>
      <c r="G57" s="147" t="str">
        <f>HLOOKUP($D57,'1'!$C$116:$AF$124,G$66,FALSE)</f>
        <v>$\phi8@17$</v>
      </c>
      <c r="I57" s="267" t="str">
        <f>IF(G57='[1]Tabla 1'!G57,"IGUAL","CAMBIO")</f>
        <v>IGUAL</v>
      </c>
    </row>
    <row r="58" spans="4:9" x14ac:dyDescent="0.25">
      <c r="D58" s="145" t="str">
        <f>'1'!I115&amp;"-"&amp;'1'!J115</f>
        <v>114-115</v>
      </c>
      <c r="E58" s="146">
        <f>HLOOKUP($D58,'1'!$C$116:$AF$124,E$66,FALSE)</f>
        <v>462.29215714285709</v>
      </c>
      <c r="F58" s="146">
        <f>HLOOKUP($D58,'1'!$C$116:$AF$124,F$66,FALSE)</f>
        <v>0.86</v>
      </c>
      <c r="G58" s="147" t="str">
        <f>HLOOKUP($D58,'1'!$C$116:$AF$124,G$66,FALSE)</f>
        <v>$\phi8@17$</v>
      </c>
      <c r="I58" s="267" t="str">
        <f>IF(G58='[1]Tabla 1'!G58,"IGUAL","CAMBIO")</f>
        <v>IGUAL</v>
      </c>
    </row>
    <row r="59" spans="4:9" x14ac:dyDescent="0.25">
      <c r="D59" s="145" t="str">
        <f>'1'!K115&amp;"-"&amp;'1'!L115</f>
        <v>114-116</v>
      </c>
      <c r="E59" s="146">
        <f>HLOOKUP($D59,'1'!$C$116:$AF$124,E$66,FALSE)</f>
        <v>961.29421276595713</v>
      </c>
      <c r="F59" s="146">
        <f>HLOOKUP($D59,'1'!$C$116:$AF$124,F$66,FALSE)</f>
        <v>1.79</v>
      </c>
      <c r="G59" s="147" t="str">
        <f>HLOOKUP($D59,'1'!$C$116:$AF$124,G$66,FALSE)</f>
        <v>$\phi8@17$</v>
      </c>
      <c r="I59" s="267" t="str">
        <f>IF(G59='[1]Tabla 1'!G59,"IGUAL","CAMBIO")</f>
        <v>IGUAL</v>
      </c>
    </row>
    <row r="60" spans="4:9" x14ac:dyDescent="0.25">
      <c r="D60" s="145" t="str">
        <f>'1'!M115&amp;"-"&amp;'1'!N115</f>
        <v>115-120</v>
      </c>
      <c r="E60" s="146">
        <f>HLOOKUP($D60,'1'!$C$116:$AF$124,E$66,FALSE)</f>
        <v>708.99063773885348</v>
      </c>
      <c r="F60" s="146">
        <f>HLOOKUP($D60,'1'!$C$116:$AF$124,F$66,FALSE)</f>
        <v>1.32</v>
      </c>
      <c r="G60" s="147" t="str">
        <f>HLOOKUP($D60,'1'!$C$116:$AF$124,G$66,FALSE)</f>
        <v>$\phi8@17$</v>
      </c>
      <c r="I60" s="267" t="str">
        <f>IF(G60='[1]Tabla 1'!G60,"IGUAL","CAMBIO")</f>
        <v>IGUAL</v>
      </c>
    </row>
    <row r="61" spans="4:9" x14ac:dyDescent="0.25">
      <c r="D61" s="145" t="str">
        <f>'1'!O115&amp;"-"&amp;'1'!P115</f>
        <v>115-116</v>
      </c>
      <c r="E61" s="146">
        <f>HLOOKUP($D61,'1'!$C$116:$AF$124,E$66,FALSE)</f>
        <v>1065.1196600985222</v>
      </c>
      <c r="F61" s="146">
        <f>HLOOKUP($D61,'1'!$C$116:$AF$124,F$66,FALSE)</f>
        <v>1.98</v>
      </c>
      <c r="G61" s="147" t="str">
        <f>HLOOKUP($D61,'1'!$C$116:$AF$124,G$66,FALSE)</f>
        <v>$\phi8@17$</v>
      </c>
      <c r="I61" s="267" t="str">
        <f>IF(G61='[1]Tabla 1'!G61,"IGUAL","CAMBIO")</f>
        <v>IGUAL</v>
      </c>
    </row>
    <row r="62" spans="4:9" hidden="1" x14ac:dyDescent="0.25">
      <c r="D62" s="145" t="str">
        <f>'1'!Q115&amp;"-"&amp;'1'!R115</f>
        <v>116-118</v>
      </c>
      <c r="E62" s="146">
        <f>HLOOKUP($D62,'1'!$C$116:$AF$124,E$66,FALSE)</f>
        <v>974.53505776595716</v>
      </c>
      <c r="F62" s="146">
        <f>HLOOKUP($D62,'1'!$C$116:$AF$124,F$66,FALSE)</f>
        <v>1.81</v>
      </c>
      <c r="G62" s="147" t="str">
        <f>HLOOKUP($D62,'1'!$C$116:$AF$124,G$66,FALSE)</f>
        <v>$\phi8@17$</v>
      </c>
      <c r="I62" s="267" t="str">
        <f>IF(G62='[1]Tabla 1'!G62,"IGUAL","CAMBIO")</f>
        <v>IGUAL</v>
      </c>
    </row>
    <row r="63" spans="4:9" ht="15.75" thickBot="1" x14ac:dyDescent="0.3">
      <c r="D63" s="148" t="str">
        <f>'1'!S115&amp;"-"&amp;'1'!T115</f>
        <v>116-117</v>
      </c>
      <c r="E63" s="149">
        <f>HLOOKUP($D63,'1'!$C$116:$AF$124,E$66,FALSE)</f>
        <v>1491.3769380501776</v>
      </c>
      <c r="F63" s="149">
        <f>HLOOKUP($D63,'1'!$C$116:$AF$124,F$66,FALSE)</f>
        <v>2.7699999999999996</v>
      </c>
      <c r="G63" s="150" t="str">
        <f>HLOOKUP($D63,'1'!$C$116:$AF$124,G$66,FALSE)</f>
        <v>$\phi8@17$</v>
      </c>
      <c r="I63" s="268" t="str">
        <f>IF(G63='[1]Tabla 1'!G63,"IGUAL","CAMBIO")</f>
        <v>IGUAL</v>
      </c>
    </row>
    <row r="64" spans="4:9" ht="15.75" hidden="1" thickBot="1" x14ac:dyDescent="0.3">
      <c r="D64" s="148" t="str">
        <f>'1'!U115&amp;"-"&amp;'1'!V115</f>
        <v>117-118</v>
      </c>
      <c r="E64" s="149">
        <f>HLOOKUP($D64,'1'!$C$116:$AF$124,E$66,FALSE)</f>
        <v>1443.4629837096775</v>
      </c>
      <c r="F64" s="149">
        <f>HLOOKUP($D64,'1'!$C$116:$AF$124,F$66,FALSE)</f>
        <v>2.69</v>
      </c>
      <c r="G64" s="150" t="str">
        <f>HLOOKUP($D64,'1'!$C$116:$AF$124,G$66,FALSE)</f>
        <v>$\phi8@17$</v>
      </c>
      <c r="I64" s="267" t="str">
        <f>IF(G64='[1]Tabla -1'!G64,"IGUAL","CAMBIO")</f>
        <v>CAMBIO</v>
      </c>
    </row>
    <row r="65" spans="4:9" ht="15.75" hidden="1" thickBot="1" x14ac:dyDescent="0.3">
      <c r="D65" s="148" t="str">
        <f>'1'!W115&amp;"-"&amp;'1'!X115</f>
        <v>119-120</v>
      </c>
      <c r="E65" s="149">
        <f>HLOOKUP($D65,'1'!$C$116:$AF$124,E$66,FALSE)</f>
        <v>499.35703769401323</v>
      </c>
      <c r="F65" s="149">
        <f>HLOOKUP($D65,'1'!$C$116:$AF$124,F$66,FALSE)</f>
        <v>0.93</v>
      </c>
      <c r="G65" s="150" t="str">
        <f>HLOOKUP($D65,'1'!$C$116:$AF$124,G$66,FALSE)</f>
        <v>$\phi8@17$</v>
      </c>
      <c r="I65" s="267" t="str">
        <f>IF(G65='[1]Tabla -1'!G65,"IGUAL","CAMBIO")</f>
        <v>CAMBIO</v>
      </c>
    </row>
    <row r="66" spans="4:9" x14ac:dyDescent="0.25">
      <c r="D66" s="121"/>
      <c r="E66" s="121">
        <v>5</v>
      </c>
      <c r="F66" s="121">
        <v>8</v>
      </c>
      <c r="G66" s="121">
        <v>9</v>
      </c>
      <c r="I66" s="202"/>
    </row>
    <row r="67" spans="4:9" x14ac:dyDescent="0.25">
      <c r="I67" s="202"/>
    </row>
    <row r="68" spans="4:9" x14ac:dyDescent="0.25">
      <c r="I68" s="202"/>
    </row>
    <row r="69" spans="4:9" x14ac:dyDescent="0.25">
      <c r="I69" s="202"/>
    </row>
    <row r="70" spans="4:9" x14ac:dyDescent="0.25">
      <c r="I70" s="202"/>
    </row>
    <row r="71" spans="4:9" x14ac:dyDescent="0.25">
      <c r="I71" s="202"/>
    </row>
    <row r="72" spans="4:9" x14ac:dyDescent="0.25">
      <c r="I72" s="202"/>
    </row>
    <row r="73" spans="4:9" x14ac:dyDescent="0.25">
      <c r="I73" s="202"/>
    </row>
    <row r="74" spans="4:9" x14ac:dyDescent="0.25">
      <c r="I74" s="202"/>
    </row>
    <row r="75" spans="4:9" x14ac:dyDescent="0.25">
      <c r="I75" s="202"/>
    </row>
    <row r="76" spans="4:9" x14ac:dyDescent="0.25">
      <c r="I76" s="202"/>
    </row>
    <row r="77" spans="4:9" x14ac:dyDescent="0.25">
      <c r="I77" s="202"/>
    </row>
    <row r="78" spans="4:9" x14ac:dyDescent="0.25">
      <c r="I78" s="202"/>
    </row>
    <row r="79" spans="4:9" x14ac:dyDescent="0.25">
      <c r="I79" s="202"/>
    </row>
    <row r="80" spans="4:9" x14ac:dyDescent="0.25">
      <c r="I80" s="202"/>
    </row>
    <row r="81" spans="9:9" x14ac:dyDescent="0.25">
      <c r="I81" s="202"/>
    </row>
    <row r="82" spans="9:9" x14ac:dyDescent="0.25">
      <c r="I82" s="202"/>
    </row>
    <row r="83" spans="9:9" x14ac:dyDescent="0.25">
      <c r="I83" s="202"/>
    </row>
    <row r="84" spans="9:9" x14ac:dyDescent="0.25">
      <c r="I84" s="202"/>
    </row>
    <row r="85" spans="9:9" x14ac:dyDescent="0.25">
      <c r="I85" s="202"/>
    </row>
    <row r="86" spans="9:9" x14ac:dyDescent="0.25">
      <c r="I86" s="202"/>
    </row>
    <row r="87" spans="9:9" x14ac:dyDescent="0.25">
      <c r="I87" s="39"/>
    </row>
    <row r="88" spans="9:9" x14ac:dyDescent="0.25">
      <c r="I88" s="39"/>
    </row>
  </sheetData>
  <mergeCells count="12">
    <mergeCell ref="D27:E27"/>
    <mergeCell ref="B2:G2"/>
    <mergeCell ref="H2:J2"/>
    <mergeCell ref="K2:M2"/>
    <mergeCell ref="B3:B4"/>
    <mergeCell ref="D3:D4"/>
    <mergeCell ref="E3:E4"/>
    <mergeCell ref="F3:G3"/>
    <mergeCell ref="H3:I3"/>
    <mergeCell ref="J3:K3"/>
    <mergeCell ref="L3:M3"/>
    <mergeCell ref="C3:C4"/>
  </mergeCells>
  <conditionalFormatting sqref="P5:S24 P26:S33">
    <cfRule type="containsText" dxfId="22" priority="3" operator="containsText" text="CAMBIO">
      <formula>NOT(ISERROR(SEARCH("CAMBIO",P5)))</formula>
    </cfRule>
  </conditionalFormatting>
  <conditionalFormatting sqref="P25:S25">
    <cfRule type="containsText" dxfId="21" priority="2" operator="containsText" text="CAMBIO">
      <formula>NOT(ISERROR(SEARCH("CAMBIO",P25)))</formula>
    </cfRule>
  </conditionalFormatting>
  <conditionalFormatting sqref="I29:I57">
    <cfRule type="containsText" dxfId="20" priority="1" operator="containsText" text="CAMBIO">
      <formula>NOT(ISERROR(SEARCH("CAMBIO",I29)))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4204-6196-4517-B7F8-8D15C521CC45}">
  <dimension ref="A2:AG124"/>
  <sheetViews>
    <sheetView showGridLines="0" topLeftCell="A13" zoomScale="55" zoomScaleNormal="55" workbookViewId="0">
      <selection activeCell="D53" sqref="D53:D62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24" width="17.140625" customWidth="1"/>
  </cols>
  <sheetData>
    <row r="2" spans="2:21" ht="18.75" x14ac:dyDescent="0.3">
      <c r="B2" s="52" t="s">
        <v>140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1" t="s">
        <v>19</v>
      </c>
      <c r="C4" s="110">
        <v>16</v>
      </c>
      <c r="E4" s="297" t="s">
        <v>29</v>
      </c>
      <c r="F4" s="298"/>
      <c r="H4" s="297" t="s">
        <v>30</v>
      </c>
      <c r="I4" s="298"/>
      <c r="K4" s="297" t="s">
        <v>39</v>
      </c>
      <c r="L4" s="298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41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3.57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07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$\phi8@17$</v>
      </c>
      <c r="I13" s="39"/>
      <c r="J13" s="39"/>
      <c r="K13" s="39"/>
      <c r="L13" s="39"/>
      <c r="M13" s="39"/>
      <c r="N13" s="39"/>
      <c r="O13" s="39"/>
      <c r="P13" s="107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07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08"/>
      <c r="K15" s="108"/>
      <c r="L15" s="108"/>
      <c r="M15" s="108"/>
      <c r="N15" s="108"/>
      <c r="O15" s="108"/>
      <c r="P15" s="108"/>
      <c r="Q15" s="108"/>
      <c r="T15" s="40"/>
      <c r="U15" s="41"/>
    </row>
    <row r="16" spans="2:21" hidden="1" x14ac:dyDescent="0.25">
      <c r="B16" s="63" t="s">
        <v>139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41</v>
      </c>
      <c r="I16" s="7">
        <v>3.57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141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41</v>
      </c>
      <c r="I17" s="7">
        <v>3.57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25">
      <c r="B18" s="63" t="s">
        <v>142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41</v>
      </c>
      <c r="I18" s="7">
        <v>3.57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3" t="s">
        <v>143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41</v>
      </c>
      <c r="I19" s="7">
        <v>3.57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3" t="s">
        <v>144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41</v>
      </c>
      <c r="I20" s="7">
        <v>3.57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3" t="s">
        <v>145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41</v>
      </c>
      <c r="I21" s="7">
        <v>3.57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3" t="s">
        <v>146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41</v>
      </c>
      <c r="I22" s="7">
        <v>3.57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3" t="s">
        <v>147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41</v>
      </c>
      <c r="I23" s="7">
        <v>3.57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3" t="s">
        <v>148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41</v>
      </c>
      <c r="I24" s="7">
        <v>3.57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3" t="s">
        <v>149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41</v>
      </c>
      <c r="I25" s="7">
        <v>3.57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3" t="s">
        <v>150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41</v>
      </c>
      <c r="I26" s="7">
        <v>3.57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3" t="s">
        <v>151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41</v>
      </c>
      <c r="I27" s="7">
        <v>3.57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3" t="s">
        <v>152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41</v>
      </c>
      <c r="I28" s="7">
        <v>3.57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3" t="s">
        <v>153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41</v>
      </c>
      <c r="I29" s="7">
        <v>3.57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3" t="s">
        <v>154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41</v>
      </c>
      <c r="I30" s="7">
        <v>3.57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3" t="s">
        <v>155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41</v>
      </c>
      <c r="I31" s="7">
        <v>3.57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3" t="s">
        <v>156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41</v>
      </c>
      <c r="I32" s="7">
        <v>3.57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1:24" hidden="1" x14ac:dyDescent="0.25">
      <c r="B33" s="63" t="s">
        <v>157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41</v>
      </c>
      <c r="I33" s="7">
        <v>3.57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1:24" hidden="1" x14ac:dyDescent="0.25">
      <c r="B34" s="63" t="s">
        <v>158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41</v>
      </c>
      <c r="I34" s="7">
        <v>3.57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1:24" hidden="1" x14ac:dyDescent="0.25">
      <c r="B35" s="63" t="s">
        <v>159</v>
      </c>
      <c r="C35" s="6">
        <v>0.74</v>
      </c>
      <c r="D35" s="6">
        <v>3.83</v>
      </c>
      <c r="E35" s="6">
        <v>16</v>
      </c>
      <c r="F35" s="109" t="s">
        <v>8</v>
      </c>
      <c r="G35" s="6">
        <v>300</v>
      </c>
      <c r="H35" s="6" t="s">
        <v>41</v>
      </c>
      <c r="I35" s="7">
        <v>3.57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1:24" hidden="1" x14ac:dyDescent="0.25">
      <c r="B36" s="63" t="s">
        <v>160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41</v>
      </c>
      <c r="I36" s="7">
        <v>3.57</v>
      </c>
      <c r="J36" s="64"/>
      <c r="K36" s="6"/>
      <c r="L36" s="6"/>
      <c r="M36" s="6"/>
      <c r="N36" s="109"/>
      <c r="O36" s="6"/>
      <c r="P36" s="6"/>
      <c r="Q36" s="6"/>
      <c r="T36" s="40"/>
      <c r="U36" s="41"/>
    </row>
    <row r="37" spans="1:24" ht="15.75" hidden="1" thickBot="1" x14ac:dyDescent="0.3">
      <c r="B37" s="66" t="s">
        <v>161</v>
      </c>
      <c r="C37" s="9">
        <v>2.3199999999999998</v>
      </c>
      <c r="D37" s="9">
        <v>4.3</v>
      </c>
      <c r="E37" s="9">
        <v>16</v>
      </c>
      <c r="F37" s="106" t="s">
        <v>10</v>
      </c>
      <c r="G37" s="9">
        <v>400</v>
      </c>
      <c r="H37" s="9" t="s">
        <v>41</v>
      </c>
      <c r="I37" s="10">
        <v>3.57</v>
      </c>
      <c r="P37" s="40"/>
      <c r="T37" s="40"/>
      <c r="U37" s="41"/>
    </row>
    <row r="38" spans="1:24" hidden="1" x14ac:dyDescent="0.25">
      <c r="A38" s="39"/>
      <c r="B38" s="64"/>
      <c r="C38" s="6"/>
      <c r="D38" s="6"/>
      <c r="E38" s="6"/>
      <c r="F38" s="109"/>
      <c r="G38" s="6"/>
      <c r="H38" s="6"/>
      <c r="I38" s="6"/>
      <c r="P38" s="40"/>
      <c r="T38" s="40"/>
      <c r="U38" s="41"/>
    </row>
    <row r="39" spans="1:24" hidden="1" x14ac:dyDescent="0.25">
      <c r="A39" s="39"/>
      <c r="B39" s="64"/>
      <c r="C39" s="6"/>
      <c r="D39" s="6"/>
      <c r="E39" s="6"/>
      <c r="F39" s="109"/>
      <c r="G39" s="6"/>
      <c r="H39" s="6"/>
      <c r="I39" s="6"/>
      <c r="P39" s="40"/>
      <c r="T39" s="40"/>
      <c r="U39" s="41"/>
    </row>
    <row r="40" spans="1:24" hidden="1" x14ac:dyDescent="0.25">
      <c r="A40" s="39"/>
      <c r="B40" s="64"/>
      <c r="C40" s="6"/>
      <c r="D40" s="6"/>
      <c r="E40" s="6"/>
      <c r="F40" s="109"/>
      <c r="G40" s="6"/>
      <c r="H40" s="6"/>
      <c r="I40" s="6"/>
      <c r="P40" s="40"/>
      <c r="T40" s="40"/>
      <c r="U40" s="41"/>
    </row>
    <row r="41" spans="1:24" hidden="1" x14ac:dyDescent="0.25">
      <c r="A41" s="39"/>
      <c r="B41" s="64"/>
      <c r="C41" s="6"/>
      <c r="D41" s="6"/>
      <c r="E41" s="6"/>
      <c r="F41" s="109"/>
      <c r="G41" s="6"/>
      <c r="H41" s="6"/>
      <c r="I41" s="6"/>
      <c r="P41" s="40"/>
      <c r="T41" s="40"/>
      <c r="U41" s="41"/>
    </row>
    <row r="42" spans="1:24" hidden="1" x14ac:dyDescent="0.25">
      <c r="A42" s="39"/>
      <c r="B42" s="64"/>
      <c r="C42" s="6"/>
      <c r="D42" s="6"/>
      <c r="E42" s="6"/>
      <c r="F42" s="109"/>
      <c r="G42" s="6"/>
      <c r="H42" s="6"/>
      <c r="I42" s="6"/>
      <c r="P42" s="40"/>
      <c r="T42" s="40"/>
      <c r="U42" s="41"/>
    </row>
    <row r="43" spans="1:24" hidden="1" x14ac:dyDescent="0.25">
      <c r="A43" s="39"/>
      <c r="B43" s="64"/>
      <c r="C43" s="6"/>
      <c r="D43" s="6"/>
      <c r="E43" s="6"/>
      <c r="F43" s="109"/>
      <c r="G43" s="6"/>
      <c r="H43" s="6"/>
      <c r="I43" s="6"/>
      <c r="P43" s="40"/>
      <c r="T43" s="40"/>
      <c r="U43" s="41"/>
    </row>
    <row r="44" spans="1:24" hidden="1" x14ac:dyDescent="0.25">
      <c r="A44" s="39"/>
      <c r="B44" s="64"/>
      <c r="C44" s="6"/>
      <c r="D44" s="6"/>
      <c r="E44" s="6"/>
      <c r="F44" s="109"/>
      <c r="G44" s="6"/>
      <c r="H44" s="6"/>
      <c r="I44" s="6"/>
      <c r="P44" s="40"/>
      <c r="T44" s="40"/>
      <c r="U44" s="41"/>
    </row>
    <row r="45" spans="1:24" ht="15.75" thickBot="1" x14ac:dyDescent="0.3">
      <c r="B45" s="67"/>
      <c r="C45" s="9"/>
      <c r="D45" s="9"/>
      <c r="E45" s="9"/>
      <c r="F45" s="106"/>
      <c r="G45" s="9"/>
      <c r="H45" s="9"/>
      <c r="I45" s="9"/>
      <c r="P45" s="40"/>
      <c r="T45" s="40"/>
      <c r="U45" s="41"/>
    </row>
    <row r="46" spans="1:24" ht="15.75" thickBot="1" x14ac:dyDescent="0.3">
      <c r="B46" s="73" t="s">
        <v>43</v>
      </c>
      <c r="C46" s="74" t="s">
        <v>139</v>
      </c>
      <c r="D46" s="74" t="s">
        <v>141</v>
      </c>
      <c r="E46" s="74" t="s">
        <v>142</v>
      </c>
      <c r="F46" s="74" t="s">
        <v>143</v>
      </c>
      <c r="G46" s="74" t="s">
        <v>144</v>
      </c>
      <c r="H46" s="74" t="s">
        <v>145</v>
      </c>
      <c r="I46" s="74" t="s">
        <v>146</v>
      </c>
      <c r="J46" s="74" t="s">
        <v>147</v>
      </c>
      <c r="K46" s="74" t="s">
        <v>148</v>
      </c>
      <c r="L46" s="74" t="s">
        <v>149</v>
      </c>
      <c r="M46" s="74" t="s">
        <v>150</v>
      </c>
      <c r="N46" s="74" t="s">
        <v>151</v>
      </c>
      <c r="O46" s="74" t="s">
        <v>152</v>
      </c>
      <c r="P46" s="74" t="s">
        <v>153</v>
      </c>
      <c r="Q46" s="74" t="s">
        <v>154</v>
      </c>
      <c r="R46" s="74" t="s">
        <v>155</v>
      </c>
      <c r="S46" s="74" t="s">
        <v>156</v>
      </c>
      <c r="T46" s="74" t="s">
        <v>157</v>
      </c>
      <c r="U46" s="74" t="s">
        <v>158</v>
      </c>
      <c r="V46" s="74" t="s">
        <v>159</v>
      </c>
      <c r="W46" s="74" t="s">
        <v>160</v>
      </c>
      <c r="X46" s="74" t="s">
        <v>161</v>
      </c>
    </row>
    <row r="47" spans="1:24" ht="15.75" thickBot="1" x14ac:dyDescent="0.3">
      <c r="B47" s="71" t="s">
        <v>95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72"/>
      <c r="X47" s="72"/>
    </row>
    <row r="48" spans="1:24" x14ac:dyDescent="0.25">
      <c r="B48" s="94" t="s">
        <v>81</v>
      </c>
      <c r="C48" s="76">
        <f t="shared" ref="C48:X48" si="0">VLOOKUP(C$46,$B$16:$H$37,2)</f>
        <v>6.05</v>
      </c>
      <c r="D48" s="76">
        <f t="shared" si="0"/>
        <v>4.6500000000000004</v>
      </c>
      <c r="E48" s="76">
        <f t="shared" si="0"/>
        <v>4.6500000000000004</v>
      </c>
      <c r="F48" s="76">
        <f t="shared" si="0"/>
        <v>6.05</v>
      </c>
      <c r="G48" s="76">
        <f t="shared" si="0"/>
        <v>5.82</v>
      </c>
      <c r="H48" s="76">
        <f t="shared" si="0"/>
        <v>5</v>
      </c>
      <c r="I48" s="76">
        <f t="shared" si="0"/>
        <v>2.1</v>
      </c>
      <c r="J48" s="76">
        <f t="shared" si="0"/>
        <v>1.4</v>
      </c>
      <c r="K48" s="76">
        <f t="shared" si="0"/>
        <v>2.9</v>
      </c>
      <c r="L48" s="76">
        <f t="shared" si="0"/>
        <v>5</v>
      </c>
      <c r="M48" s="76">
        <f t="shared" si="0"/>
        <v>5.82</v>
      </c>
      <c r="N48" s="76">
        <f t="shared" si="0"/>
        <v>1.51</v>
      </c>
      <c r="O48" s="76">
        <f t="shared" si="0"/>
        <v>1.51</v>
      </c>
      <c r="P48" s="76">
        <f t="shared" si="0"/>
        <v>1.51</v>
      </c>
      <c r="Q48" s="76">
        <f t="shared" si="0"/>
        <v>1.51</v>
      </c>
      <c r="R48" s="76">
        <f t="shared" si="0"/>
        <v>1.04</v>
      </c>
      <c r="S48" s="76">
        <f t="shared" si="0"/>
        <v>1.04</v>
      </c>
      <c r="T48" s="76">
        <f t="shared" si="0"/>
        <v>1.34</v>
      </c>
      <c r="U48" s="76">
        <f t="shared" si="0"/>
        <v>1.34</v>
      </c>
      <c r="V48" s="76">
        <f t="shared" si="0"/>
        <v>0.74</v>
      </c>
      <c r="W48" s="76">
        <f t="shared" si="0"/>
        <v>0.7</v>
      </c>
      <c r="X48" s="76">
        <f t="shared" si="0"/>
        <v>2.3199999999999998</v>
      </c>
    </row>
    <row r="49" spans="2:33" x14ac:dyDescent="0.25">
      <c r="B49" s="94" t="s">
        <v>82</v>
      </c>
      <c r="C49" s="76">
        <f t="shared" ref="C49:X49" si="1">VLOOKUP(C$46,$B$16:$H$37,3)</f>
        <v>10</v>
      </c>
      <c r="D49" s="76">
        <f t="shared" si="1"/>
        <v>5.6</v>
      </c>
      <c r="E49" s="76">
        <f t="shared" si="1"/>
        <v>5.6</v>
      </c>
      <c r="F49" s="76">
        <f t="shared" si="1"/>
        <v>7.89</v>
      </c>
      <c r="G49" s="76">
        <f t="shared" si="1"/>
        <v>6.96</v>
      </c>
      <c r="H49" s="76">
        <f t="shared" si="1"/>
        <v>5.0199999999999996</v>
      </c>
      <c r="I49" s="76">
        <f t="shared" si="1"/>
        <v>4.04</v>
      </c>
      <c r="J49" s="76">
        <f t="shared" si="1"/>
        <v>11.2</v>
      </c>
      <c r="K49" s="76">
        <f t="shared" si="1"/>
        <v>6.36</v>
      </c>
      <c r="L49" s="76">
        <f t="shared" si="1"/>
        <v>5.0199999999999996</v>
      </c>
      <c r="M49" s="76">
        <f t="shared" si="1"/>
        <v>6.49</v>
      </c>
      <c r="N49" s="76">
        <f t="shared" si="1"/>
        <v>5.33</v>
      </c>
      <c r="O49" s="76">
        <f t="shared" si="1"/>
        <v>5.6</v>
      </c>
      <c r="P49" s="76">
        <f t="shared" si="1"/>
        <v>5.6</v>
      </c>
      <c r="Q49" s="76">
        <f t="shared" si="1"/>
        <v>5.25</v>
      </c>
      <c r="R49" s="76">
        <f t="shared" si="1"/>
        <v>3.83</v>
      </c>
      <c r="S49" s="76">
        <f t="shared" si="1"/>
        <v>3.83</v>
      </c>
      <c r="T49" s="76">
        <f t="shared" si="1"/>
        <v>7.01</v>
      </c>
      <c r="U49" s="76">
        <f t="shared" si="1"/>
        <v>7.09</v>
      </c>
      <c r="V49" s="76">
        <f t="shared" si="1"/>
        <v>3.83</v>
      </c>
      <c r="W49" s="76">
        <f t="shared" si="1"/>
        <v>3.83</v>
      </c>
      <c r="X49" s="76">
        <f t="shared" si="1"/>
        <v>4.3</v>
      </c>
    </row>
    <row r="50" spans="2:33" x14ac:dyDescent="0.25">
      <c r="B50" s="97" t="s">
        <v>86</v>
      </c>
      <c r="C50" s="76">
        <f>ROUNDUP((C54*C48*100)/C55+$C$5,0)</f>
        <v>9</v>
      </c>
      <c r="D50" s="76">
        <f t="shared" ref="D50:X50" si="2">ROUNDUP((D54*D48*100)/D55+$C$5,0)</f>
        <v>10</v>
      </c>
      <c r="E50" s="76">
        <f t="shared" si="2"/>
        <v>10</v>
      </c>
      <c r="F50" s="76">
        <f t="shared" si="2"/>
        <v>12</v>
      </c>
      <c r="G50" s="76">
        <f t="shared" si="2"/>
        <v>12</v>
      </c>
      <c r="H50" s="76">
        <f t="shared" si="2"/>
        <v>10</v>
      </c>
      <c r="I50" s="76">
        <f t="shared" si="2"/>
        <v>7</v>
      </c>
      <c r="J50" s="76">
        <f t="shared" si="2"/>
        <v>5</v>
      </c>
      <c r="K50" s="76">
        <f t="shared" si="2"/>
        <v>7</v>
      </c>
      <c r="L50" s="76">
        <f t="shared" si="2"/>
        <v>10</v>
      </c>
      <c r="M50" s="76">
        <f t="shared" si="2"/>
        <v>12</v>
      </c>
      <c r="N50" s="76">
        <f t="shared" si="2"/>
        <v>6</v>
      </c>
      <c r="O50" s="76">
        <f t="shared" si="2"/>
        <v>6</v>
      </c>
      <c r="P50" s="76">
        <f t="shared" si="2"/>
        <v>6</v>
      </c>
      <c r="Q50" s="76">
        <f t="shared" si="2"/>
        <v>6</v>
      </c>
      <c r="R50" s="76">
        <f t="shared" si="2"/>
        <v>5</v>
      </c>
      <c r="S50" s="76">
        <f t="shared" si="2"/>
        <v>5</v>
      </c>
      <c r="T50" s="76">
        <f t="shared" si="2"/>
        <v>6</v>
      </c>
      <c r="U50" s="76">
        <f t="shared" si="2"/>
        <v>6</v>
      </c>
      <c r="V50" s="76">
        <f t="shared" si="2"/>
        <v>4</v>
      </c>
      <c r="W50" s="76">
        <f t="shared" si="2"/>
        <v>4</v>
      </c>
      <c r="X50" s="76">
        <f t="shared" si="2"/>
        <v>6</v>
      </c>
    </row>
    <row r="51" spans="2:33" ht="15.75" thickBot="1" x14ac:dyDescent="0.3">
      <c r="B51" s="98" t="s">
        <v>0</v>
      </c>
      <c r="C51" s="113">
        <f t="shared" ref="C51:X51" si="3">VLOOKUP(C$46,$B$16:$I$37,5)</f>
        <v>6</v>
      </c>
      <c r="D51" s="113">
        <f t="shared" si="3"/>
        <v>6</v>
      </c>
      <c r="E51" s="113">
        <f t="shared" si="3"/>
        <v>6</v>
      </c>
      <c r="F51" s="113">
        <f t="shared" si="3"/>
        <v>6</v>
      </c>
      <c r="G51" s="113">
        <f t="shared" si="3"/>
        <v>6</v>
      </c>
      <c r="H51" s="113">
        <f t="shared" si="3"/>
        <v>6</v>
      </c>
      <c r="I51" s="113" t="str">
        <f t="shared" si="3"/>
        <v>5b</v>
      </c>
      <c r="J51" s="113">
        <f t="shared" si="3"/>
        <v>6</v>
      </c>
      <c r="K51" s="113">
        <f t="shared" si="3"/>
        <v>6</v>
      </c>
      <c r="L51" s="113">
        <f t="shared" si="3"/>
        <v>6</v>
      </c>
      <c r="M51" s="113">
        <f t="shared" si="3"/>
        <v>6</v>
      </c>
      <c r="N51" s="113" t="str">
        <f t="shared" si="3"/>
        <v>2a</v>
      </c>
      <c r="O51" s="113" t="str">
        <f t="shared" si="3"/>
        <v>5b</v>
      </c>
      <c r="P51" s="113" t="str">
        <f t="shared" si="3"/>
        <v>5b</v>
      </c>
      <c r="Q51" s="113" t="str">
        <f t="shared" si="3"/>
        <v>2a</v>
      </c>
      <c r="R51" s="113" t="str">
        <f t="shared" si="3"/>
        <v>2a</v>
      </c>
      <c r="S51" s="113" t="str">
        <f t="shared" si="3"/>
        <v>2a</v>
      </c>
      <c r="T51" s="113" t="str">
        <f t="shared" si="3"/>
        <v>2a</v>
      </c>
      <c r="U51" s="113" t="str">
        <f t="shared" si="3"/>
        <v>2a</v>
      </c>
      <c r="V51" s="113" t="str">
        <f t="shared" si="3"/>
        <v>2a</v>
      </c>
      <c r="W51" s="113" t="str">
        <f t="shared" si="3"/>
        <v>2a</v>
      </c>
      <c r="X51" s="113" t="str">
        <f t="shared" si="3"/>
        <v>5b</v>
      </c>
    </row>
    <row r="52" spans="2:33" ht="15.75" thickBot="1" x14ac:dyDescent="0.3">
      <c r="B52" s="71" t="s">
        <v>94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72"/>
      <c r="X52" s="72"/>
    </row>
    <row r="53" spans="2:33" x14ac:dyDescent="0.25">
      <c r="B53" s="97" t="s">
        <v>84</v>
      </c>
      <c r="C53" s="256">
        <f t="shared" ref="C53:X53" si="4">ROUNDUP(C49/C48,1)</f>
        <v>1.7000000000000002</v>
      </c>
      <c r="D53" s="80">
        <f t="shared" si="4"/>
        <v>1.3</v>
      </c>
      <c r="E53" s="80">
        <f t="shared" si="4"/>
        <v>1.3</v>
      </c>
      <c r="F53" s="80">
        <f t="shared" si="4"/>
        <v>1.4000000000000001</v>
      </c>
      <c r="G53" s="80">
        <f t="shared" si="4"/>
        <v>1.2000000000000002</v>
      </c>
      <c r="H53" s="80">
        <f t="shared" si="4"/>
        <v>1.1000000000000001</v>
      </c>
      <c r="I53" s="80">
        <f t="shared" si="4"/>
        <v>2</v>
      </c>
      <c r="J53" s="80">
        <f t="shared" si="4"/>
        <v>8</v>
      </c>
      <c r="K53" s="80">
        <f t="shared" si="4"/>
        <v>2.2000000000000002</v>
      </c>
      <c r="L53" s="80">
        <f t="shared" si="4"/>
        <v>1.1000000000000001</v>
      </c>
      <c r="M53" s="80">
        <f t="shared" si="4"/>
        <v>1.2000000000000002</v>
      </c>
      <c r="N53" s="80">
        <f t="shared" si="4"/>
        <v>3.6</v>
      </c>
      <c r="O53" s="80">
        <f t="shared" si="4"/>
        <v>3.8000000000000003</v>
      </c>
      <c r="P53" s="80">
        <f t="shared" si="4"/>
        <v>3.8000000000000003</v>
      </c>
      <c r="Q53" s="80">
        <f t="shared" si="4"/>
        <v>3.5</v>
      </c>
      <c r="R53" s="80">
        <f t="shared" si="4"/>
        <v>3.7</v>
      </c>
      <c r="S53" s="80">
        <f t="shared" si="4"/>
        <v>3.7</v>
      </c>
      <c r="T53" s="80">
        <f t="shared" si="4"/>
        <v>5.3</v>
      </c>
      <c r="U53" s="80">
        <f t="shared" si="4"/>
        <v>5.3</v>
      </c>
      <c r="V53" s="80">
        <f t="shared" si="4"/>
        <v>5.1999999999999993</v>
      </c>
      <c r="W53" s="80">
        <f t="shared" si="4"/>
        <v>5.5</v>
      </c>
      <c r="X53" s="256">
        <f t="shared" si="4"/>
        <v>1.9000000000000001</v>
      </c>
    </row>
    <row r="54" spans="2:33" x14ac:dyDescent="0.25">
      <c r="B54" s="97" t="s">
        <v>337</v>
      </c>
      <c r="C54" s="76">
        <f>IF(C53&gt;1.5,VLOOKUP(C51&amp;1.5,tablas!$M$3:$P$56,4,FALSE),VLOOKUP(C51&amp;C53,tablas!$M$3:$P$56,4,FALSE))</f>
        <v>0.57999999999999996</v>
      </c>
      <c r="D54" s="76">
        <f>IF(D53&gt;1.5,VLOOKUP(D51&amp;1.5,tablas!$M$3:$P$56,4,FALSE),VLOOKUP(D51&amp;D53,tablas!$M$3:$P$56,4,FALSE))</f>
        <v>0.56000000000000005</v>
      </c>
      <c r="E54" s="76">
        <f>IF(E53&gt;1.5,VLOOKUP(E51&amp;1.5,tablas!$M$3:$P$56,4,FALSE),VLOOKUP(E51&amp;E53,tablas!$M$3:$P$56,4,FALSE))</f>
        <v>0.56000000000000005</v>
      </c>
      <c r="F54" s="76">
        <f>IF(F53&gt;1.5,VLOOKUP(F51&amp;1.5,tablas!$M$3:$P$56,4,FALSE),VLOOKUP(F51&amp;F53,tablas!$M$3:$P$56,4,FALSE))</f>
        <v>0.56999999999999995</v>
      </c>
      <c r="G54" s="76">
        <f>IF(G53&gt;1.5,VLOOKUP(G51&amp;1.5,tablas!$M$3:$P$56,4,FALSE),VLOOKUP(G51&amp;G53,tablas!$M$3:$P$56,4,FALSE))</f>
        <v>0.56000000000000005</v>
      </c>
      <c r="H54" s="76">
        <f>IF(H53&gt;1.5,VLOOKUP(H51&amp;1.5,tablas!$M$3:$P$56,4,FALSE),VLOOKUP(H51&amp;H53,tablas!$M$3:$P$56,4,FALSE))</f>
        <v>0.55000000000000004</v>
      </c>
      <c r="I54" s="76">
        <f>IF(I53&gt;1.5,VLOOKUP(I51&amp;1.5,tablas!$M$3:$P$56,4,FALSE),VLOOKUP(I51&amp;I53,tablas!$M$3:$P$56,4,FALSE))</f>
        <v>0.75</v>
      </c>
      <c r="J54" s="76">
        <f>IF(J53&gt;1.5,VLOOKUP(J51&amp;1.5,tablas!$M$3:$P$56,4,FALSE),VLOOKUP(J51&amp;J53,tablas!$M$3:$P$56,4,FALSE))</f>
        <v>0.57999999999999996</v>
      </c>
      <c r="K54" s="76">
        <f>IF(K53&gt;1.5,VLOOKUP(K51&amp;1.5,tablas!$M$3:$P$56,4,FALSE),VLOOKUP(K51&amp;K53,tablas!$M$3:$P$56,4,FALSE))</f>
        <v>0.57999999999999996</v>
      </c>
      <c r="L54" s="76">
        <f>IF(L53&gt;1.5,VLOOKUP(L51&amp;1.5,tablas!$M$3:$P$56,4,FALSE),VLOOKUP(L51&amp;L53,tablas!$M$3:$P$56,4,FALSE))</f>
        <v>0.55000000000000004</v>
      </c>
      <c r="M54" s="76">
        <f>IF(M53&gt;1.5,VLOOKUP(M51&amp;1.5,tablas!$M$3:$P$56,4,FALSE),VLOOKUP(M51&amp;M53,tablas!$M$3:$P$56,4,FALSE))</f>
        <v>0.56000000000000005</v>
      </c>
      <c r="N54" s="76">
        <f>IF(N53&gt;1.5,VLOOKUP(N51&amp;1.5,tablas!$M$3:$P$56,4,FALSE),VLOOKUP(N51&amp;N53,tablas!$M$3:$P$56,4,FALSE))</f>
        <v>0.8</v>
      </c>
      <c r="O54" s="76">
        <f>IF(O53&gt;1.5,VLOOKUP(O51&amp;1.5,tablas!$M$3:$P$56,4,FALSE),VLOOKUP(O51&amp;O53,tablas!$M$3:$P$56,4,FALSE))</f>
        <v>0.75</v>
      </c>
      <c r="P54" s="76">
        <f>IF(P53&gt;1.5,VLOOKUP(P51&amp;1.5,tablas!$M$3:$P$56,4,FALSE),VLOOKUP(P51&amp;P53,tablas!$M$3:$P$56,4,FALSE))</f>
        <v>0.75</v>
      </c>
      <c r="Q54" s="76">
        <f>IF(Q53&gt;1.5,VLOOKUP(Q51&amp;1.5,tablas!$M$3:$P$56,4,FALSE),VLOOKUP(Q51&amp;Q53,tablas!$M$3:$P$56,4,FALSE))</f>
        <v>0.8</v>
      </c>
      <c r="R54" s="76">
        <f>IF(R53&gt;1.5,VLOOKUP(R51&amp;1.5,tablas!$M$3:$P$56,4,FALSE),VLOOKUP(R51&amp;R53,tablas!$M$3:$P$56,4,FALSE))</f>
        <v>0.8</v>
      </c>
      <c r="S54" s="76">
        <f>IF(S53&gt;1.5,VLOOKUP(S51&amp;1.5,tablas!$M$3:$P$56,4,FALSE),VLOOKUP(S51&amp;S53,tablas!$M$3:$P$56,4,FALSE))</f>
        <v>0.8</v>
      </c>
      <c r="T54" s="76">
        <f>IF(T53&gt;1.5,VLOOKUP(T51&amp;1.5,tablas!$M$3:$P$56,4,FALSE),VLOOKUP(T51&amp;T53,tablas!$M$3:$P$56,4,FALSE))</f>
        <v>0.8</v>
      </c>
      <c r="U54" s="76">
        <f>IF(U53&gt;1.5,VLOOKUP(U51&amp;1.5,tablas!$M$3:$P$56,4,FALSE),VLOOKUP(U51&amp;U53,tablas!$M$3:$P$56,4,FALSE))</f>
        <v>0.8</v>
      </c>
      <c r="V54" s="76">
        <f>IF(V53&gt;1.5,VLOOKUP(V51&amp;1.5,tablas!$M$3:$P$56,4,FALSE),VLOOKUP(V51&amp;V53,tablas!$M$3:$P$56,4,FALSE))</f>
        <v>0.8</v>
      </c>
      <c r="W54" s="76">
        <f>IF(W53&gt;1.5,VLOOKUP(W51&amp;1.5,tablas!$M$3:$P$56,4,FALSE),VLOOKUP(W51&amp;W53,tablas!$M$3:$P$56,4,FALSE))</f>
        <v>0.8</v>
      </c>
      <c r="X54" s="76">
        <f>IF(X53&gt;1.5,VLOOKUP(X51&amp;1.5,tablas!$M$3:$P$56,4,FALSE),VLOOKUP(X51&amp;X53,tablas!$M$3:$P$56,4,FALSE))</f>
        <v>0.75</v>
      </c>
      <c r="Y54" s="193"/>
      <c r="Z54" s="193"/>
      <c r="AA54" s="193"/>
      <c r="AB54" s="193"/>
      <c r="AC54" s="193"/>
      <c r="AD54" s="193"/>
      <c r="AE54" s="193"/>
      <c r="AF54" s="39"/>
      <c r="AG54" s="39"/>
    </row>
    <row r="55" spans="2:33" x14ac:dyDescent="0.25">
      <c r="B55" s="97" t="s">
        <v>85</v>
      </c>
      <c r="C55" s="76">
        <v>53</v>
      </c>
      <c r="D55" s="76">
        <v>35</v>
      </c>
      <c r="E55" s="76">
        <v>35</v>
      </c>
      <c r="F55" s="76">
        <v>35</v>
      </c>
      <c r="G55" s="76">
        <v>35</v>
      </c>
      <c r="H55" s="76">
        <v>35</v>
      </c>
      <c r="I55" s="76">
        <v>35</v>
      </c>
      <c r="J55" s="76">
        <v>35</v>
      </c>
      <c r="K55" s="76">
        <v>35</v>
      </c>
      <c r="L55" s="76">
        <v>35</v>
      </c>
      <c r="M55" s="76">
        <v>35</v>
      </c>
      <c r="N55" s="76">
        <v>35</v>
      </c>
      <c r="O55" s="76">
        <v>35</v>
      </c>
      <c r="P55" s="76">
        <v>35</v>
      </c>
      <c r="Q55" s="76">
        <v>35</v>
      </c>
      <c r="R55" s="76">
        <v>35</v>
      </c>
      <c r="S55" s="76">
        <v>35</v>
      </c>
      <c r="T55" s="76">
        <v>35</v>
      </c>
      <c r="U55" s="76">
        <v>35</v>
      </c>
      <c r="V55" s="76">
        <v>35</v>
      </c>
      <c r="W55" s="76">
        <v>35</v>
      </c>
      <c r="X55" s="76">
        <v>53</v>
      </c>
    </row>
    <row r="56" spans="2:33" x14ac:dyDescent="0.25">
      <c r="B56" s="97" t="s">
        <v>11</v>
      </c>
      <c r="C56" s="76">
        <f>IF(C53&lt;=2,VLOOKUP(C51&amp;C53-0.1,tablas!$B$3:$K$92,4,FALSE),"Franja de losa")</f>
        <v>1</v>
      </c>
      <c r="D56" s="76">
        <f>IF(D53&lt;=2,VLOOKUP(D51&amp;D53,tablas!$B$3:$K$92,4,FALSE),"Franja de losa")</f>
        <v>1</v>
      </c>
      <c r="E56" s="76">
        <f>IF(E53&lt;=2,VLOOKUP(E51&amp;E53,tablas!$B$3:$K$92,4,FALSE),"Franja de losa")</f>
        <v>1</v>
      </c>
      <c r="F56" s="76">
        <f>IF(F53&lt;=2,VLOOKUP(F51&amp;F53,tablas!$B$3:$K$92,4,FALSE),"Franja de losa")</f>
        <v>1</v>
      </c>
      <c r="G56" s="76">
        <f>IF(G53&lt;=2,VLOOKUP(G51&amp;G53,tablas!$B$3:$K$92,4,FALSE),"Franja de losa")</f>
        <v>1</v>
      </c>
      <c r="H56" s="76">
        <f>IF(H53&lt;=2,VLOOKUP(H51&amp;H53,tablas!$B$3:$K$92,4,FALSE),"Franja de losa")</f>
        <v>1</v>
      </c>
      <c r="I56" s="76">
        <f>IF(I53&lt;=2,VLOOKUP(I51&amp;I53,tablas!$B$3:$K$92,4,FALSE),"Franja de losa")</f>
        <v>1</v>
      </c>
      <c r="J56" s="76" t="str">
        <f>IF(J53&lt;=2,VLOOKUP(J51&amp;J53,tablas!$B$3:$K$92,4,FALSE),"Franja de losa")</f>
        <v>Franja de losa</v>
      </c>
      <c r="K56" s="76" t="str">
        <f>IF(K53&lt;=2,VLOOKUP(K51&amp;K53,tablas!$B$3:$K$92,4,FALSE),"Franja de losa")</f>
        <v>Franja de losa</v>
      </c>
      <c r="L56" s="76">
        <f>IF(L53&lt;=2,VLOOKUP(L51&amp;L53,tablas!$B$3:$K$92,4,FALSE),"Franja de losa")</f>
        <v>1</v>
      </c>
      <c r="M56" s="76">
        <f>IF(M53&lt;=2,VLOOKUP(M51&amp;M53,tablas!$B$3:$K$92,4,FALSE),"Franja de losa")</f>
        <v>1</v>
      </c>
      <c r="N56" s="76" t="str">
        <f>IF(N53&lt;=2,VLOOKUP(N51&amp;N53,tablas!$B$3:$K$92,4,FALSE),"Franja de losa")</f>
        <v>Franja de losa</v>
      </c>
      <c r="O56" s="76" t="str">
        <f>IF(O53&lt;=2,VLOOKUP(O51&amp;O53,tablas!$B$3:$K$92,4,FALSE),"Franja de losa")</f>
        <v>Franja de losa</v>
      </c>
      <c r="P56" s="76" t="str">
        <f>IF(P53&lt;=2,VLOOKUP(P51&amp;P53,tablas!$B$3:$K$92,4,FALSE),"Franja de losa")</f>
        <v>Franja de losa</v>
      </c>
      <c r="Q56" s="76" t="str">
        <f>IF(Q53&lt;=2,VLOOKUP(Q51&amp;Q53,tablas!$B$3:$K$92,4,FALSE),"Franja de losa")</f>
        <v>Franja de losa</v>
      </c>
      <c r="R56" s="76" t="str">
        <f>IF(R53&lt;=2,VLOOKUP(R51&amp;R53,tablas!$B$3:$K$92,4,FALSE),"Franja de losa")</f>
        <v>Franja de losa</v>
      </c>
      <c r="S56" s="76" t="str">
        <f>IF(S53&lt;=2,VLOOKUP(S51&amp;S53,tablas!$B$3:$K$92,4,FALSE),"Franja de losa")</f>
        <v>Franja de losa</v>
      </c>
      <c r="T56" s="76" t="str">
        <f>IF(T53&lt;=2,VLOOKUP(T51&amp;T53,tablas!$B$3:$K$92,4,FALSE),"Franja de losa")</f>
        <v>Franja de losa</v>
      </c>
      <c r="U56" s="76" t="str">
        <f>IF(U53&lt;=2,VLOOKUP(U51&amp;U53,tablas!$B$3:$K$92,4,FALSE),"Franja de losa")</f>
        <v>Franja de losa</v>
      </c>
      <c r="V56" s="76" t="str">
        <f>IF(V53&lt;=2,VLOOKUP(V51&amp;V53,tablas!$B$3:$K$92,4,FALSE),"Franja de losa")</f>
        <v>Franja de losa</v>
      </c>
      <c r="W56" s="76" t="str">
        <f>IF(W53&lt;=2,VLOOKUP(W51&amp;W53,tablas!$B$3:$K$92,4,FALSE),"Franja de losa")</f>
        <v>Franja de losa</v>
      </c>
      <c r="X56" s="76">
        <f>IF(X53&lt;=2,VLOOKUP(X51&amp;X53-0.1,tablas!$B$3:$K$92,4,FALSE),"Franja de losa")</f>
        <v>1</v>
      </c>
      <c r="Y56" s="193"/>
      <c r="Z56" s="193"/>
      <c r="AA56" s="193"/>
      <c r="AB56" s="193"/>
      <c r="AC56" s="193"/>
      <c r="AD56" s="193"/>
      <c r="AE56" s="193"/>
      <c r="AF56" s="39"/>
      <c r="AG56" s="39"/>
    </row>
    <row r="57" spans="2:33" x14ac:dyDescent="0.25">
      <c r="B57" s="94" t="s">
        <v>4</v>
      </c>
      <c r="C57" s="76">
        <f>IF(C53&lt;=2,VLOOKUP(C51&amp;C53-0.1,tablas!$B$3:$K$92,7,FALSE),"Franja de losa")</f>
        <v>46.1</v>
      </c>
      <c r="D57" s="76">
        <f>IF(D53&lt;=2,VLOOKUP(D51&amp;D53,tablas!$B$3:$K$92,7,FALSE),"Franja de losa")</f>
        <v>45.2</v>
      </c>
      <c r="E57" s="76">
        <f>IF(E53&lt;=2,VLOOKUP(E51&amp;E53,tablas!$B$3:$K$92,7,FALSE),"Franja de losa")</f>
        <v>45.2</v>
      </c>
      <c r="F57" s="76">
        <f>IF(F53&lt;=2,VLOOKUP(F51&amp;F53,tablas!$B$3:$K$92,7,FALSE),"Franja de losa")</f>
        <v>44.6</v>
      </c>
      <c r="G57" s="76">
        <f>IF(G53&lt;=2,VLOOKUP(G51&amp;G53,tablas!$B$3:$K$92,7,FALSE),"Franja de losa")</f>
        <v>47.2</v>
      </c>
      <c r="H57" s="76">
        <f>IF(H53&lt;=2,VLOOKUP(H51&amp;H53,tablas!$B$3:$K$92,7,FALSE),"Franja de losa")</f>
        <v>50.7</v>
      </c>
      <c r="I57" s="76">
        <f>IF(I53&lt;=2,VLOOKUP(I51&amp;I53,tablas!$B$3:$K$92,7,FALSE),"Franja de losa")</f>
        <v>37.5</v>
      </c>
      <c r="J57" s="76" t="str">
        <f>IF(J53&lt;=2,VLOOKUP(J51&amp;J53,tablas!$B$3:$K$92,7,FALSE),"Franja de losa")</f>
        <v>Franja de losa</v>
      </c>
      <c r="K57" s="76" t="str">
        <f>IF(K53&lt;=2,VLOOKUP(K51&amp;K53,tablas!$B$3:$K$92,7,FALSE),"Franja de losa")</f>
        <v>Franja de losa</v>
      </c>
      <c r="L57" s="76">
        <f>IF(L53&lt;=2,VLOOKUP(L51&amp;L53,tablas!$B$3:$K$92,7,FALSE),"Franja de losa")</f>
        <v>50.7</v>
      </c>
      <c r="M57" s="76">
        <f>IF(M53&lt;=2,VLOOKUP(M51&amp;M53,tablas!$B$3:$K$92,7,FALSE),"Franja de losa")</f>
        <v>47.2</v>
      </c>
      <c r="N57" s="76" t="str">
        <f>IF(N53&lt;=2,VLOOKUP(N51&amp;N53,tablas!$B$3:$K$92,7,FALSE),"Franja de losa")</f>
        <v>Franja de losa</v>
      </c>
      <c r="O57" s="76" t="str">
        <f>IF(O53&lt;=2,VLOOKUP(O51&amp;O53,tablas!$B$3:$K$92,7,FALSE),"Franja de losa")</f>
        <v>Franja de losa</v>
      </c>
      <c r="P57" s="76" t="str">
        <f>IF(P53&lt;=2,VLOOKUP(P51&amp;P53,tablas!$B$3:$K$92,7,FALSE),"Franja de losa")</f>
        <v>Franja de losa</v>
      </c>
      <c r="Q57" s="76" t="str">
        <f>IF(Q53&lt;=2,VLOOKUP(Q51&amp;Q53,tablas!$B$3:$K$92,7,FALSE),"Franja de losa")</f>
        <v>Franja de losa</v>
      </c>
      <c r="R57" s="76" t="str">
        <f>IF(R53&lt;=2,VLOOKUP(R51&amp;R53,tablas!$B$3:$K$92,7,FALSE),"Franja de losa")</f>
        <v>Franja de losa</v>
      </c>
      <c r="S57" s="76" t="str">
        <f>IF(S53&lt;=2,VLOOKUP(S51&amp;S53,tablas!$B$3:$K$92,7,FALSE),"Franja de losa")</f>
        <v>Franja de losa</v>
      </c>
      <c r="T57" s="76" t="str">
        <f>IF(T53&lt;=2,VLOOKUP(T51&amp;T53,tablas!$B$3:$K$92,7,FALSE),"Franja de losa")</f>
        <v>Franja de losa</v>
      </c>
      <c r="U57" s="76" t="str">
        <f>IF(U53&lt;=2,VLOOKUP(U51&amp;U53,tablas!$B$3:$K$92,7,FALSE),"Franja de losa")</f>
        <v>Franja de losa</v>
      </c>
      <c r="V57" s="76" t="str">
        <f>IF(V53&lt;=2,VLOOKUP(V51&amp;V53,tablas!$B$3:$K$92,7,FALSE),"Franja de losa")</f>
        <v>Franja de losa</v>
      </c>
      <c r="W57" s="76" t="str">
        <f>IF(W53&lt;=2,VLOOKUP(W51&amp;W53,tablas!$B$3:$K$92,7,FALSE),"Franja de losa")</f>
        <v>Franja de losa</v>
      </c>
      <c r="X57" s="76">
        <f>IF(X53&lt;=2,VLOOKUP(X51&amp;X53-0.1,tablas!$B$3:$K$92,7,FALSE),"Franja de losa")</f>
        <v>37.6</v>
      </c>
    </row>
    <row r="58" spans="2:33" x14ac:dyDescent="0.25">
      <c r="B58" s="94" t="s">
        <v>5</v>
      </c>
      <c r="C58" s="76">
        <f>IF(C53&lt;=2,VLOOKUP(C51&amp;C53-0.1,tablas!$B$3:$K$92,8,FALSE),"Franja de losa")</f>
        <v>163</v>
      </c>
      <c r="D58" s="76">
        <f>IF(D53&lt;=2,VLOOKUP(D51&amp;D53,tablas!$B$3:$K$92,8,FALSE),"Franja de losa")</f>
        <v>95.6</v>
      </c>
      <c r="E58" s="76">
        <f>IF(E53&lt;=2,VLOOKUP(E51&amp;E53,tablas!$B$3:$K$92,8,FALSE),"Franja de losa")</f>
        <v>95.6</v>
      </c>
      <c r="F58" s="76">
        <f>IF(F53&lt;=2,VLOOKUP(F51&amp;F53,tablas!$B$3:$K$92,8,FALSE),"Franja de losa")</f>
        <v>116.6</v>
      </c>
      <c r="G58" s="76">
        <f>IF(G53&lt;=2,VLOOKUP(G51&amp;G53,tablas!$B$3:$K$92,8,FALSE),"Franja de losa")</f>
        <v>78.900000000000006</v>
      </c>
      <c r="H58" s="76">
        <f>IF(H53&lt;=2,VLOOKUP(H51&amp;H53,tablas!$B$3:$K$92,8,FALSE),"Franja de losa")</f>
        <v>66.3</v>
      </c>
      <c r="I58" s="76">
        <f>IF(I53&lt;=2,VLOOKUP(I51&amp;I53,tablas!$B$3:$K$92,8,FALSE),"Franja de losa")</f>
        <v>202</v>
      </c>
      <c r="J58" s="76" t="str">
        <f>IF(J53&lt;=2,VLOOKUP(J51&amp;J53,tablas!$B$3:$K$92,8,FALSE),"Franja de losa")</f>
        <v>Franja de losa</v>
      </c>
      <c r="K58" s="76" t="str">
        <f>IF(K53&lt;=2,VLOOKUP(K51&amp;K53,tablas!$B$3:$K$92,8,FALSE),"Franja de losa")</f>
        <v>Franja de losa</v>
      </c>
      <c r="L58" s="76">
        <f>IF(L53&lt;=2,VLOOKUP(L51&amp;L53,tablas!$B$3:$K$92,8,FALSE),"Franja de losa")</f>
        <v>66.3</v>
      </c>
      <c r="M58" s="76">
        <f>IF(M53&lt;=2,VLOOKUP(M51&amp;M53,tablas!$B$3:$K$92,8,FALSE),"Franja de losa")</f>
        <v>78.900000000000006</v>
      </c>
      <c r="N58" s="76" t="str">
        <f>IF(N53&lt;=2,VLOOKUP(N51&amp;N53,tablas!$B$3:$K$92,8,FALSE),"Franja de losa")</f>
        <v>Franja de losa</v>
      </c>
      <c r="O58" s="76" t="str">
        <f>IF(O53&lt;=2,VLOOKUP(O51&amp;O53,tablas!$B$3:$K$92,8,FALSE),"Franja de losa")</f>
        <v>Franja de losa</v>
      </c>
      <c r="P58" s="76" t="str">
        <f>IF(P53&lt;=2,VLOOKUP(P51&amp;P53,tablas!$B$3:$K$92,8,FALSE),"Franja de losa")</f>
        <v>Franja de losa</v>
      </c>
      <c r="Q58" s="76" t="str">
        <f>IF(Q53&lt;=2,VLOOKUP(Q51&amp;Q53,tablas!$B$3:$K$92,8,FALSE),"Franja de losa")</f>
        <v>Franja de losa</v>
      </c>
      <c r="R58" s="76" t="str">
        <f>IF(R53&lt;=2,VLOOKUP(R51&amp;R53,tablas!$B$3:$K$92,8,FALSE),"Franja de losa")</f>
        <v>Franja de losa</v>
      </c>
      <c r="S58" s="76" t="str">
        <f>IF(S53&lt;=2,VLOOKUP(S51&amp;S53,tablas!$B$3:$K$92,8,FALSE),"Franja de losa")</f>
        <v>Franja de losa</v>
      </c>
      <c r="T58" s="76" t="str">
        <f>IF(T53&lt;=2,VLOOKUP(T51&amp;T53,tablas!$B$3:$K$92,8,FALSE),"Franja de losa")</f>
        <v>Franja de losa</v>
      </c>
      <c r="U58" s="76" t="str">
        <f>IF(U53&lt;=2,VLOOKUP(U51&amp;U53,tablas!$B$3:$K$92,8,FALSE),"Franja de losa")</f>
        <v>Franja de losa</v>
      </c>
      <c r="V58" s="76" t="str">
        <f>IF(V53&lt;=2,VLOOKUP(V51&amp;V53,tablas!$B$3:$K$92,8,FALSE),"Franja de losa")</f>
        <v>Franja de losa</v>
      </c>
      <c r="W58" s="76" t="str">
        <f>IF(W53&lt;=2,VLOOKUP(W51&amp;W53,tablas!$B$3:$K$92,8,FALSE),"Franja de losa")</f>
        <v>Franja de losa</v>
      </c>
      <c r="X58" s="76">
        <f>IF(X53&lt;=2,VLOOKUP(X51&amp;X53-0.1,tablas!$B$3:$K$92,8,FALSE),"Franja de losa")</f>
        <v>143</v>
      </c>
    </row>
    <row r="59" spans="2:33" x14ac:dyDescent="0.25">
      <c r="B59" s="94" t="s">
        <v>6</v>
      </c>
      <c r="C59" s="76">
        <f>IF(C53&lt;=2,VLOOKUP(C51&amp;C53-0.1,tablas!$B$3:$K$92,9,FALSE),"Franja de losa")</f>
        <v>20.5</v>
      </c>
      <c r="D59" s="76">
        <f>IF(D53&lt;=2,VLOOKUP(D51&amp;D53,tablas!$B$3:$K$92,9,FALSE),"Franja de losa")</f>
        <v>18.8</v>
      </c>
      <c r="E59" s="76">
        <f>IF(E53&lt;=2,VLOOKUP(E51&amp;E53,tablas!$B$3:$K$92,9,FALSE),"Franja de losa")</f>
        <v>18.8</v>
      </c>
      <c r="F59" s="76">
        <f>IF(F53&lt;=2,VLOOKUP(F51&amp;F53,tablas!$B$3:$K$92,9,FALSE),"Franja de losa")</f>
        <v>19.2</v>
      </c>
      <c r="G59" s="76">
        <f>IF(G53&lt;=2,VLOOKUP(G51&amp;G53,tablas!$B$3:$K$92,9,FALSE),"Franja de losa")</f>
        <v>18.600000000000001</v>
      </c>
      <c r="H59" s="76">
        <f>IF(H53&lt;=2,VLOOKUP(H51&amp;H53,tablas!$B$3:$K$92,9,FALSE),"Franja de losa")</f>
        <v>18.8</v>
      </c>
      <c r="I59" s="76">
        <f>IF(I53&lt;=2,VLOOKUP(I51&amp;I53,tablas!$B$3:$K$92,9,FALSE),"Franja de losa")</f>
        <v>17.600000000000001</v>
      </c>
      <c r="J59" s="76" t="str">
        <f>IF(J53&lt;=2,VLOOKUP(J51&amp;J53,tablas!$B$3:$K$92,9,FALSE),"Franja de losa")</f>
        <v>Franja de losa</v>
      </c>
      <c r="K59" s="76" t="str">
        <f>IF(K53&lt;=2,VLOOKUP(K51&amp;K53,tablas!$B$3:$K$92,9,FALSE),"Franja de losa")</f>
        <v>Franja de losa</v>
      </c>
      <c r="L59" s="76">
        <f>IF(L53&lt;=2,VLOOKUP(L51&amp;L53,tablas!$B$3:$K$92,9,FALSE),"Franja de losa")</f>
        <v>18.8</v>
      </c>
      <c r="M59" s="76">
        <f>IF(M53&lt;=2,VLOOKUP(M51&amp;M53,tablas!$B$3:$K$92,9,FALSE),"Franja de losa")</f>
        <v>18.600000000000001</v>
      </c>
      <c r="N59" s="76" t="str">
        <f>IF(N53&lt;=2,VLOOKUP(N51&amp;N53,tablas!$B$3:$K$92,9,FALSE),"Franja de losa")</f>
        <v>Franja de losa</v>
      </c>
      <c r="O59" s="76" t="str">
        <f>IF(O53&lt;=2,VLOOKUP(O51&amp;O53,tablas!$B$3:$K$92,9,FALSE),"Franja de losa")</f>
        <v>Franja de losa</v>
      </c>
      <c r="P59" s="76" t="str">
        <f>IF(P53&lt;=2,VLOOKUP(P51&amp;P53,tablas!$B$3:$K$92,9,FALSE),"Franja de losa")</f>
        <v>Franja de losa</v>
      </c>
      <c r="Q59" s="76" t="str">
        <f>IF(Q53&lt;=2,VLOOKUP(Q51&amp;Q53,tablas!$B$3:$K$92,9,FALSE),"Franja de losa")</f>
        <v>Franja de losa</v>
      </c>
      <c r="R59" s="76" t="str">
        <f>IF(R53&lt;=2,VLOOKUP(R51&amp;R53,tablas!$B$3:$K$92,9,FALSE),"Franja de losa")</f>
        <v>Franja de losa</v>
      </c>
      <c r="S59" s="76" t="str">
        <f>IF(S53&lt;=2,VLOOKUP(S51&amp;S53,tablas!$B$3:$K$92,9,FALSE),"Franja de losa")</f>
        <v>Franja de losa</v>
      </c>
      <c r="T59" s="76" t="str">
        <f>IF(T53&lt;=2,VLOOKUP(T51&amp;T53,tablas!$B$3:$K$92,9,FALSE),"Franja de losa")</f>
        <v>Franja de losa</v>
      </c>
      <c r="U59" s="76" t="str">
        <f>IF(U53&lt;=2,VLOOKUP(U51&amp;U53,tablas!$B$3:$K$92,9,FALSE),"Franja de losa")</f>
        <v>Franja de losa</v>
      </c>
      <c r="V59" s="76" t="str">
        <f>IF(V53&lt;=2,VLOOKUP(V51&amp;V53,tablas!$B$3:$K$92,9,FALSE),"Franja de losa")</f>
        <v>Franja de losa</v>
      </c>
      <c r="W59" s="76" t="str">
        <f>IF(W53&lt;=2,VLOOKUP(W51&amp;W53,tablas!$B$3:$K$92,9,FALSE),"Franja de losa")</f>
        <v>Franja de losa</v>
      </c>
      <c r="X59" s="76">
        <f>IF(X53&lt;=2,VLOOKUP(X51&amp;X53-0.1,tablas!$B$3:$K$92,9,FALSE),"Franja de losa")</f>
        <v>16.7</v>
      </c>
    </row>
    <row r="60" spans="2:33" x14ac:dyDescent="0.25">
      <c r="B60" s="94" t="s">
        <v>7</v>
      </c>
      <c r="C60" s="76">
        <f>IF(C53&lt;=2,VLOOKUP(C51&amp;C53-0.1,tablas!$B$3:$K$92,10,FALSE),"Franja de losa")</f>
        <v>27.9</v>
      </c>
      <c r="D60" s="76">
        <f>IF(D53&lt;=2,VLOOKUP(D51&amp;D53,tablas!$B$3:$K$92,10,FALSE),"Franja de losa")</f>
        <v>22.9</v>
      </c>
      <c r="E60" s="76">
        <f>IF(E53&lt;=2,VLOOKUP(E51&amp;E53,tablas!$B$3:$K$92,10,FALSE),"Franja de losa")</f>
        <v>22.9</v>
      </c>
      <c r="F60" s="76">
        <f>IF(F53&lt;=2,VLOOKUP(F51&amp;F53,tablas!$B$3:$K$92,10,FALSE),"Franja de losa")</f>
        <v>24.5</v>
      </c>
      <c r="G60" s="76">
        <f>IF(G53&lt;=2,VLOOKUP(G51&amp;G53,tablas!$B$3:$K$92,10,FALSE),"Franja de losa")</f>
        <v>21.5</v>
      </c>
      <c r="H60" s="76">
        <f>IF(H53&lt;=2,VLOOKUP(H51&amp;H53,tablas!$B$3:$K$92,10,FALSE),"Franja de losa")</f>
        <v>20.3</v>
      </c>
      <c r="I60" s="76">
        <f>IF(I53&lt;=2,VLOOKUP(I51&amp;I53,tablas!$B$3:$K$92,10,FALSE),"Franja de losa")</f>
        <v>24.6</v>
      </c>
      <c r="J60" s="76" t="str">
        <f>IF(J53&lt;=2,VLOOKUP(J51&amp;J53,tablas!$B$3:$K$92,10,FALSE),"Franja de losa")</f>
        <v>Franja de losa</v>
      </c>
      <c r="K60" s="76" t="str">
        <f>IF(K53&lt;=2,VLOOKUP(K51&amp;K53,tablas!$B$3:$K$92,10,FALSE),"Franja de losa")</f>
        <v>Franja de losa</v>
      </c>
      <c r="L60" s="76">
        <f>IF(L53&lt;=2,VLOOKUP(L51&amp;L53,tablas!$B$3:$K$92,10,FALSE),"Franja de losa")</f>
        <v>20.3</v>
      </c>
      <c r="M60" s="76">
        <f>IF(M53&lt;=2,VLOOKUP(M51&amp;M53,tablas!$B$3:$K$92,10,FALSE),"Franja de losa")</f>
        <v>21.5</v>
      </c>
      <c r="N60" s="76" t="str">
        <f>IF(N53&lt;=2,VLOOKUP(N51&amp;N53,tablas!$B$3:$K$92,10,FALSE),"Franja de losa")</f>
        <v>Franja de losa</v>
      </c>
      <c r="O60" s="76" t="str">
        <f>IF(O53&lt;=2,VLOOKUP(O51&amp;O53,tablas!$B$3:$K$92,10,FALSE),"Franja de losa")</f>
        <v>Franja de losa</v>
      </c>
      <c r="P60" s="76" t="str">
        <f>IF(P53&lt;=2,VLOOKUP(P51&amp;P53,tablas!$B$3:$K$92,10,FALSE),"Franja de losa")</f>
        <v>Franja de losa</v>
      </c>
      <c r="Q60" s="76" t="str">
        <f>IF(Q53&lt;=2,VLOOKUP(Q51&amp;Q53,tablas!$B$3:$K$92,10,FALSE),"Franja de losa")</f>
        <v>Franja de losa</v>
      </c>
      <c r="R60" s="76" t="str">
        <f>IF(R53&lt;=2,VLOOKUP(R51&amp;R53,tablas!$B$3:$K$92,10,FALSE),"Franja de losa")</f>
        <v>Franja de losa</v>
      </c>
      <c r="S60" s="76" t="str">
        <f>IF(S53&lt;=2,VLOOKUP(S51&amp;S53,tablas!$B$3:$K$92,10,FALSE),"Franja de losa")</f>
        <v>Franja de losa</v>
      </c>
      <c r="T60" s="76" t="str">
        <f>IF(T53&lt;=2,VLOOKUP(T51&amp;T53,tablas!$B$3:$K$92,10,FALSE),"Franja de losa")</f>
        <v>Franja de losa</v>
      </c>
      <c r="U60" s="76" t="str">
        <f>IF(U53&lt;=2,VLOOKUP(U51&amp;U53,tablas!$B$3:$K$92,10,FALSE),"Franja de losa")</f>
        <v>Franja de losa</v>
      </c>
      <c r="V60" s="76" t="str">
        <f>IF(V53&lt;=2,VLOOKUP(V51&amp;V53,tablas!$B$3:$K$92,10,FALSE),"Franja de losa")</f>
        <v>Franja de losa</v>
      </c>
      <c r="W60" s="76" t="str">
        <f>IF(W53&lt;=2,VLOOKUP(W51&amp;W53,tablas!$B$3:$K$92,10,FALSE),"Franja de losa")</f>
        <v>Franja de losa</v>
      </c>
      <c r="X60" s="76">
        <f>IF(X53&lt;=2,VLOOKUP(X51&amp;X53-0.1,tablas!$B$3:$K$92,10,FALSE),"Franja de losa")</f>
        <v>22.1</v>
      </c>
    </row>
    <row r="61" spans="2:33" x14ac:dyDescent="0.25">
      <c r="B61" s="97" t="s">
        <v>2</v>
      </c>
      <c r="C61" s="76">
        <f>IF(C53&lt;=2,VLOOKUP(C51&amp;C53-0.1,tablas!$B$3:$K$92,5,FALSE),"Franja de losa")</f>
        <v>1.39</v>
      </c>
      <c r="D61" s="76">
        <f>IF(D53&lt;=2,VLOOKUP(D51&amp;D53,tablas!$B$3:$K$92,5,FALSE),"Franja de losa")</f>
        <v>1.17</v>
      </c>
      <c r="E61" s="76">
        <f>IF(E53&lt;=2,VLOOKUP(E51&amp;E53,tablas!$B$3:$K$92,5,FALSE),"Franja de losa")</f>
        <v>1.17</v>
      </c>
      <c r="F61" s="76">
        <f>IF(F53&lt;=2,VLOOKUP(F51&amp;F53,tablas!$B$3:$K$92,5,FALSE),"Franja de losa")</f>
        <v>1.24</v>
      </c>
      <c r="G61" s="76">
        <f>IF(G53&lt;=2,VLOOKUP(G51&amp;G53,tablas!$B$3:$K$92,5,FALSE),"Franja de losa")</f>
        <v>1.1000000000000001</v>
      </c>
      <c r="H61" s="76">
        <f>IF(H53&lt;=2,VLOOKUP(H51&amp;H53,tablas!$B$3:$K$92,5,FALSE),"Franja de losa")</f>
        <v>1.05</v>
      </c>
      <c r="I61" s="76">
        <f>IF(I53&lt;=2,VLOOKUP(I51&amp;I53,tablas!$B$3:$K$92,5,FALSE),"Franja de losa")</f>
        <v>0.68</v>
      </c>
      <c r="J61" s="76" t="str">
        <f>IF(J53&lt;=2,VLOOKUP(J51&amp;J53,tablas!$B$3:$K$92,5,FALSE),"Franja de losa")</f>
        <v>Franja de losa</v>
      </c>
      <c r="K61" s="76" t="str">
        <f>IF(K53&lt;=2,VLOOKUP(K51&amp;K53,tablas!$B$3:$K$92,5,FALSE),"Franja de losa")</f>
        <v>Franja de losa</v>
      </c>
      <c r="L61" s="76">
        <f>IF(L53&lt;=2,VLOOKUP(L51&amp;L53,tablas!$B$3:$K$92,5,FALSE),"Franja de losa")</f>
        <v>1.05</v>
      </c>
      <c r="M61" s="76">
        <f>IF(M53&lt;=2,VLOOKUP(M51&amp;M53,tablas!$B$3:$K$92,5,FALSE),"Franja de losa")</f>
        <v>1.1000000000000001</v>
      </c>
      <c r="N61" s="76" t="str">
        <f>IF(N53&lt;=2,VLOOKUP(N51&amp;N53,tablas!$B$3:$K$92,5,FALSE),"Franja de losa")</f>
        <v>Franja de losa</v>
      </c>
      <c r="O61" s="76" t="str">
        <f>IF(O53&lt;=2,VLOOKUP(O51&amp;O53,tablas!$B$3:$K$92,5,FALSE),"Franja de losa")</f>
        <v>Franja de losa</v>
      </c>
      <c r="P61" s="76" t="str">
        <f>IF(P53&lt;=2,VLOOKUP(P51&amp;P53,tablas!$B$3:$K$92,5,FALSE),"Franja de losa")</f>
        <v>Franja de losa</v>
      </c>
      <c r="Q61" s="76" t="str">
        <f>IF(Q53&lt;=2,VLOOKUP(Q51&amp;Q53,tablas!$B$3:$K$92,5,FALSE),"Franja de losa")</f>
        <v>Franja de losa</v>
      </c>
      <c r="R61" s="76" t="str">
        <f>IF(R53&lt;=2,VLOOKUP(R51&amp;R53,tablas!$B$3:$K$92,5,FALSE),"Franja de losa")</f>
        <v>Franja de losa</v>
      </c>
      <c r="S61" s="76" t="str">
        <f>IF(S53&lt;=2,VLOOKUP(S51&amp;S53,tablas!$B$3:$K$92,5,FALSE),"Franja de losa")</f>
        <v>Franja de losa</v>
      </c>
      <c r="T61" s="76" t="str">
        <f>IF(T53&lt;=2,VLOOKUP(T51&amp;T53,tablas!$B$3:$K$92,5,FALSE),"Franja de losa")</f>
        <v>Franja de losa</v>
      </c>
      <c r="U61" s="76" t="str">
        <f>IF(U53&lt;=2,VLOOKUP(U51&amp;U53,tablas!$B$3:$K$92,5,FALSE),"Franja de losa")</f>
        <v>Franja de losa</v>
      </c>
      <c r="V61" s="76" t="str">
        <f>IF(V53&lt;=2,VLOOKUP(V51&amp;V53,tablas!$B$3:$K$92,5,FALSE),"Franja de losa")</f>
        <v>Franja de losa</v>
      </c>
      <c r="W61" s="76" t="str">
        <f>IF(W53&lt;=2,VLOOKUP(W51&amp;W53,tablas!$B$3:$K$92,5,FALSE),"Franja de losa")</f>
        <v>Franja de losa</v>
      </c>
      <c r="X61" s="76">
        <f>IF(X53&lt;=2,VLOOKUP(X51&amp;X53-0.1,tablas!$B$3:$K$92,5,FALSE),"Franja de losa")</f>
        <v>0.68</v>
      </c>
    </row>
    <row r="62" spans="2:33" ht="15.75" thickBot="1" x14ac:dyDescent="0.3">
      <c r="B62" s="98" t="s">
        <v>3</v>
      </c>
      <c r="C62" s="82">
        <f>IF(C53&lt;=2,VLOOKUP(C51&amp;C53-0.1,tablas!$B$3:$K$92,6,FALSE),"Franja de losa")</f>
        <v>1.39</v>
      </c>
      <c r="D62" s="82">
        <f>IF(D53&lt;=2,VLOOKUP(D51&amp;D53,tablas!$B$3:$K$92,6,FALSE),"Franja de losa")</f>
        <v>1.17</v>
      </c>
      <c r="E62" s="82">
        <f>IF(E53&lt;=2,VLOOKUP(E51&amp;E53,tablas!$B$3:$K$92,6,FALSE),"Franja de losa")</f>
        <v>1.17</v>
      </c>
      <c r="F62" s="82">
        <f>IF(F53&lt;=2,VLOOKUP(F51&amp;F53,tablas!$B$3:$K$92,6,FALSE),"Franja de losa")</f>
        <v>1.24</v>
      </c>
      <c r="G62" s="82">
        <f>IF(G53&lt;=2,VLOOKUP(G51&amp;G53,tablas!$B$3:$K$92,6,FALSE),"Franja de losa")</f>
        <v>1.1000000000000001</v>
      </c>
      <c r="H62" s="82">
        <f>IF(H53&lt;=2,VLOOKUP(H51&amp;H53,tablas!$B$3:$K$92,6,FALSE),"Franja de losa")</f>
        <v>1.05</v>
      </c>
      <c r="I62" s="82">
        <f>IF(I53&lt;=2,VLOOKUP(I51&amp;I53,tablas!$B$3:$K$92,6,FALSE),"Franja de losa")</f>
        <v>0.46</v>
      </c>
      <c r="J62" s="82" t="str">
        <f>IF(J53&lt;=2,VLOOKUP(J51&amp;J53,tablas!$B$3:$K$92,6,FALSE),"Franja de losa")</f>
        <v>Franja de losa</v>
      </c>
      <c r="K62" s="82" t="str">
        <f>IF(K53&lt;=2,VLOOKUP(K51&amp;K53,tablas!$B$3:$K$92,6,FALSE),"Franja de losa")</f>
        <v>Franja de losa</v>
      </c>
      <c r="L62" s="82">
        <f>IF(L53&lt;=2,VLOOKUP(L51&amp;L53,tablas!$B$3:$K$92,6,FALSE),"Franja de losa")</f>
        <v>1.05</v>
      </c>
      <c r="M62" s="82">
        <f>IF(M53&lt;=2,VLOOKUP(M51&amp;M53,tablas!$B$3:$K$92,6,FALSE),"Franja de losa")</f>
        <v>1.1000000000000001</v>
      </c>
      <c r="N62" s="82" t="str">
        <f>IF(N53&lt;=2,VLOOKUP(N51&amp;N53,tablas!$B$3:$K$92,6,FALSE),"Franja de losa")</f>
        <v>Franja de losa</v>
      </c>
      <c r="O62" s="82" t="str">
        <f>IF(O53&lt;=2,VLOOKUP(O51&amp;O53,tablas!$B$3:$K$92,6,FALSE),"Franja de losa")</f>
        <v>Franja de losa</v>
      </c>
      <c r="P62" s="82" t="str">
        <f>IF(P53&lt;=2,VLOOKUP(P51&amp;P53,tablas!$B$3:$K$92,6,FALSE),"Franja de losa")</f>
        <v>Franja de losa</v>
      </c>
      <c r="Q62" s="82" t="str">
        <f>IF(Q53&lt;=2,VLOOKUP(Q51&amp;Q53,tablas!$B$3:$K$92,6,FALSE),"Franja de losa")</f>
        <v>Franja de losa</v>
      </c>
      <c r="R62" s="82" t="str">
        <f>IF(R53&lt;=2,VLOOKUP(R51&amp;R53,tablas!$B$3:$K$92,6,FALSE),"Franja de losa")</f>
        <v>Franja de losa</v>
      </c>
      <c r="S62" s="82" t="str">
        <f>IF(S53&lt;=2,VLOOKUP(S51&amp;S53,tablas!$B$3:$K$92,6,FALSE),"Franja de losa")</f>
        <v>Franja de losa</v>
      </c>
      <c r="T62" s="82" t="str">
        <f>IF(T53&lt;=2,VLOOKUP(T51&amp;T53,tablas!$B$3:$K$92,6,FALSE),"Franja de losa")</f>
        <v>Franja de losa</v>
      </c>
      <c r="U62" s="82" t="str">
        <f>IF(U53&lt;=2,VLOOKUP(U51&amp;U53,tablas!$B$3:$K$92,6,FALSE),"Franja de losa")</f>
        <v>Franja de losa</v>
      </c>
      <c r="V62" s="82" t="str">
        <f>IF(V53&lt;=2,VLOOKUP(V51&amp;V53,tablas!$B$3:$K$92,6,FALSE),"Franja de losa")</f>
        <v>Franja de losa</v>
      </c>
      <c r="W62" s="82" t="str">
        <f>IF(W53&lt;=2,VLOOKUP(W51&amp;W53,tablas!$B$3:$K$92,6,FALSE),"Franja de losa")</f>
        <v>Franja de losa</v>
      </c>
      <c r="X62" s="82">
        <f>IF(X53&lt;=2,VLOOKUP(X51&amp;X53-0.1,tablas!$B$3:$K$92,6,FALSE),"Franja de losa")</f>
        <v>0.46</v>
      </c>
    </row>
    <row r="63" spans="2:33" ht="15.75" thickBot="1" x14ac:dyDescent="0.3">
      <c r="B63" s="71" t="s">
        <v>87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72"/>
      <c r="X63" s="72"/>
    </row>
    <row r="64" spans="2:33" x14ac:dyDescent="0.25">
      <c r="B64" s="94" t="s">
        <v>83</v>
      </c>
      <c r="C64" s="83">
        <f t="shared" ref="C64:X64" si="5">VLOOKUP(C$46,$B$16:$H$35,6)</f>
        <v>200</v>
      </c>
      <c r="D64" s="83">
        <f t="shared" si="5"/>
        <v>200</v>
      </c>
      <c r="E64" s="83">
        <f t="shared" si="5"/>
        <v>200</v>
      </c>
      <c r="F64" s="83">
        <f t="shared" si="5"/>
        <v>200</v>
      </c>
      <c r="G64" s="83">
        <f t="shared" si="5"/>
        <v>200</v>
      </c>
      <c r="H64" s="83">
        <f t="shared" si="5"/>
        <v>200</v>
      </c>
      <c r="I64" s="83">
        <f t="shared" si="5"/>
        <v>400</v>
      </c>
      <c r="J64" s="83">
        <f t="shared" si="5"/>
        <v>400</v>
      </c>
      <c r="K64" s="83">
        <f t="shared" si="5"/>
        <v>400</v>
      </c>
      <c r="L64" s="83">
        <f t="shared" si="5"/>
        <v>200</v>
      </c>
      <c r="M64" s="83">
        <f t="shared" si="5"/>
        <v>200</v>
      </c>
      <c r="N64" s="83">
        <f t="shared" si="5"/>
        <v>300</v>
      </c>
      <c r="O64" s="83">
        <f t="shared" si="5"/>
        <v>300</v>
      </c>
      <c r="P64" s="83">
        <f t="shared" si="5"/>
        <v>300</v>
      </c>
      <c r="Q64" s="83">
        <f t="shared" si="5"/>
        <v>300</v>
      </c>
      <c r="R64" s="83">
        <f t="shared" si="5"/>
        <v>300</v>
      </c>
      <c r="S64" s="83">
        <f t="shared" si="5"/>
        <v>300</v>
      </c>
      <c r="T64" s="83">
        <f t="shared" si="5"/>
        <v>300</v>
      </c>
      <c r="U64" s="83">
        <f t="shared" si="5"/>
        <v>300</v>
      </c>
      <c r="V64" s="83">
        <f t="shared" si="5"/>
        <v>300</v>
      </c>
      <c r="W64" s="83">
        <f t="shared" si="5"/>
        <v>300</v>
      </c>
      <c r="X64" s="83">
        <f t="shared" si="5"/>
        <v>300</v>
      </c>
    </row>
    <row r="65" spans="2:24" x14ac:dyDescent="0.25">
      <c r="B65" s="94" t="s">
        <v>89</v>
      </c>
      <c r="C65" s="76">
        <f>$L$7*($C$4/100)</f>
        <v>400</v>
      </c>
      <c r="D65" s="77">
        <f>$L$7*($C$4/100)</f>
        <v>400</v>
      </c>
      <c r="E65" s="77">
        <f t="shared" ref="E65:X65" si="6">$L$7*($C$4/100)</f>
        <v>400</v>
      </c>
      <c r="F65" s="77">
        <f t="shared" si="6"/>
        <v>400</v>
      </c>
      <c r="G65" s="77">
        <f t="shared" si="6"/>
        <v>400</v>
      </c>
      <c r="H65" s="77">
        <f t="shared" si="6"/>
        <v>400</v>
      </c>
      <c r="I65" s="77">
        <f t="shared" si="6"/>
        <v>400</v>
      </c>
      <c r="J65" s="77">
        <f t="shared" si="6"/>
        <v>400</v>
      </c>
      <c r="K65" s="77">
        <f t="shared" si="6"/>
        <v>400</v>
      </c>
      <c r="L65" s="77">
        <f t="shared" si="6"/>
        <v>400</v>
      </c>
      <c r="M65" s="77">
        <f t="shared" si="6"/>
        <v>400</v>
      </c>
      <c r="N65" s="77">
        <f t="shared" si="6"/>
        <v>400</v>
      </c>
      <c r="O65" s="77">
        <f t="shared" si="6"/>
        <v>400</v>
      </c>
      <c r="P65" s="77">
        <f>$L$7*($C$4/100)</f>
        <v>400</v>
      </c>
      <c r="Q65" s="77">
        <f t="shared" si="6"/>
        <v>400</v>
      </c>
      <c r="R65" s="77">
        <f t="shared" si="6"/>
        <v>400</v>
      </c>
      <c r="S65" s="77">
        <f t="shared" si="6"/>
        <v>400</v>
      </c>
      <c r="T65" s="77">
        <f t="shared" si="6"/>
        <v>400</v>
      </c>
      <c r="U65" s="77">
        <f t="shared" si="6"/>
        <v>400</v>
      </c>
      <c r="V65" s="77">
        <f t="shared" si="6"/>
        <v>400</v>
      </c>
      <c r="W65" s="77">
        <f t="shared" si="6"/>
        <v>400</v>
      </c>
      <c r="X65" s="77">
        <f t="shared" si="6"/>
        <v>400</v>
      </c>
    </row>
    <row r="66" spans="2:24" x14ac:dyDescent="0.25">
      <c r="B66" s="94" t="s">
        <v>90</v>
      </c>
      <c r="C66" s="76">
        <f>C65+$I$8</f>
        <v>625</v>
      </c>
      <c r="D66" s="77">
        <f>D65+$I$8</f>
        <v>625</v>
      </c>
      <c r="E66" s="77">
        <f t="shared" ref="E66:X66" si="7">E65+$I$8</f>
        <v>625</v>
      </c>
      <c r="F66" s="77">
        <f t="shared" si="7"/>
        <v>625</v>
      </c>
      <c r="G66" s="77">
        <f t="shared" si="7"/>
        <v>625</v>
      </c>
      <c r="H66" s="77">
        <f t="shared" si="7"/>
        <v>625</v>
      </c>
      <c r="I66" s="77">
        <f t="shared" si="7"/>
        <v>625</v>
      </c>
      <c r="J66" s="77">
        <f t="shared" si="7"/>
        <v>625</v>
      </c>
      <c r="K66" s="77">
        <f t="shared" si="7"/>
        <v>625</v>
      </c>
      <c r="L66" s="77">
        <f t="shared" si="7"/>
        <v>625</v>
      </c>
      <c r="M66" s="77">
        <f t="shared" si="7"/>
        <v>625</v>
      </c>
      <c r="N66" s="77">
        <f t="shared" si="7"/>
        <v>625</v>
      </c>
      <c r="O66" s="77">
        <f t="shared" si="7"/>
        <v>625</v>
      </c>
      <c r="P66" s="77">
        <f t="shared" si="7"/>
        <v>625</v>
      </c>
      <c r="Q66" s="77">
        <f t="shared" si="7"/>
        <v>625</v>
      </c>
      <c r="R66" s="77">
        <f t="shared" si="7"/>
        <v>625</v>
      </c>
      <c r="S66" s="77">
        <f t="shared" si="7"/>
        <v>625</v>
      </c>
      <c r="T66" s="77">
        <f t="shared" si="7"/>
        <v>625</v>
      </c>
      <c r="U66" s="77">
        <f t="shared" si="7"/>
        <v>625</v>
      </c>
      <c r="V66" s="77">
        <f t="shared" si="7"/>
        <v>625</v>
      </c>
      <c r="W66" s="77">
        <f t="shared" si="7"/>
        <v>625</v>
      </c>
      <c r="X66" s="77">
        <f t="shared" si="7"/>
        <v>625</v>
      </c>
    </row>
    <row r="67" spans="2:24" x14ac:dyDescent="0.25">
      <c r="B67" s="94" t="s">
        <v>91</v>
      </c>
      <c r="C67" s="76">
        <f>1.2*C66+1.6*C64</f>
        <v>1070</v>
      </c>
      <c r="D67" s="76">
        <f t="shared" ref="D67:X67" si="8">1.2*D66+1.6*D64</f>
        <v>1070</v>
      </c>
      <c r="E67" s="76">
        <f t="shared" si="8"/>
        <v>1070</v>
      </c>
      <c r="F67" s="76">
        <f t="shared" si="8"/>
        <v>1070</v>
      </c>
      <c r="G67" s="76">
        <f t="shared" si="8"/>
        <v>1070</v>
      </c>
      <c r="H67" s="76">
        <f t="shared" si="8"/>
        <v>1070</v>
      </c>
      <c r="I67" s="76">
        <f t="shared" si="8"/>
        <v>1390</v>
      </c>
      <c r="J67" s="76">
        <f t="shared" si="8"/>
        <v>1390</v>
      </c>
      <c r="K67" s="76">
        <f t="shared" si="8"/>
        <v>1390</v>
      </c>
      <c r="L67" s="76">
        <f t="shared" si="8"/>
        <v>1070</v>
      </c>
      <c r="M67" s="76">
        <f t="shared" si="8"/>
        <v>1070</v>
      </c>
      <c r="N67" s="76">
        <f t="shared" si="8"/>
        <v>1230</v>
      </c>
      <c r="O67" s="76">
        <f t="shared" si="8"/>
        <v>1230</v>
      </c>
      <c r="P67" s="76">
        <f t="shared" si="8"/>
        <v>1230</v>
      </c>
      <c r="Q67" s="76">
        <f t="shared" si="8"/>
        <v>1230</v>
      </c>
      <c r="R67" s="76">
        <f t="shared" si="8"/>
        <v>1230</v>
      </c>
      <c r="S67" s="76">
        <f t="shared" si="8"/>
        <v>1230</v>
      </c>
      <c r="T67" s="76">
        <f t="shared" si="8"/>
        <v>1230</v>
      </c>
      <c r="U67" s="76">
        <f t="shared" si="8"/>
        <v>1230</v>
      </c>
      <c r="V67" s="76">
        <f t="shared" si="8"/>
        <v>1230</v>
      </c>
      <c r="W67" s="76">
        <f t="shared" si="8"/>
        <v>1230</v>
      </c>
      <c r="X67" s="76">
        <f t="shared" si="8"/>
        <v>1230</v>
      </c>
    </row>
    <row r="68" spans="2:24" x14ac:dyDescent="0.25">
      <c r="B68" s="95" t="s">
        <v>92</v>
      </c>
      <c r="C68" s="84">
        <f>C67*C48*C49</f>
        <v>64735</v>
      </c>
      <c r="D68" s="85">
        <f>D67*D48*D49</f>
        <v>27862.799999999999</v>
      </c>
      <c r="E68" s="85">
        <f t="shared" ref="E68:X68" si="9">E67*E48*E49</f>
        <v>27862.799999999999</v>
      </c>
      <c r="F68" s="85">
        <f t="shared" si="9"/>
        <v>51075.915000000001</v>
      </c>
      <c r="G68" s="85">
        <f t="shared" si="9"/>
        <v>43342.704000000005</v>
      </c>
      <c r="H68" s="85">
        <f t="shared" si="9"/>
        <v>26856.999999999996</v>
      </c>
      <c r="I68" s="85">
        <f t="shared" si="9"/>
        <v>11792.76</v>
      </c>
      <c r="J68" s="85">
        <f t="shared" si="9"/>
        <v>21795.199999999997</v>
      </c>
      <c r="K68" s="85">
        <f t="shared" si="9"/>
        <v>25637.16</v>
      </c>
      <c r="L68" s="85">
        <f>L67*L48*L49</f>
        <v>26856.999999999996</v>
      </c>
      <c r="M68" s="85">
        <f t="shared" si="9"/>
        <v>40415.826000000008</v>
      </c>
      <c r="N68" s="85">
        <f t="shared" si="9"/>
        <v>9899.4089999999997</v>
      </c>
      <c r="O68" s="85">
        <f t="shared" si="9"/>
        <v>10400.879999999999</v>
      </c>
      <c r="P68" s="85">
        <f t="shared" si="9"/>
        <v>10400.879999999999</v>
      </c>
      <c r="Q68" s="85">
        <f t="shared" si="9"/>
        <v>9750.8249999999989</v>
      </c>
      <c r="R68" s="85">
        <f t="shared" si="9"/>
        <v>4899.3360000000002</v>
      </c>
      <c r="S68" s="85">
        <f t="shared" si="9"/>
        <v>4899.3360000000002</v>
      </c>
      <c r="T68" s="85">
        <f t="shared" si="9"/>
        <v>11553.882</v>
      </c>
      <c r="U68" s="85">
        <f t="shared" si="9"/>
        <v>11685.737999999999</v>
      </c>
      <c r="V68" s="85">
        <f t="shared" si="9"/>
        <v>3486.0660000000003</v>
      </c>
      <c r="W68" s="85">
        <f t="shared" si="9"/>
        <v>3297.63</v>
      </c>
      <c r="X68" s="85">
        <f t="shared" si="9"/>
        <v>12270.48</v>
      </c>
    </row>
    <row r="69" spans="2:24" ht="15.75" thickBot="1" x14ac:dyDescent="0.3">
      <c r="B69" s="96" t="s">
        <v>93</v>
      </c>
      <c r="C69" s="86">
        <f>C64/(2*C67)</f>
        <v>9.3457943925233641E-2</v>
      </c>
      <c r="D69" s="87">
        <f>D64/(2*D67)</f>
        <v>9.3457943925233641E-2</v>
      </c>
      <c r="E69" s="87">
        <f t="shared" ref="E69:W69" si="10">E64/(2*E67)</f>
        <v>9.3457943925233641E-2</v>
      </c>
      <c r="F69" s="87">
        <f t="shared" si="10"/>
        <v>9.3457943925233641E-2</v>
      </c>
      <c r="G69" s="87">
        <f t="shared" si="10"/>
        <v>9.3457943925233641E-2</v>
      </c>
      <c r="H69" s="87">
        <f t="shared" si="10"/>
        <v>9.3457943925233641E-2</v>
      </c>
      <c r="I69" s="87">
        <f t="shared" si="10"/>
        <v>0.14388489208633093</v>
      </c>
      <c r="J69" s="87">
        <f t="shared" si="10"/>
        <v>0.14388489208633093</v>
      </c>
      <c r="K69" s="87">
        <f t="shared" si="10"/>
        <v>0.14388489208633093</v>
      </c>
      <c r="L69" s="87">
        <f t="shared" si="10"/>
        <v>9.3457943925233641E-2</v>
      </c>
      <c r="M69" s="87">
        <f t="shared" si="10"/>
        <v>9.3457943925233641E-2</v>
      </c>
      <c r="N69" s="87">
        <f t="shared" si="10"/>
        <v>0.12195121951219512</v>
      </c>
      <c r="O69" s="87">
        <f t="shared" si="10"/>
        <v>0.12195121951219512</v>
      </c>
      <c r="P69" s="87">
        <f t="shared" si="10"/>
        <v>0.12195121951219512</v>
      </c>
      <c r="Q69" s="87">
        <f t="shared" si="10"/>
        <v>0.12195121951219512</v>
      </c>
      <c r="R69" s="87">
        <f t="shared" si="10"/>
        <v>0.12195121951219512</v>
      </c>
      <c r="S69" s="87">
        <f t="shared" si="10"/>
        <v>0.12195121951219512</v>
      </c>
      <c r="T69" s="87">
        <f t="shared" si="10"/>
        <v>0.12195121951219512</v>
      </c>
      <c r="U69" s="87">
        <f t="shared" si="10"/>
        <v>0.12195121951219512</v>
      </c>
      <c r="V69" s="87">
        <f t="shared" si="10"/>
        <v>0.12195121951219512</v>
      </c>
      <c r="W69" s="87">
        <f t="shared" si="10"/>
        <v>0.12195121951219512</v>
      </c>
      <c r="X69" s="87">
        <f>X64/(2*X67)</f>
        <v>0.12195121951219512</v>
      </c>
    </row>
    <row r="70" spans="2:24" ht="15.75" thickBot="1" x14ac:dyDescent="0.3">
      <c r="B70" s="71" t="s">
        <v>96</v>
      </c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72"/>
      <c r="X70" s="72"/>
    </row>
    <row r="71" spans="2:24" x14ac:dyDescent="0.25">
      <c r="B71" s="93" t="s">
        <v>97</v>
      </c>
      <c r="C71" s="88">
        <f>IF(C53&lt;=2,C68/C57*(1+C69*C61)*C56,IF(OR(C51=6,C51="5a",C51="3a"),C67*C48^2/17,(IF(OR(C51="2a",C51=4,C51="5b"),C67*C48^2/12,IF(OR(C51=1,C51="2b",C51="3b"),C67*C48^2/8)))))</f>
        <v>1586.6485900216919</v>
      </c>
      <c r="D71" s="88">
        <f t="shared" ref="D71:X71" si="11">IF(D53&lt;=2,D68/D57*(1+D69*D61)*D56,IF(OR(D51=6,D51="5a",D51="3a"),D67*D48^2/17,(IF(OR(D51="2a",D51=4,D51="5b"),D67*D48^2/12,IF(OR(D51=1,D51="2b",D51="3b"),D67*D48^2/8)))))</f>
        <v>683.8380530973451</v>
      </c>
      <c r="E71" s="88">
        <f t="shared" si="11"/>
        <v>683.8380530973451</v>
      </c>
      <c r="F71" s="88">
        <f t="shared" si="11"/>
        <v>1277.9146412556054</v>
      </c>
      <c r="G71" s="88">
        <f t="shared" si="11"/>
        <v>1012.68</v>
      </c>
      <c r="H71" s="88">
        <f t="shared" si="11"/>
        <v>581.70611439842196</v>
      </c>
      <c r="I71" s="88">
        <f t="shared" si="11"/>
        <v>345.24224000000004</v>
      </c>
      <c r="J71" s="88">
        <f t="shared" si="11"/>
        <v>160.25882352941176</v>
      </c>
      <c r="K71" s="88">
        <f t="shared" si="11"/>
        <v>687.64117647058822</v>
      </c>
      <c r="L71" s="88">
        <f t="shared" si="11"/>
        <v>581.70611439842196</v>
      </c>
      <c r="M71" s="88">
        <f t="shared" si="11"/>
        <v>944.29500000000007</v>
      </c>
      <c r="N71" s="88">
        <f t="shared" si="11"/>
        <v>233.71025</v>
      </c>
      <c r="O71" s="88">
        <f t="shared" si="11"/>
        <v>233.71025</v>
      </c>
      <c r="P71" s="88">
        <f t="shared" si="11"/>
        <v>233.71025</v>
      </c>
      <c r="Q71" s="88">
        <f t="shared" si="11"/>
        <v>233.71025</v>
      </c>
      <c r="R71" s="88">
        <f t="shared" si="11"/>
        <v>110.86400000000002</v>
      </c>
      <c r="S71" s="88">
        <f t="shared" si="11"/>
        <v>110.86400000000002</v>
      </c>
      <c r="T71" s="88">
        <f t="shared" si="11"/>
        <v>184.04900000000001</v>
      </c>
      <c r="U71" s="88">
        <f t="shared" si="11"/>
        <v>184.04900000000001</v>
      </c>
      <c r="V71" s="88">
        <f t="shared" si="11"/>
        <v>56.128999999999998</v>
      </c>
      <c r="W71" s="88">
        <f t="shared" si="11"/>
        <v>50.224999999999994</v>
      </c>
      <c r="X71" s="88">
        <f t="shared" si="11"/>
        <v>353.40510638297872</v>
      </c>
    </row>
    <row r="72" spans="2:24" x14ac:dyDescent="0.25">
      <c r="B72" s="94" t="s">
        <v>15</v>
      </c>
      <c r="C72" s="89">
        <f>C71/(0.9*(0.9*($C$7/100))*($L$9*1000))</f>
        <v>3.2690677900198031</v>
      </c>
      <c r="D72" s="89">
        <f t="shared" ref="D72:X72" si="12">D71/(0.9*(0.9*($C$7/100))*($L$9*1000))</f>
        <v>1.4089527870439287</v>
      </c>
      <c r="E72" s="89">
        <f t="shared" si="12"/>
        <v>1.4089527870439287</v>
      </c>
      <c r="F72" s="89">
        <f t="shared" si="12"/>
        <v>2.6329646138382143</v>
      </c>
      <c r="G72" s="89">
        <f t="shared" si="12"/>
        <v>2.0864856846165249</v>
      </c>
      <c r="H72" s="89">
        <f t="shared" si="12"/>
        <v>1.1985241935717208</v>
      </c>
      <c r="I72" s="89">
        <f t="shared" si="12"/>
        <v>0.71132341063805227</v>
      </c>
      <c r="J72" s="89">
        <f t="shared" si="12"/>
        <v>0.33019092025872299</v>
      </c>
      <c r="K72" s="89">
        <f t="shared" si="12"/>
        <v>1.4167885915182961</v>
      </c>
      <c r="L72" s="89">
        <f t="shared" si="12"/>
        <v>1.1985241935717208</v>
      </c>
      <c r="M72" s="89">
        <f t="shared" si="12"/>
        <v>1.9455879444197197</v>
      </c>
      <c r="N72" s="89">
        <f t="shared" si="12"/>
        <v>0.48152732449850816</v>
      </c>
      <c r="O72" s="89">
        <f t="shared" si="12"/>
        <v>0.48152732449850816</v>
      </c>
      <c r="P72" s="89">
        <f t="shared" si="12"/>
        <v>0.48152732449850816</v>
      </c>
      <c r="Q72" s="89">
        <f t="shared" si="12"/>
        <v>0.48152732449850816</v>
      </c>
      <c r="R72" s="89">
        <f t="shared" si="12"/>
        <v>0.22841978605218477</v>
      </c>
      <c r="S72" s="89">
        <f t="shared" si="12"/>
        <v>0.22841978605218477</v>
      </c>
      <c r="T72" s="89">
        <f t="shared" si="12"/>
        <v>0.37920725576488806</v>
      </c>
      <c r="U72" s="89">
        <f t="shared" si="12"/>
        <v>0.37920725576488806</v>
      </c>
      <c r="V72" s="89">
        <f t="shared" si="12"/>
        <v>0.11564596416621335</v>
      </c>
      <c r="W72" s="89">
        <f t="shared" si="12"/>
        <v>0.10348159686165913</v>
      </c>
      <c r="X72" s="89">
        <f t="shared" si="12"/>
        <v>0.72814185659681763</v>
      </c>
    </row>
    <row r="73" spans="2:24" x14ac:dyDescent="0.25">
      <c r="B73" s="94" t="s">
        <v>98</v>
      </c>
      <c r="C73" s="91">
        <f>(C72*($L$9))/(0.85*$L$6*100)</f>
        <v>4.6108453258476713E-2</v>
      </c>
      <c r="D73" s="91">
        <f t="shared" ref="D73:X73" si="13">(D72*($L$9))/(0.85*$L$6*100)</f>
        <v>1.9872525716091664E-2</v>
      </c>
      <c r="E73" s="91">
        <f t="shared" si="13"/>
        <v>1.9872525716091664E-2</v>
      </c>
      <c r="F73" s="91">
        <f t="shared" si="13"/>
        <v>3.7136558072919948E-2</v>
      </c>
      <c r="G73" s="91">
        <f t="shared" si="13"/>
        <v>2.9428764970040294E-2</v>
      </c>
      <c r="H73" s="91">
        <f t="shared" si="13"/>
        <v>1.6904542918065465E-2</v>
      </c>
      <c r="I73" s="91">
        <f t="shared" si="13"/>
        <v>1.0032836373474588E-2</v>
      </c>
      <c r="J73" s="91">
        <f t="shared" si="13"/>
        <v>4.6571663822947253E-3</v>
      </c>
      <c r="K73" s="91">
        <f t="shared" si="13"/>
        <v>1.9983045548519714E-2</v>
      </c>
      <c r="L73" s="91">
        <f t="shared" si="13"/>
        <v>1.6904542918065465E-2</v>
      </c>
      <c r="M73" s="91">
        <f t="shared" si="13"/>
        <v>2.7441477680396772E-2</v>
      </c>
      <c r="N73" s="91">
        <f t="shared" si="13"/>
        <v>6.7916854468730112E-3</v>
      </c>
      <c r="O73" s="91">
        <f t="shared" si="13"/>
        <v>6.7916854468730112E-3</v>
      </c>
      <c r="P73" s="91">
        <f t="shared" si="13"/>
        <v>6.7916854468730112E-3</v>
      </c>
      <c r="Q73" s="91">
        <f t="shared" si="13"/>
        <v>6.7916854468730112E-3</v>
      </c>
      <c r="R73" s="91">
        <f t="shared" si="13"/>
        <v>3.2217389497556461E-3</v>
      </c>
      <c r="S73" s="91">
        <f t="shared" si="13"/>
        <v>3.2217389497556461E-3</v>
      </c>
      <c r="T73" s="91">
        <f t="shared" si="13"/>
        <v>5.3485155863362034E-3</v>
      </c>
      <c r="U73" s="91">
        <f t="shared" si="13"/>
        <v>5.3485155863362034E-3</v>
      </c>
      <c r="V73" s="91">
        <f t="shared" si="13"/>
        <v>1.6311244904643044E-3</v>
      </c>
      <c r="W73" s="91">
        <f t="shared" si="13"/>
        <v>1.4595525937317552E-3</v>
      </c>
      <c r="X73" s="91">
        <f t="shared" si="13"/>
        <v>1.0270051561161245E-2</v>
      </c>
    </row>
    <row r="74" spans="2:24" ht="15.75" thickBot="1" x14ac:dyDescent="0.3">
      <c r="B74" s="94" t="s">
        <v>15</v>
      </c>
      <c r="C74" s="76">
        <f>ROUNDUP(C71/(0.9*(($C$7-C73/2)/100)*($L$9*1000)),2)</f>
        <v>2.9499999999999997</v>
      </c>
      <c r="D74" s="76">
        <f t="shared" ref="D74:X74" si="14">ROUNDUP(D71/(0.9*(($C$7-D73/2)/100)*($L$9*1000)),2)</f>
        <v>1.27</v>
      </c>
      <c r="E74" s="76">
        <f t="shared" si="14"/>
        <v>1.27</v>
      </c>
      <c r="F74" s="76">
        <f t="shared" si="14"/>
        <v>2.38</v>
      </c>
      <c r="G74" s="76">
        <f t="shared" si="14"/>
        <v>1.8800000000000001</v>
      </c>
      <c r="H74" s="76">
        <f t="shared" si="14"/>
        <v>1.08</v>
      </c>
      <c r="I74" s="76">
        <f t="shared" si="14"/>
        <v>0.65</v>
      </c>
      <c r="J74" s="76">
        <f t="shared" si="14"/>
        <v>0.3</v>
      </c>
      <c r="K74" s="76">
        <f t="shared" si="14"/>
        <v>1.28</v>
      </c>
      <c r="L74" s="76">
        <f t="shared" si="14"/>
        <v>1.08</v>
      </c>
      <c r="M74" s="76">
        <f t="shared" si="14"/>
        <v>1.76</v>
      </c>
      <c r="N74" s="76">
        <f t="shared" si="14"/>
        <v>0.44</v>
      </c>
      <c r="O74" s="76">
        <f t="shared" si="14"/>
        <v>0.44</v>
      </c>
      <c r="P74" s="76">
        <f t="shared" si="14"/>
        <v>0.44</v>
      </c>
      <c r="Q74" s="76">
        <f t="shared" si="14"/>
        <v>0.44</v>
      </c>
      <c r="R74" s="76">
        <f t="shared" si="14"/>
        <v>0.21000000000000002</v>
      </c>
      <c r="S74" s="76">
        <f t="shared" si="14"/>
        <v>0.21000000000000002</v>
      </c>
      <c r="T74" s="76">
        <f t="shared" si="14"/>
        <v>0.35000000000000003</v>
      </c>
      <c r="U74" s="76">
        <f t="shared" si="14"/>
        <v>0.35000000000000003</v>
      </c>
      <c r="V74" s="76">
        <f t="shared" si="14"/>
        <v>0.11</v>
      </c>
      <c r="W74" s="76">
        <f t="shared" si="14"/>
        <v>9.9999999999999992E-2</v>
      </c>
      <c r="X74" s="76">
        <f t="shared" si="14"/>
        <v>0.66</v>
      </c>
    </row>
    <row r="75" spans="2:24" ht="16.5" thickBot="1" x14ac:dyDescent="0.3">
      <c r="B75" s="61" t="s">
        <v>100</v>
      </c>
      <c r="C75" s="192" t="str">
        <f>IF(C74&gt;$C$12,"$\phi"&amp;IF(VLOOKUP(VLOOKUP(C74,tablas!$S$3:$U$66,2,TRUE)&amp;VLOOKUP(C74,tablas!$S$3:$U$66,3,TRUE),tablas!$R$3:$S$66,2,FALSE)&lt;C74,VLOOKUP(C74+0.1,tablas!$S$3:$U$66,2,TRUE),VLOOKUP(C74,tablas!$S$3:$U$66,2,TRUE))&amp;"@"&amp;IF(VLOOKUP(VLOOKUP(C74,tablas!$S$3:$U$66,2,TRUE)&amp;VLOOKUP(C74,tablas!$S$3:$U$66,3,TRUE),tablas!$R$3:$S$66,2,FALSE)&lt;C74,VLOOKUP(C74+0.1,tablas!$S$3:$U$66,3,TRUE),VLOOKUP(C74,tablas!$S$3:$U$66,3,TRUE))&amp;"$",$C$13)</f>
        <v>$\phi8@17$</v>
      </c>
      <c r="D75" s="192" t="str">
        <f>IF(D74&gt;$C$12,"$\phi"&amp;IF(VLOOKUP(VLOOKUP(D74,tablas!$S$3:$U$66,2,TRUE)&amp;VLOOKUP(D74,tablas!$S$3:$U$66,3,TRUE),tablas!$R$3:$S$66,2,FALSE)&lt;D74,VLOOKUP(D74+0.1,tablas!$S$3:$U$66,2,TRUE),VLOOKUP(D74,tablas!$S$3:$U$66,2,TRUE))&amp;"@"&amp;IF(VLOOKUP(VLOOKUP(D74,tablas!$S$3:$U$66,2,TRUE)&amp;VLOOKUP(D74,tablas!$S$3:$U$66,3,TRUE),tablas!$R$3:$S$66,2,FALSE)&lt;D74,VLOOKUP(D74+0.1,tablas!$S$3:$U$66,3,TRUE),VLOOKUP(D74,tablas!$S$3:$U$66,3,TRUE))&amp;"$",$C$13)</f>
        <v>$\phi8@17$</v>
      </c>
      <c r="E75" s="192" t="str">
        <f>IF(E74&gt;$C$12,"$\phi"&amp;IF(VLOOKUP(VLOOKUP(E74,tablas!$S$3:$U$66,2,TRUE)&amp;VLOOKUP(E74,tablas!$S$3:$U$66,3,TRUE),tablas!$R$3:$S$66,2,FALSE)&lt;E74,VLOOKUP(E74+0.1,tablas!$S$3:$U$66,2,TRUE),VLOOKUP(E74,tablas!$S$3:$U$66,2,TRUE))&amp;"@"&amp;IF(VLOOKUP(VLOOKUP(E74,tablas!$S$3:$U$66,2,TRUE)&amp;VLOOKUP(E74,tablas!$S$3:$U$66,3,TRUE),tablas!$R$3:$S$66,2,FALSE)&lt;E74,VLOOKUP(E74+0.1,tablas!$S$3:$U$66,3,TRUE),VLOOKUP(E74,tablas!$S$3:$U$66,3,TRUE))&amp;"$",$C$13)</f>
        <v>$\phi8@17$</v>
      </c>
      <c r="F75" s="192" t="str">
        <f>IF(F74&gt;$C$12,"$\phi"&amp;IF(VLOOKUP(VLOOKUP(F74,tablas!$S$3:$U$66,2,TRUE)&amp;VLOOKUP(F74,tablas!$S$3:$U$66,3,TRUE),tablas!$R$3:$S$66,2,FALSE)&lt;F74,VLOOKUP(F74+0.1,tablas!$S$3:$U$66,2,TRUE),VLOOKUP(F74,tablas!$S$3:$U$66,2,TRUE))&amp;"@"&amp;IF(VLOOKUP(VLOOKUP(F74,tablas!$S$3:$U$66,2,TRUE)&amp;VLOOKUP(F74,tablas!$S$3:$U$66,3,TRUE),tablas!$R$3:$S$66,2,FALSE)&lt;F74,VLOOKUP(F74+0.1,tablas!$S$3:$U$66,3,TRUE),VLOOKUP(F74,tablas!$S$3:$U$66,3,TRUE))&amp;"$",$C$13)</f>
        <v>$\phi8@17$</v>
      </c>
      <c r="G75" s="192" t="str">
        <f>IF(G74&gt;$C$12,"$\phi"&amp;IF(VLOOKUP(VLOOKUP(G74,tablas!$S$3:$U$66,2,TRUE)&amp;VLOOKUP(G74,tablas!$S$3:$U$66,3,TRUE),tablas!$R$3:$S$66,2,FALSE)&lt;G74,VLOOKUP(G74+0.1,tablas!$S$3:$U$66,2,TRUE),VLOOKUP(G74,tablas!$S$3:$U$66,2,TRUE))&amp;"@"&amp;IF(VLOOKUP(VLOOKUP(G74,tablas!$S$3:$U$66,2,TRUE)&amp;VLOOKUP(G74,tablas!$S$3:$U$66,3,TRUE),tablas!$R$3:$S$66,2,FALSE)&lt;G74,VLOOKUP(G74+0.1,tablas!$S$3:$U$66,3,TRUE),VLOOKUP(G74,tablas!$S$3:$U$66,3,TRUE))&amp;"$",$C$13)</f>
        <v>$\phi8@17$</v>
      </c>
      <c r="H75" s="192" t="str">
        <f>IF(H74&gt;$C$12,"$\phi"&amp;IF(VLOOKUP(VLOOKUP(H74,tablas!$S$3:$U$66,2,TRUE)&amp;VLOOKUP(H74,tablas!$S$3:$U$66,3,TRUE),tablas!$R$3:$S$66,2,FALSE)&lt;H74,VLOOKUP(H74+0.1,tablas!$S$3:$U$66,2,TRUE),VLOOKUP(H74,tablas!$S$3:$U$66,2,TRUE))&amp;"@"&amp;IF(VLOOKUP(VLOOKUP(H74,tablas!$S$3:$U$66,2,TRUE)&amp;VLOOKUP(H74,tablas!$S$3:$U$66,3,TRUE),tablas!$R$3:$S$66,2,FALSE)&lt;H74,VLOOKUP(H74+0.1,tablas!$S$3:$U$66,3,TRUE),VLOOKUP(H74,tablas!$S$3:$U$66,3,TRUE))&amp;"$",$C$13)</f>
        <v>$\phi8@17$</v>
      </c>
      <c r="I75" s="192" t="str">
        <f>IF(I74&gt;$C$12,"$\phi"&amp;IF(VLOOKUP(VLOOKUP(I74,tablas!$S$3:$U$66,2,TRUE)&amp;VLOOKUP(I74,tablas!$S$3:$U$66,3,TRUE),tablas!$R$3:$S$66,2,FALSE)&lt;I74,VLOOKUP(I74+0.1,tablas!$S$3:$U$66,2,TRUE),VLOOKUP(I74,tablas!$S$3:$U$66,2,TRUE))&amp;"@"&amp;IF(VLOOKUP(VLOOKUP(I74,tablas!$S$3:$U$66,2,TRUE)&amp;VLOOKUP(I74,tablas!$S$3:$U$66,3,TRUE),tablas!$R$3:$S$66,2,FALSE)&lt;I74,VLOOKUP(I74+0.1,tablas!$S$3:$U$66,3,TRUE),VLOOKUP(I74,tablas!$S$3:$U$66,3,TRUE))&amp;"$",$C$13)</f>
        <v>$\phi8@17$</v>
      </c>
      <c r="J75" s="192" t="str">
        <f>IF(J74&gt;$C$12,"$\phi"&amp;IF(VLOOKUP(VLOOKUP(J74,tablas!$S$3:$U$66,2,TRUE)&amp;VLOOKUP(J74,tablas!$S$3:$U$66,3,TRUE),tablas!$R$3:$S$66,2,FALSE)&lt;J74,VLOOKUP(J74+0.1,tablas!$S$3:$U$66,2,TRUE),VLOOKUP(J74,tablas!$S$3:$U$66,2,TRUE))&amp;"@"&amp;IF(VLOOKUP(VLOOKUP(J74,tablas!$S$3:$U$66,2,TRUE)&amp;VLOOKUP(J74,tablas!$S$3:$U$66,3,TRUE),tablas!$R$3:$S$66,2,FALSE)&lt;J74,VLOOKUP(J74+0.1,tablas!$S$3:$U$66,3,TRUE),VLOOKUP(J74,tablas!$S$3:$U$66,3,TRUE))&amp;"$",$C$13)</f>
        <v>$\phi8@17$</v>
      </c>
      <c r="K75" s="192" t="str">
        <f>IF(K74&gt;$C$12,"$\phi"&amp;IF(VLOOKUP(VLOOKUP(K74,tablas!$S$3:$U$66,2,TRUE)&amp;VLOOKUP(K74,tablas!$S$3:$U$66,3,TRUE),tablas!$R$3:$S$66,2,FALSE)&lt;K74,VLOOKUP(K74+0.1,tablas!$S$3:$U$66,2,TRUE),VLOOKUP(K74,tablas!$S$3:$U$66,2,TRUE))&amp;"@"&amp;IF(VLOOKUP(VLOOKUP(K74,tablas!$S$3:$U$66,2,TRUE)&amp;VLOOKUP(K74,tablas!$S$3:$U$66,3,TRUE),tablas!$R$3:$S$66,2,FALSE)&lt;K74,VLOOKUP(K74+0.1,tablas!$S$3:$U$66,3,TRUE),VLOOKUP(K74,tablas!$S$3:$U$66,3,TRUE))&amp;"$",$C$13)</f>
        <v>$\phi8@17$</v>
      </c>
      <c r="L75" s="192" t="str">
        <f>IF(L74&gt;$C$12,"$\phi"&amp;IF(VLOOKUP(VLOOKUP(L74,tablas!$S$3:$U$66,2,TRUE)&amp;VLOOKUP(L74,tablas!$S$3:$U$66,3,TRUE),tablas!$R$3:$S$66,2,FALSE)&lt;L74,VLOOKUP(L74+0.1,tablas!$S$3:$U$66,2,TRUE),VLOOKUP(L74,tablas!$S$3:$U$66,2,TRUE))&amp;"@"&amp;IF(VLOOKUP(VLOOKUP(L74,tablas!$S$3:$U$66,2,TRUE)&amp;VLOOKUP(L74,tablas!$S$3:$U$66,3,TRUE),tablas!$R$3:$S$66,2,FALSE)&lt;L74,VLOOKUP(L74+0.1,tablas!$S$3:$U$66,3,TRUE),VLOOKUP(L74,tablas!$S$3:$U$66,3,TRUE))&amp;"$",$C$13)</f>
        <v>$\phi8@17$</v>
      </c>
      <c r="M75" s="192" t="str">
        <f>IF(M74&gt;$C$12,"$\phi"&amp;IF(VLOOKUP(VLOOKUP(M74,tablas!$S$3:$U$66,2,TRUE)&amp;VLOOKUP(M74,tablas!$S$3:$U$66,3,TRUE),tablas!$R$3:$S$66,2,FALSE)&lt;M74,VLOOKUP(M74+0.1,tablas!$S$3:$U$66,2,TRUE),VLOOKUP(M74,tablas!$S$3:$U$66,2,TRUE))&amp;"@"&amp;IF(VLOOKUP(VLOOKUP(M74,tablas!$S$3:$U$66,2,TRUE)&amp;VLOOKUP(M74,tablas!$S$3:$U$66,3,TRUE),tablas!$R$3:$S$66,2,FALSE)&lt;M74,VLOOKUP(M74+0.1,tablas!$S$3:$U$66,3,TRUE),VLOOKUP(M74,tablas!$S$3:$U$66,3,TRUE))&amp;"$",$C$13)</f>
        <v>$\phi8@17$</v>
      </c>
      <c r="N75" s="192" t="str">
        <f>IF(N74&gt;$C$12,"$\phi"&amp;IF(VLOOKUP(VLOOKUP(N74,tablas!$S$3:$U$66,2,TRUE)&amp;VLOOKUP(N74,tablas!$S$3:$U$66,3,TRUE),tablas!$R$3:$S$66,2,FALSE)&lt;N74,VLOOKUP(N74+0.1,tablas!$S$3:$U$66,2,TRUE),VLOOKUP(N74,tablas!$S$3:$U$66,2,TRUE))&amp;"@"&amp;IF(VLOOKUP(VLOOKUP(N74,tablas!$S$3:$U$66,2,TRUE)&amp;VLOOKUP(N74,tablas!$S$3:$U$66,3,TRUE),tablas!$R$3:$S$66,2,FALSE)&lt;N74,VLOOKUP(N74+0.1,tablas!$S$3:$U$66,3,TRUE),VLOOKUP(N74,tablas!$S$3:$U$66,3,TRUE))&amp;"$",$C$13)</f>
        <v>$\phi8@17$</v>
      </c>
      <c r="O75" s="192" t="str">
        <f>IF(O74&gt;$C$12,"$\phi"&amp;IF(VLOOKUP(VLOOKUP(O74,tablas!$S$3:$U$66,2,TRUE)&amp;VLOOKUP(O74,tablas!$S$3:$U$66,3,TRUE),tablas!$R$3:$S$66,2,FALSE)&lt;O74,VLOOKUP(O74+0.1,tablas!$S$3:$U$66,2,TRUE),VLOOKUP(O74,tablas!$S$3:$U$66,2,TRUE))&amp;"@"&amp;IF(VLOOKUP(VLOOKUP(O74,tablas!$S$3:$U$66,2,TRUE)&amp;VLOOKUP(O74,tablas!$S$3:$U$66,3,TRUE),tablas!$R$3:$S$66,2,FALSE)&lt;O74,VLOOKUP(O74+0.1,tablas!$S$3:$U$66,3,TRUE),VLOOKUP(O74,tablas!$S$3:$U$66,3,TRUE))&amp;"$",$C$13)</f>
        <v>$\phi8@17$</v>
      </c>
      <c r="P75" s="192" t="str">
        <f>IF(P74&gt;$C$12,"$\phi"&amp;IF(VLOOKUP(VLOOKUP(P74,tablas!$S$3:$U$66,2,TRUE)&amp;VLOOKUP(P74,tablas!$S$3:$U$66,3,TRUE),tablas!$R$3:$S$66,2,FALSE)&lt;P74,VLOOKUP(P74+0.1,tablas!$S$3:$U$66,2,TRUE),VLOOKUP(P74,tablas!$S$3:$U$66,2,TRUE))&amp;"@"&amp;IF(VLOOKUP(VLOOKUP(P74,tablas!$S$3:$U$66,2,TRUE)&amp;VLOOKUP(P74,tablas!$S$3:$U$66,3,TRUE),tablas!$R$3:$S$66,2,FALSE)&lt;P74,VLOOKUP(P74+0.1,tablas!$S$3:$U$66,3,TRUE),VLOOKUP(P74,tablas!$S$3:$U$66,3,TRUE))&amp;"$",$C$13)</f>
        <v>$\phi8@17$</v>
      </c>
      <c r="Q75" s="192" t="str">
        <f>IF(Q74&gt;$C$12,"$\phi"&amp;IF(VLOOKUP(VLOOKUP(Q74,tablas!$S$3:$U$66,2,TRUE)&amp;VLOOKUP(Q74,tablas!$S$3:$U$66,3,TRUE),tablas!$R$3:$S$66,2,FALSE)&lt;Q74,VLOOKUP(Q74+0.1,tablas!$S$3:$U$66,2,TRUE),VLOOKUP(Q74,tablas!$S$3:$U$66,2,TRUE))&amp;"@"&amp;IF(VLOOKUP(VLOOKUP(Q74,tablas!$S$3:$U$66,2,TRUE)&amp;VLOOKUP(Q74,tablas!$S$3:$U$66,3,TRUE),tablas!$R$3:$S$66,2,FALSE)&lt;Q74,VLOOKUP(Q74+0.1,tablas!$S$3:$U$66,3,TRUE),VLOOKUP(Q74,tablas!$S$3:$U$66,3,TRUE))&amp;"$",$C$13)</f>
        <v>$\phi8@17$</v>
      </c>
      <c r="R75" s="192" t="str">
        <f>IF(R74&gt;$C$12,"$\phi"&amp;IF(VLOOKUP(VLOOKUP(R74,tablas!$S$3:$U$66,2,TRUE)&amp;VLOOKUP(R74,tablas!$S$3:$U$66,3,TRUE),tablas!$R$3:$S$66,2,FALSE)&lt;R74,VLOOKUP(R74+0.1,tablas!$S$3:$U$66,2,TRUE),VLOOKUP(R74,tablas!$S$3:$U$66,2,TRUE))&amp;"@"&amp;IF(VLOOKUP(VLOOKUP(R74,tablas!$S$3:$U$66,2,TRUE)&amp;VLOOKUP(R74,tablas!$S$3:$U$66,3,TRUE),tablas!$R$3:$S$66,2,FALSE)&lt;R74,VLOOKUP(R74+0.1,tablas!$S$3:$U$66,3,TRUE),VLOOKUP(R74,tablas!$S$3:$U$66,3,TRUE))&amp;"$",$C$13)</f>
        <v>$\phi8@17$</v>
      </c>
      <c r="S75" s="192" t="str">
        <f>IF(S74&gt;$C$12,"$\phi"&amp;IF(VLOOKUP(VLOOKUP(S74,tablas!$S$3:$U$66,2,TRUE)&amp;VLOOKUP(S74,tablas!$S$3:$U$66,3,TRUE),tablas!$R$3:$S$66,2,FALSE)&lt;S74,VLOOKUP(S74+0.1,tablas!$S$3:$U$66,2,TRUE),VLOOKUP(S74,tablas!$S$3:$U$66,2,TRUE))&amp;"@"&amp;IF(VLOOKUP(VLOOKUP(S74,tablas!$S$3:$U$66,2,TRUE)&amp;VLOOKUP(S74,tablas!$S$3:$U$66,3,TRUE),tablas!$R$3:$S$66,2,FALSE)&lt;S74,VLOOKUP(S74+0.1,tablas!$S$3:$U$66,3,TRUE),VLOOKUP(S74,tablas!$S$3:$U$66,3,TRUE))&amp;"$",$C$13)</f>
        <v>$\phi8@17$</v>
      </c>
      <c r="T75" s="192" t="str">
        <f>IF(T74&gt;$C$12,"$\phi"&amp;IF(VLOOKUP(VLOOKUP(T74,tablas!$S$3:$U$66,2,TRUE)&amp;VLOOKUP(T74,tablas!$S$3:$U$66,3,TRUE),tablas!$R$3:$S$66,2,FALSE)&lt;T74,VLOOKUP(T74+0.1,tablas!$S$3:$U$66,2,TRUE),VLOOKUP(T74,tablas!$S$3:$U$66,2,TRUE))&amp;"@"&amp;IF(VLOOKUP(VLOOKUP(T74,tablas!$S$3:$U$66,2,TRUE)&amp;VLOOKUP(T74,tablas!$S$3:$U$66,3,TRUE),tablas!$R$3:$S$66,2,FALSE)&lt;T74,VLOOKUP(T74+0.1,tablas!$S$3:$U$66,3,TRUE),VLOOKUP(T74,tablas!$S$3:$U$66,3,TRUE))&amp;"$",$C$13)</f>
        <v>$\phi8@17$</v>
      </c>
      <c r="U75" s="192" t="str">
        <f>IF(U74&gt;$C$12,"$\phi"&amp;IF(VLOOKUP(VLOOKUP(U74,tablas!$S$3:$U$66,2,TRUE)&amp;VLOOKUP(U74,tablas!$S$3:$U$66,3,TRUE),tablas!$R$3:$S$66,2,FALSE)&lt;U74,VLOOKUP(U74+0.1,tablas!$S$3:$U$66,2,TRUE),VLOOKUP(U74,tablas!$S$3:$U$66,2,TRUE))&amp;"@"&amp;IF(VLOOKUP(VLOOKUP(U74,tablas!$S$3:$U$66,2,TRUE)&amp;VLOOKUP(U74,tablas!$S$3:$U$66,3,TRUE),tablas!$R$3:$S$66,2,FALSE)&lt;U74,VLOOKUP(U74+0.1,tablas!$S$3:$U$66,3,TRUE),VLOOKUP(U74,tablas!$S$3:$U$66,3,TRUE))&amp;"$",$C$13)</f>
        <v>$\phi8@17$</v>
      </c>
      <c r="V75" s="192" t="str">
        <f>IF(V74&gt;$C$12,"$\phi"&amp;IF(VLOOKUP(VLOOKUP(V74,tablas!$S$3:$U$66,2,TRUE)&amp;VLOOKUP(V74,tablas!$S$3:$U$66,3,TRUE),tablas!$R$3:$S$66,2,FALSE)&lt;V74,VLOOKUP(V74+0.1,tablas!$S$3:$U$66,2,TRUE),VLOOKUP(V74,tablas!$S$3:$U$66,2,TRUE))&amp;"@"&amp;IF(VLOOKUP(VLOOKUP(V74,tablas!$S$3:$U$66,2,TRUE)&amp;VLOOKUP(V74,tablas!$S$3:$U$66,3,TRUE),tablas!$R$3:$S$66,2,FALSE)&lt;V74,VLOOKUP(V74+0.1,tablas!$S$3:$U$66,3,TRUE),VLOOKUP(V74,tablas!$S$3:$U$66,3,TRUE))&amp;"$",$C$13)</f>
        <v>$\phi8@17$</v>
      </c>
      <c r="W75" s="192" t="str">
        <f>IF(W74&gt;$C$12,"$\phi"&amp;IF(VLOOKUP(VLOOKUP(W74,tablas!$S$3:$U$66,2,TRUE)&amp;VLOOKUP(W74,tablas!$S$3:$U$66,3,TRUE),tablas!$R$3:$S$66,2,FALSE)&lt;W74,VLOOKUP(W74+0.1,tablas!$S$3:$U$66,2,TRUE),VLOOKUP(W74,tablas!$S$3:$U$66,2,TRUE))&amp;"@"&amp;IF(VLOOKUP(VLOOKUP(W74,tablas!$S$3:$U$66,2,TRUE)&amp;VLOOKUP(W74,tablas!$S$3:$U$66,3,TRUE),tablas!$R$3:$S$66,2,FALSE)&lt;W74,VLOOKUP(W74+0.1,tablas!$S$3:$U$66,3,TRUE),VLOOKUP(W74,tablas!$S$3:$U$66,3,TRUE))&amp;"$",$C$13)</f>
        <v>$\phi8@17$</v>
      </c>
      <c r="X75" s="192" t="str">
        <f>IF(X74&gt;$C$12,"$\phi"&amp;IF(VLOOKUP(VLOOKUP(X74,tablas!$S$3:$U$66,2,TRUE)&amp;VLOOKUP(X74,tablas!$S$3:$U$66,3,TRUE),tablas!$R$3:$S$66,2,FALSE)&lt;X74,VLOOKUP(X74+0.1,tablas!$S$3:$U$66,2,TRUE),VLOOKUP(X74,tablas!$S$3:$U$66,2,TRUE))&amp;"@"&amp;IF(VLOOKUP(VLOOKUP(X74,tablas!$S$3:$U$66,2,TRUE)&amp;VLOOKUP(X74,tablas!$S$3:$U$66,3,TRUE),tablas!$R$3:$S$66,2,FALSE)&lt;X74,VLOOKUP(X74+0.1,tablas!$S$3:$U$66,3,TRUE),VLOOKUP(X74,tablas!$S$3:$U$66,3,TRUE))&amp;"$",$C$13)</f>
        <v>$\phi8@17$</v>
      </c>
    </row>
    <row r="76" spans="2:24" x14ac:dyDescent="0.25">
      <c r="B76" s="93" t="s">
        <v>102</v>
      </c>
      <c r="C76" s="88">
        <f>IF(C53&lt;=2,C68/C58*(1+C69*C62)*C56,"0")</f>
        <v>448.73926380368096</v>
      </c>
      <c r="D76" s="88">
        <f t="shared" ref="D76:X76" si="15">IF(D53&lt;=2,D68/D58*(1+D69*D62)*D56,"0")</f>
        <v>323.32092050209206</v>
      </c>
      <c r="E76" s="88">
        <f t="shared" si="15"/>
        <v>323.32092050209206</v>
      </c>
      <c r="F76" s="88">
        <f t="shared" si="15"/>
        <v>488.8078301886793</v>
      </c>
      <c r="G76" s="88">
        <f t="shared" si="15"/>
        <v>605.81110266159703</v>
      </c>
      <c r="H76" s="88">
        <f t="shared" si="15"/>
        <v>444.8340874811463</v>
      </c>
      <c r="I76" s="88">
        <f t="shared" si="15"/>
        <v>62.244</v>
      </c>
      <c r="J76" s="88" t="str">
        <f t="shared" si="15"/>
        <v>0</v>
      </c>
      <c r="K76" s="88" t="str">
        <f t="shared" si="15"/>
        <v>0</v>
      </c>
      <c r="L76" s="88">
        <f t="shared" si="15"/>
        <v>444.8340874811463</v>
      </c>
      <c r="M76" s="88">
        <f t="shared" si="15"/>
        <v>564.9014448669202</v>
      </c>
      <c r="N76" s="88" t="str">
        <f t="shared" si="15"/>
        <v>0</v>
      </c>
      <c r="O76" s="88" t="str">
        <f t="shared" si="15"/>
        <v>0</v>
      </c>
      <c r="P76" s="88" t="str">
        <f t="shared" si="15"/>
        <v>0</v>
      </c>
      <c r="Q76" s="88" t="str">
        <f t="shared" si="15"/>
        <v>0</v>
      </c>
      <c r="R76" s="88" t="str">
        <f t="shared" si="15"/>
        <v>0</v>
      </c>
      <c r="S76" s="88" t="str">
        <f t="shared" si="15"/>
        <v>0</v>
      </c>
      <c r="T76" s="88" t="str">
        <f t="shared" si="15"/>
        <v>0</v>
      </c>
      <c r="U76" s="88" t="str">
        <f t="shared" si="15"/>
        <v>0</v>
      </c>
      <c r="V76" s="88" t="str">
        <f t="shared" si="15"/>
        <v>0</v>
      </c>
      <c r="W76" s="88" t="str">
        <f t="shared" si="15"/>
        <v>0</v>
      </c>
      <c r="X76" s="88">
        <f t="shared" si="15"/>
        <v>90.621146853146854</v>
      </c>
    </row>
    <row r="77" spans="2:24" x14ac:dyDescent="0.25">
      <c r="B77" s="94" t="s">
        <v>15</v>
      </c>
      <c r="C77" s="84">
        <f t="shared" ref="C77" si="16">C76/(0.9*(0.9*($C$7/100))*($L$9*1000))</f>
        <v>0.92456457128780933</v>
      </c>
      <c r="D77" s="84">
        <f t="shared" ref="D77" si="17">D76/(0.9*(0.9*($C$7/100))*($L$9*1000))</f>
        <v>0.66615759387432616</v>
      </c>
      <c r="E77" s="84">
        <f t="shared" ref="E77" si="18">E76/(0.9*(0.9*($C$7/100))*($L$9*1000))</f>
        <v>0.66615759387432616</v>
      </c>
      <c r="F77" s="84">
        <f t="shared" ref="F77" si="19">F76/(0.9*(0.9*($C$7/100))*($L$9*1000))</f>
        <v>1.0071202553789398</v>
      </c>
      <c r="G77" s="84">
        <f t="shared" ref="G77" si="20">G76/(0.9*(0.9*($C$7/100))*($L$9*1000))</f>
        <v>1.2481891548022814</v>
      </c>
      <c r="H77" s="84">
        <f t="shared" ref="H77" si="21">H76/(0.9*(0.9*($C$7/100))*($L$9*1000))</f>
        <v>0.91651850096661014</v>
      </c>
      <c r="I77" s="84">
        <f t="shared" ref="I77" si="22">I76/(0.9*(0.9*($C$7/100))*($L$9*1000))</f>
        <v>0.12824506749740391</v>
      </c>
      <c r="J77" s="84">
        <f t="shared" ref="J77" si="23">J76/(0.9*(0.9*($C$7/100))*($L$9*1000))</f>
        <v>0</v>
      </c>
      <c r="K77" s="84">
        <f t="shared" ref="K77" si="24">K76/(0.9*(0.9*($C$7/100))*($L$9*1000))</f>
        <v>0</v>
      </c>
      <c r="L77" s="84">
        <f t="shared" ref="L77" si="25">L76/(0.9*(0.9*($C$7/100))*($L$9*1000))</f>
        <v>0.91651850096661014</v>
      </c>
      <c r="M77" s="84">
        <f t="shared" ref="M77" si="26">M76/(0.9*(0.9*($C$7/100))*($L$9*1000))</f>
        <v>1.1639005193486789</v>
      </c>
      <c r="N77" s="84">
        <f t="shared" ref="N77" si="27">N76/(0.9*(0.9*($C$7/100))*($L$9*1000))</f>
        <v>0</v>
      </c>
      <c r="O77" s="84">
        <f t="shared" ref="O77" si="28">O76/(0.9*(0.9*($C$7/100))*($L$9*1000))</f>
        <v>0</v>
      </c>
      <c r="P77" s="84">
        <f t="shared" ref="P77" si="29">P76/(0.9*(0.9*($C$7/100))*($L$9*1000))</f>
        <v>0</v>
      </c>
      <c r="Q77" s="84">
        <f t="shared" ref="Q77" si="30">Q76/(0.9*(0.9*($C$7/100))*($L$9*1000))</f>
        <v>0</v>
      </c>
      <c r="R77" s="84">
        <f t="shared" ref="R77" si="31">R76/(0.9*(0.9*($C$7/100))*($L$9*1000))</f>
        <v>0</v>
      </c>
      <c r="S77" s="84">
        <f t="shared" ref="S77" si="32">S76/(0.9*(0.9*($C$7/100))*($L$9*1000))</f>
        <v>0</v>
      </c>
      <c r="T77" s="84">
        <f t="shared" ref="T77" si="33">T76/(0.9*(0.9*($C$7/100))*($L$9*1000))</f>
        <v>0</v>
      </c>
      <c r="U77" s="84">
        <f t="shared" ref="U77" si="34">U76/(0.9*(0.9*($C$7/100))*($L$9*1000))</f>
        <v>0</v>
      </c>
      <c r="V77" s="84">
        <f t="shared" ref="V77" si="35">V76/(0.9*(0.9*($C$7/100))*($L$9*1000))</f>
        <v>0</v>
      </c>
      <c r="W77" s="84">
        <f t="shared" ref="W77" si="36">W76/(0.9*(0.9*($C$7/100))*($L$9*1000))</f>
        <v>0</v>
      </c>
      <c r="X77" s="84">
        <f t="shared" ref="X77" si="37">X76/(0.9*(0.9*($C$7/100))*($L$9*1000))</f>
        <v>0.18671221474959787</v>
      </c>
    </row>
    <row r="78" spans="2:24" x14ac:dyDescent="0.25">
      <c r="B78" s="94" t="s">
        <v>98</v>
      </c>
      <c r="C78" s="84">
        <f t="shared" ref="C78" si="38">(C77*($L$9))/(0.85*$L$6*100)</f>
        <v>1.3040488927704149E-2</v>
      </c>
      <c r="D78" s="84">
        <f t="shared" ref="D78" si="39">(D77*($L$9))/(0.85*$L$6*100)</f>
        <v>9.3957966774826703E-3</v>
      </c>
      <c r="E78" s="84">
        <f t="shared" ref="E78" si="40">(E77*($L$9))/(0.85*$L$6*100)</f>
        <v>9.3957966774826703E-3</v>
      </c>
      <c r="F78" s="84">
        <f t="shared" ref="F78" si="41">(F77*($L$9))/(0.85*$L$6*100)</f>
        <v>1.4204892710568009E-2</v>
      </c>
      <c r="G78" s="84">
        <f t="shared" ref="G78" si="42">(G77*($L$9))/(0.85*$L$6*100)</f>
        <v>1.7605040641139446E-2</v>
      </c>
      <c r="H78" s="84">
        <f t="shared" ref="H78" si="43">(H77*($L$9))/(0.85*$L$6*100)</f>
        <v>1.2927003407932416E-2</v>
      </c>
      <c r="I78" s="84">
        <f t="shared" ref="I78" si="44">(I77*($L$9))/(0.85*$L$6*100)</f>
        <v>1.8088281064059608E-3</v>
      </c>
      <c r="J78" s="84">
        <f t="shared" ref="J78" si="45">(J77*($L$9))/(0.85*$L$6*100)</f>
        <v>0</v>
      </c>
      <c r="K78" s="84">
        <f t="shared" ref="K78" si="46">(K77*($L$9))/(0.85*$L$6*100)</f>
        <v>0</v>
      </c>
      <c r="L78" s="84">
        <f t="shared" ref="L78" si="47">(L77*($L$9))/(0.85*$L$6*100)</f>
        <v>1.2927003407932416E-2</v>
      </c>
      <c r="M78" s="84">
        <f t="shared" ref="M78" si="48">(M77*($L$9))/(0.85*$L$6*100)</f>
        <v>1.6416194505890085E-2</v>
      </c>
      <c r="N78" s="84">
        <f t="shared" ref="N78" si="49">(N77*($L$9))/(0.85*$L$6*100)</f>
        <v>0</v>
      </c>
      <c r="O78" s="84">
        <f t="shared" ref="O78" si="50">(O77*($L$9))/(0.85*$L$6*100)</f>
        <v>0</v>
      </c>
      <c r="P78" s="84">
        <f t="shared" ref="P78" si="51">(P77*($L$9))/(0.85*$L$6*100)</f>
        <v>0</v>
      </c>
      <c r="Q78" s="84">
        <f t="shared" ref="Q78" si="52">(Q77*($L$9))/(0.85*$L$6*100)</f>
        <v>0</v>
      </c>
      <c r="R78" s="84">
        <f t="shared" ref="R78" si="53">(R77*($L$9))/(0.85*$L$6*100)</f>
        <v>0</v>
      </c>
      <c r="S78" s="84">
        <f t="shared" ref="S78" si="54">(S77*($L$9))/(0.85*$L$6*100)</f>
        <v>0</v>
      </c>
      <c r="T78" s="84">
        <f t="shared" ref="T78" si="55">(T77*($L$9))/(0.85*$L$6*100)</f>
        <v>0</v>
      </c>
      <c r="U78" s="84">
        <f t="shared" ref="U78" si="56">(U77*($L$9))/(0.85*$L$6*100)</f>
        <v>0</v>
      </c>
      <c r="V78" s="84">
        <f t="shared" ref="V78" si="57">(V77*($L$9))/(0.85*$L$6*100)</f>
        <v>0</v>
      </c>
      <c r="W78" s="84">
        <f t="shared" ref="W78" si="58">(W77*($L$9))/(0.85*$L$6*100)</f>
        <v>0</v>
      </c>
      <c r="X78" s="84">
        <f t="shared" ref="X78" si="59">(X77*($L$9))/(0.85*$L$6*100)</f>
        <v>2.633475956922982E-3</v>
      </c>
    </row>
    <row r="79" spans="2:24" ht="15.75" thickBot="1" x14ac:dyDescent="0.3">
      <c r="B79" s="94" t="s">
        <v>15</v>
      </c>
      <c r="C79" s="76">
        <f t="shared" ref="C79" si="60">ROUNDUP(C76/(0.9*(($C$7-C78/2)/100)*($L$9*1000)),2)</f>
        <v>0.84</v>
      </c>
      <c r="D79" s="76">
        <f t="shared" ref="D79" si="61">ROUNDUP(D76/(0.9*(($C$7-D78/2)/100)*($L$9*1000)),2)</f>
        <v>0.6</v>
      </c>
      <c r="E79" s="76">
        <f t="shared" ref="E79" si="62">ROUNDUP(E76/(0.9*(($C$7-E78/2)/100)*($L$9*1000)),2)</f>
        <v>0.6</v>
      </c>
      <c r="F79" s="76">
        <f t="shared" ref="F79" si="63">ROUNDUP(F76/(0.9*(($C$7-F78/2)/100)*($L$9*1000)),2)</f>
        <v>0.91</v>
      </c>
      <c r="G79" s="76">
        <f t="shared" ref="G79" si="64">ROUNDUP(G76/(0.9*(($C$7-G78/2)/100)*($L$9*1000)),2)</f>
        <v>1.1300000000000001</v>
      </c>
      <c r="H79" s="76">
        <f t="shared" ref="H79" si="65">ROUNDUP(H76/(0.9*(($C$7-H78/2)/100)*($L$9*1000)),2)</f>
        <v>0.83</v>
      </c>
      <c r="I79" s="76">
        <f t="shared" ref="I79" si="66">ROUNDUP(I76/(0.9*(($C$7-I78/2)/100)*($L$9*1000)),2)</f>
        <v>0.12</v>
      </c>
      <c r="J79" s="76">
        <f t="shared" ref="J79" si="67">ROUNDUP(J76/(0.9*(($C$7-J78/2)/100)*($L$9*1000)),2)</f>
        <v>0</v>
      </c>
      <c r="K79" s="76">
        <f t="shared" ref="K79" si="68">ROUNDUP(K76/(0.9*(($C$7-K78/2)/100)*($L$9*1000)),2)</f>
        <v>0</v>
      </c>
      <c r="L79" s="76">
        <f t="shared" ref="L79" si="69">ROUNDUP(L76/(0.9*(($C$7-L78/2)/100)*($L$9*1000)),2)</f>
        <v>0.83</v>
      </c>
      <c r="M79" s="76">
        <f t="shared" ref="M79" si="70">ROUNDUP(M76/(0.9*(($C$7-M78/2)/100)*($L$9*1000)),2)</f>
        <v>1.05</v>
      </c>
      <c r="N79" s="76">
        <f t="shared" ref="N79" si="71">ROUNDUP(N76/(0.9*(($C$7-N78/2)/100)*($L$9*1000)),2)</f>
        <v>0</v>
      </c>
      <c r="O79" s="76">
        <f t="shared" ref="O79" si="72">ROUNDUP(O76/(0.9*(($C$7-O78/2)/100)*($L$9*1000)),2)</f>
        <v>0</v>
      </c>
      <c r="P79" s="76">
        <f t="shared" ref="P79" si="73">ROUNDUP(P76/(0.9*(($C$7-P78/2)/100)*($L$9*1000)),2)</f>
        <v>0</v>
      </c>
      <c r="Q79" s="76">
        <f t="shared" ref="Q79" si="74">ROUNDUP(Q76/(0.9*(($C$7-Q78/2)/100)*($L$9*1000)),2)</f>
        <v>0</v>
      </c>
      <c r="R79" s="76">
        <f t="shared" ref="R79" si="75">ROUNDUP(R76/(0.9*(($C$7-R78/2)/100)*($L$9*1000)),2)</f>
        <v>0</v>
      </c>
      <c r="S79" s="76">
        <f t="shared" ref="S79" si="76">ROUNDUP(S76/(0.9*(($C$7-S78/2)/100)*($L$9*1000)),2)</f>
        <v>0</v>
      </c>
      <c r="T79" s="76">
        <f t="shared" ref="T79" si="77">ROUNDUP(T76/(0.9*(($C$7-T78/2)/100)*($L$9*1000)),2)</f>
        <v>0</v>
      </c>
      <c r="U79" s="76">
        <f t="shared" ref="U79" si="78">ROUNDUP(U76/(0.9*(($C$7-U78/2)/100)*($L$9*1000)),2)</f>
        <v>0</v>
      </c>
      <c r="V79" s="76">
        <f t="shared" ref="V79" si="79">ROUNDUP(V76/(0.9*(($C$7-V78/2)/100)*($L$9*1000)),2)</f>
        <v>0</v>
      </c>
      <c r="W79" s="76">
        <f t="shared" ref="W79" si="80">ROUNDUP(W76/(0.9*(($C$7-W78/2)/100)*($L$9*1000)),2)</f>
        <v>0</v>
      </c>
      <c r="X79" s="76">
        <f t="shared" ref="X79" si="81">ROUNDUP(X76/(0.9*(($C$7-X78/2)/100)*($L$9*1000)),2)</f>
        <v>0.17</v>
      </c>
    </row>
    <row r="80" spans="2:24" ht="16.5" thickBot="1" x14ac:dyDescent="0.3">
      <c r="B80" s="61" t="s">
        <v>101</v>
      </c>
      <c r="C80" s="192" t="str">
        <f>IF(C79&gt;$C$12,"$\phi"&amp;IF(VLOOKUP(VLOOKUP(C79,tablas!$S$3:$U$66,2,TRUE)&amp;VLOOKUP(C79,tablas!$S$3:$U$66,3,TRUE),tablas!$R$3:$S$66,2,FALSE)&lt;C79,VLOOKUP(C79+0.1,tablas!$S$3:$U$66,2,TRUE),VLOOKUP(C79,tablas!$S$3:$U$66,2,TRUE))&amp;"@"&amp;IF(VLOOKUP(VLOOKUP(C79,tablas!$S$3:$U$66,2,TRUE)&amp;VLOOKUP(C79,tablas!$S$3:$U$66,3,TRUE),tablas!$R$3:$S$66,2,FALSE)&lt;C79,VLOOKUP(C79+0.1,tablas!$S$3:$U$66,3,TRUE),VLOOKUP(C79,tablas!$S$3:$U$66,3,TRUE))&amp;"$",$C$13)</f>
        <v>$\phi8@17$</v>
      </c>
      <c r="D80" s="192" t="str">
        <f>IF(D79&gt;$C$12,"$\phi"&amp;IF(VLOOKUP(VLOOKUP(D79,tablas!$S$3:$U$66,2,TRUE)&amp;VLOOKUP(D79,tablas!$S$3:$U$66,3,TRUE),tablas!$R$3:$S$66,2,FALSE)&lt;D79,VLOOKUP(D79+0.1,tablas!$S$3:$U$66,2,TRUE),VLOOKUP(D79,tablas!$S$3:$U$66,2,TRUE))&amp;"@"&amp;IF(VLOOKUP(VLOOKUP(D79,tablas!$S$3:$U$66,2,TRUE)&amp;VLOOKUP(D79,tablas!$S$3:$U$66,3,TRUE),tablas!$R$3:$S$66,2,FALSE)&lt;D79,VLOOKUP(D79+0.1,tablas!$S$3:$U$66,3,TRUE),VLOOKUP(D79,tablas!$S$3:$U$66,3,TRUE))&amp;"$",$C$13)</f>
        <v>$\phi8@17$</v>
      </c>
      <c r="E80" s="192" t="str">
        <f>IF(E79&gt;$C$12,"$\phi"&amp;IF(VLOOKUP(VLOOKUP(E79,tablas!$S$3:$U$66,2,TRUE)&amp;VLOOKUP(E79,tablas!$S$3:$U$66,3,TRUE),tablas!$R$3:$S$66,2,FALSE)&lt;E79,VLOOKUP(E79+0.1,tablas!$S$3:$U$66,2,TRUE),VLOOKUP(E79,tablas!$S$3:$U$66,2,TRUE))&amp;"@"&amp;IF(VLOOKUP(VLOOKUP(E79,tablas!$S$3:$U$66,2,TRUE)&amp;VLOOKUP(E79,tablas!$S$3:$U$66,3,TRUE),tablas!$R$3:$S$66,2,FALSE)&lt;E79,VLOOKUP(E79+0.1,tablas!$S$3:$U$66,3,TRUE),VLOOKUP(E79,tablas!$S$3:$U$66,3,TRUE))&amp;"$",$C$13)</f>
        <v>$\phi8@17$</v>
      </c>
      <c r="F80" s="192" t="str">
        <f>IF(F79&gt;$C$12,"$\phi"&amp;IF(VLOOKUP(VLOOKUP(F79,tablas!$S$3:$U$66,2,TRUE)&amp;VLOOKUP(F79,tablas!$S$3:$U$66,3,TRUE),tablas!$R$3:$S$66,2,FALSE)&lt;F79,VLOOKUP(F79+0.1,tablas!$S$3:$U$66,2,TRUE),VLOOKUP(F79,tablas!$S$3:$U$66,2,TRUE))&amp;"@"&amp;IF(VLOOKUP(VLOOKUP(F79,tablas!$S$3:$U$66,2,TRUE)&amp;VLOOKUP(F79,tablas!$S$3:$U$66,3,TRUE),tablas!$R$3:$S$66,2,FALSE)&lt;F79,VLOOKUP(F79+0.1,tablas!$S$3:$U$66,3,TRUE),VLOOKUP(F79,tablas!$S$3:$U$66,3,TRUE))&amp;"$",$C$13)</f>
        <v>$\phi8@17$</v>
      </c>
      <c r="G80" s="192" t="str">
        <f>IF(G79&gt;$C$12,"$\phi"&amp;IF(VLOOKUP(VLOOKUP(G79,tablas!$S$3:$U$66,2,TRUE)&amp;VLOOKUP(G79,tablas!$S$3:$U$66,3,TRUE),tablas!$R$3:$S$66,2,FALSE)&lt;G79,VLOOKUP(G79+0.1,tablas!$S$3:$U$66,2,TRUE),VLOOKUP(G79,tablas!$S$3:$U$66,2,TRUE))&amp;"@"&amp;IF(VLOOKUP(VLOOKUP(G79,tablas!$S$3:$U$66,2,TRUE)&amp;VLOOKUP(G79,tablas!$S$3:$U$66,3,TRUE),tablas!$R$3:$S$66,2,FALSE)&lt;G79,VLOOKUP(G79+0.1,tablas!$S$3:$U$66,3,TRUE),VLOOKUP(G79,tablas!$S$3:$U$66,3,TRUE))&amp;"$",$C$13)</f>
        <v>$\phi8@17$</v>
      </c>
      <c r="H80" s="192" t="str">
        <f>IF(H79&gt;$C$12,"$\phi"&amp;IF(VLOOKUP(VLOOKUP(H79,tablas!$S$3:$U$66,2,TRUE)&amp;VLOOKUP(H79,tablas!$S$3:$U$66,3,TRUE),tablas!$R$3:$S$66,2,FALSE)&lt;H79,VLOOKUP(H79+0.1,tablas!$S$3:$U$66,2,TRUE),VLOOKUP(H79,tablas!$S$3:$U$66,2,TRUE))&amp;"@"&amp;IF(VLOOKUP(VLOOKUP(H79,tablas!$S$3:$U$66,2,TRUE)&amp;VLOOKUP(H79,tablas!$S$3:$U$66,3,TRUE),tablas!$R$3:$S$66,2,FALSE)&lt;H79,VLOOKUP(H79+0.1,tablas!$S$3:$U$66,3,TRUE),VLOOKUP(H79,tablas!$S$3:$U$66,3,TRUE))&amp;"$",$C$13)</f>
        <v>$\phi8@17$</v>
      </c>
      <c r="I80" s="192" t="str">
        <f>IF(I79&gt;$C$12,"$\phi"&amp;IF(VLOOKUP(VLOOKUP(I79,tablas!$S$3:$U$66,2,TRUE)&amp;VLOOKUP(I79,tablas!$S$3:$U$66,3,TRUE),tablas!$R$3:$S$66,2,FALSE)&lt;I79,VLOOKUP(I79+0.1,tablas!$S$3:$U$66,2,TRUE),VLOOKUP(I79,tablas!$S$3:$U$66,2,TRUE))&amp;"@"&amp;IF(VLOOKUP(VLOOKUP(I79,tablas!$S$3:$U$66,2,TRUE)&amp;VLOOKUP(I79,tablas!$S$3:$U$66,3,TRUE),tablas!$R$3:$S$66,2,FALSE)&lt;I79,VLOOKUP(I79+0.1,tablas!$S$3:$U$66,3,TRUE),VLOOKUP(I79,tablas!$S$3:$U$66,3,TRUE))&amp;"$",$C$13)</f>
        <v>$\phi8@17$</v>
      </c>
      <c r="J80" s="192" t="str">
        <f>IF(J79&gt;$C$12,"$\phi"&amp;IF(VLOOKUP(VLOOKUP(J79,tablas!$S$3:$U$66,2,TRUE)&amp;VLOOKUP(J79,tablas!$S$3:$U$66,3,TRUE),tablas!$R$3:$S$66,2,FALSE)&lt;J79,VLOOKUP(J79+0.1,tablas!$S$3:$U$66,2,TRUE),VLOOKUP(J79,tablas!$S$3:$U$66,2,TRUE))&amp;"@"&amp;IF(VLOOKUP(VLOOKUP(J79,tablas!$S$3:$U$66,2,TRUE)&amp;VLOOKUP(J79,tablas!$S$3:$U$66,3,TRUE),tablas!$R$3:$S$66,2,FALSE)&lt;J79,VLOOKUP(J79+0.1,tablas!$S$3:$U$66,3,TRUE),VLOOKUP(J79,tablas!$S$3:$U$66,3,TRUE))&amp;"$",$C$13)</f>
        <v>$\phi8@17$</v>
      </c>
      <c r="K80" s="192" t="str">
        <f>IF(K79&gt;$C$12,"$\phi"&amp;IF(VLOOKUP(VLOOKUP(K79,tablas!$S$3:$U$66,2,TRUE)&amp;VLOOKUP(K79,tablas!$S$3:$U$66,3,TRUE),tablas!$R$3:$S$66,2,FALSE)&lt;K79,VLOOKUP(K79+0.1,tablas!$S$3:$U$66,2,TRUE),VLOOKUP(K79,tablas!$S$3:$U$66,2,TRUE))&amp;"@"&amp;IF(VLOOKUP(VLOOKUP(K79,tablas!$S$3:$U$66,2,TRUE)&amp;VLOOKUP(K79,tablas!$S$3:$U$66,3,TRUE),tablas!$R$3:$S$66,2,FALSE)&lt;K79,VLOOKUP(K79+0.1,tablas!$S$3:$U$66,3,TRUE),VLOOKUP(K79,tablas!$S$3:$U$66,3,TRUE))&amp;"$",$C$13)</f>
        <v>$\phi8@17$</v>
      </c>
      <c r="L80" s="192" t="str">
        <f>IF(L79&gt;$C$12,"$\phi"&amp;IF(VLOOKUP(VLOOKUP(L79,tablas!$S$3:$U$66,2,TRUE)&amp;VLOOKUP(L79,tablas!$S$3:$U$66,3,TRUE),tablas!$R$3:$S$66,2,FALSE)&lt;L79,VLOOKUP(L79+0.1,tablas!$S$3:$U$66,2,TRUE),VLOOKUP(L79,tablas!$S$3:$U$66,2,TRUE))&amp;"@"&amp;IF(VLOOKUP(VLOOKUP(L79,tablas!$S$3:$U$66,2,TRUE)&amp;VLOOKUP(L79,tablas!$S$3:$U$66,3,TRUE),tablas!$R$3:$S$66,2,FALSE)&lt;L79,VLOOKUP(L79+0.1,tablas!$S$3:$U$66,3,TRUE),VLOOKUP(L79,tablas!$S$3:$U$66,3,TRUE))&amp;"$",$C$13)</f>
        <v>$\phi8@17$</v>
      </c>
      <c r="M80" s="192" t="str">
        <f>IF(M79&gt;$C$12,"$\phi"&amp;IF(VLOOKUP(VLOOKUP(M79,tablas!$S$3:$U$66,2,TRUE)&amp;VLOOKUP(M79,tablas!$S$3:$U$66,3,TRUE),tablas!$R$3:$S$66,2,FALSE)&lt;M79,VLOOKUP(M79+0.1,tablas!$S$3:$U$66,2,TRUE),VLOOKUP(M79,tablas!$S$3:$U$66,2,TRUE))&amp;"@"&amp;IF(VLOOKUP(VLOOKUP(M79,tablas!$S$3:$U$66,2,TRUE)&amp;VLOOKUP(M79,tablas!$S$3:$U$66,3,TRUE),tablas!$R$3:$S$66,2,FALSE)&lt;M79,VLOOKUP(M79+0.1,tablas!$S$3:$U$66,3,TRUE),VLOOKUP(M79,tablas!$S$3:$U$66,3,TRUE))&amp;"$",$C$13)</f>
        <v>$\phi8@17$</v>
      </c>
      <c r="N80" s="192" t="str">
        <f>IF(N79&gt;$C$12,"$\phi"&amp;IF(VLOOKUP(VLOOKUP(N79,tablas!$S$3:$U$66,2,TRUE)&amp;VLOOKUP(N79,tablas!$S$3:$U$66,3,TRUE),tablas!$R$3:$S$66,2,FALSE)&lt;N79,VLOOKUP(N79+0.1,tablas!$S$3:$U$66,2,TRUE),VLOOKUP(N79,tablas!$S$3:$U$66,2,TRUE))&amp;"@"&amp;IF(VLOOKUP(VLOOKUP(N79,tablas!$S$3:$U$66,2,TRUE)&amp;VLOOKUP(N79,tablas!$S$3:$U$66,3,TRUE),tablas!$R$3:$S$66,2,FALSE)&lt;N79,VLOOKUP(N79+0.1,tablas!$S$3:$U$66,3,TRUE),VLOOKUP(N79,tablas!$S$3:$U$66,3,TRUE))&amp;"$",$C$13)</f>
        <v>$\phi8@17$</v>
      </c>
      <c r="O80" s="192" t="str">
        <f>IF(O79&gt;$C$12,"$\phi"&amp;IF(VLOOKUP(VLOOKUP(O79,tablas!$S$3:$U$66,2,TRUE)&amp;VLOOKUP(O79,tablas!$S$3:$U$66,3,TRUE),tablas!$R$3:$S$66,2,FALSE)&lt;O79,VLOOKUP(O79+0.1,tablas!$S$3:$U$66,2,TRUE),VLOOKUP(O79,tablas!$S$3:$U$66,2,TRUE))&amp;"@"&amp;IF(VLOOKUP(VLOOKUP(O79,tablas!$S$3:$U$66,2,TRUE)&amp;VLOOKUP(O79,tablas!$S$3:$U$66,3,TRUE),tablas!$R$3:$S$66,2,FALSE)&lt;O79,VLOOKUP(O79+0.1,tablas!$S$3:$U$66,3,TRUE),VLOOKUP(O79,tablas!$S$3:$U$66,3,TRUE))&amp;"$",$C$13)</f>
        <v>$\phi8@17$</v>
      </c>
      <c r="P80" s="192" t="str">
        <f>IF(P79&gt;$C$12,"$\phi"&amp;IF(VLOOKUP(VLOOKUP(P79,tablas!$S$3:$U$66,2,TRUE)&amp;VLOOKUP(P79,tablas!$S$3:$U$66,3,TRUE),tablas!$R$3:$S$66,2,FALSE)&lt;P79,VLOOKUP(P79+0.1,tablas!$S$3:$U$66,2,TRUE),VLOOKUP(P79,tablas!$S$3:$U$66,2,TRUE))&amp;"@"&amp;IF(VLOOKUP(VLOOKUP(P79,tablas!$S$3:$U$66,2,TRUE)&amp;VLOOKUP(P79,tablas!$S$3:$U$66,3,TRUE),tablas!$R$3:$S$66,2,FALSE)&lt;P79,VLOOKUP(P79+0.1,tablas!$S$3:$U$66,3,TRUE),VLOOKUP(P79,tablas!$S$3:$U$66,3,TRUE))&amp;"$",$C$13)</f>
        <v>$\phi8@17$</v>
      </c>
      <c r="Q80" s="192" t="str">
        <f>IF(Q79&gt;$C$12,"$\phi"&amp;IF(VLOOKUP(VLOOKUP(Q79,tablas!$S$3:$U$66,2,TRUE)&amp;VLOOKUP(Q79,tablas!$S$3:$U$66,3,TRUE),tablas!$R$3:$S$66,2,FALSE)&lt;Q79,VLOOKUP(Q79+0.1,tablas!$S$3:$U$66,2,TRUE),VLOOKUP(Q79,tablas!$S$3:$U$66,2,TRUE))&amp;"@"&amp;IF(VLOOKUP(VLOOKUP(Q79,tablas!$S$3:$U$66,2,TRUE)&amp;VLOOKUP(Q79,tablas!$S$3:$U$66,3,TRUE),tablas!$R$3:$S$66,2,FALSE)&lt;Q79,VLOOKUP(Q79+0.1,tablas!$S$3:$U$66,3,TRUE),VLOOKUP(Q79,tablas!$S$3:$U$66,3,TRUE))&amp;"$",$C$13)</f>
        <v>$\phi8@17$</v>
      </c>
      <c r="R80" s="192" t="str">
        <f>IF(R79&gt;$C$12,"$\phi"&amp;IF(VLOOKUP(VLOOKUP(R79,tablas!$S$3:$U$66,2,TRUE)&amp;VLOOKUP(R79,tablas!$S$3:$U$66,3,TRUE),tablas!$R$3:$S$66,2,FALSE)&lt;R79,VLOOKUP(R79+0.1,tablas!$S$3:$U$66,2,TRUE),VLOOKUP(R79,tablas!$S$3:$U$66,2,TRUE))&amp;"@"&amp;IF(VLOOKUP(VLOOKUP(R79,tablas!$S$3:$U$66,2,TRUE)&amp;VLOOKUP(R79,tablas!$S$3:$U$66,3,TRUE),tablas!$R$3:$S$66,2,FALSE)&lt;R79,VLOOKUP(R79+0.1,tablas!$S$3:$U$66,3,TRUE),VLOOKUP(R79,tablas!$S$3:$U$66,3,TRUE))&amp;"$",$C$13)</f>
        <v>$\phi8@17$</v>
      </c>
      <c r="S80" s="192" t="str">
        <f>IF(S79&gt;$C$12,"$\phi"&amp;IF(VLOOKUP(VLOOKUP(S79,tablas!$S$3:$U$66,2,TRUE)&amp;VLOOKUP(S79,tablas!$S$3:$U$66,3,TRUE),tablas!$R$3:$S$66,2,FALSE)&lt;S79,VLOOKUP(S79+0.1,tablas!$S$3:$U$66,2,TRUE),VLOOKUP(S79,tablas!$S$3:$U$66,2,TRUE))&amp;"@"&amp;IF(VLOOKUP(VLOOKUP(S79,tablas!$S$3:$U$66,2,TRUE)&amp;VLOOKUP(S79,tablas!$S$3:$U$66,3,TRUE),tablas!$R$3:$S$66,2,FALSE)&lt;S79,VLOOKUP(S79+0.1,tablas!$S$3:$U$66,3,TRUE),VLOOKUP(S79,tablas!$S$3:$U$66,3,TRUE))&amp;"$",$C$13)</f>
        <v>$\phi8@17$</v>
      </c>
      <c r="T80" s="192" t="str">
        <f>IF(T79&gt;$C$12,"$\phi"&amp;IF(VLOOKUP(VLOOKUP(T79,tablas!$S$3:$U$66,2,TRUE)&amp;VLOOKUP(T79,tablas!$S$3:$U$66,3,TRUE),tablas!$R$3:$S$66,2,FALSE)&lt;T79,VLOOKUP(T79+0.1,tablas!$S$3:$U$66,2,TRUE),VLOOKUP(T79,tablas!$S$3:$U$66,2,TRUE))&amp;"@"&amp;IF(VLOOKUP(VLOOKUP(T79,tablas!$S$3:$U$66,2,TRUE)&amp;VLOOKUP(T79,tablas!$S$3:$U$66,3,TRUE),tablas!$R$3:$S$66,2,FALSE)&lt;T79,VLOOKUP(T79+0.1,tablas!$S$3:$U$66,3,TRUE),VLOOKUP(T79,tablas!$S$3:$U$66,3,TRUE))&amp;"$",$C$13)</f>
        <v>$\phi8@17$</v>
      </c>
      <c r="U80" s="192" t="str">
        <f>IF(U79&gt;$C$12,"$\phi"&amp;IF(VLOOKUP(VLOOKUP(U79,tablas!$S$3:$U$66,2,TRUE)&amp;VLOOKUP(U79,tablas!$S$3:$U$66,3,TRUE),tablas!$R$3:$S$66,2,FALSE)&lt;U79,VLOOKUP(U79+0.1,tablas!$S$3:$U$66,2,TRUE),VLOOKUP(U79,tablas!$S$3:$U$66,2,TRUE))&amp;"@"&amp;IF(VLOOKUP(VLOOKUP(U79,tablas!$S$3:$U$66,2,TRUE)&amp;VLOOKUP(U79,tablas!$S$3:$U$66,3,TRUE),tablas!$R$3:$S$66,2,FALSE)&lt;U79,VLOOKUP(U79+0.1,tablas!$S$3:$U$66,3,TRUE),VLOOKUP(U79,tablas!$S$3:$U$66,3,TRUE))&amp;"$",$C$13)</f>
        <v>$\phi8@17$</v>
      </c>
      <c r="V80" s="192" t="str">
        <f>IF(V79&gt;$C$12,"$\phi"&amp;IF(VLOOKUP(VLOOKUP(V79,tablas!$S$3:$U$66,2,TRUE)&amp;VLOOKUP(V79,tablas!$S$3:$U$66,3,TRUE),tablas!$R$3:$S$66,2,FALSE)&lt;V79,VLOOKUP(V79+0.1,tablas!$S$3:$U$66,2,TRUE),VLOOKUP(V79,tablas!$S$3:$U$66,2,TRUE))&amp;"@"&amp;IF(VLOOKUP(VLOOKUP(V79,tablas!$S$3:$U$66,2,TRUE)&amp;VLOOKUP(V79,tablas!$S$3:$U$66,3,TRUE),tablas!$R$3:$S$66,2,FALSE)&lt;V79,VLOOKUP(V79+0.1,tablas!$S$3:$U$66,3,TRUE),VLOOKUP(V79,tablas!$S$3:$U$66,3,TRUE))&amp;"$",$C$13)</f>
        <v>$\phi8@17$</v>
      </c>
      <c r="W80" s="192" t="str">
        <f>IF(W79&gt;$C$12,"$\phi"&amp;IF(VLOOKUP(VLOOKUP(W79,tablas!$S$3:$U$66,2,TRUE)&amp;VLOOKUP(W79,tablas!$S$3:$U$66,3,TRUE),tablas!$R$3:$S$66,2,FALSE)&lt;W79,VLOOKUP(W79+0.1,tablas!$S$3:$U$66,2,TRUE),VLOOKUP(W79,tablas!$S$3:$U$66,2,TRUE))&amp;"@"&amp;IF(VLOOKUP(VLOOKUP(W79,tablas!$S$3:$U$66,2,TRUE)&amp;VLOOKUP(W79,tablas!$S$3:$U$66,3,TRUE),tablas!$R$3:$S$66,2,FALSE)&lt;W79,VLOOKUP(W79+0.1,tablas!$S$3:$U$66,3,TRUE),VLOOKUP(W79,tablas!$S$3:$U$66,3,TRUE))&amp;"$",$C$13)</f>
        <v>$\phi8@17$</v>
      </c>
      <c r="X80" s="192" t="str">
        <f>IF(X79&gt;$C$12,"$\phi"&amp;IF(VLOOKUP(VLOOKUP(X79,tablas!$S$3:$U$66,2,TRUE)&amp;VLOOKUP(X79,tablas!$S$3:$U$66,3,TRUE),tablas!$R$3:$S$66,2,FALSE)&lt;X79,VLOOKUP(X79+0.1,tablas!$S$3:$U$66,2,TRUE),VLOOKUP(X79,tablas!$S$3:$U$66,2,TRUE))&amp;"@"&amp;IF(VLOOKUP(VLOOKUP(X79,tablas!$S$3:$U$66,2,TRUE)&amp;VLOOKUP(X79,tablas!$S$3:$U$66,3,TRUE),tablas!$R$3:$S$66,2,FALSE)&lt;X79,VLOOKUP(X79+0.1,tablas!$S$3:$U$66,3,TRUE),VLOOKUP(X79,tablas!$S$3:$U$66,3,TRUE))&amp;"$",$C$13)</f>
        <v>$\phi8@17$</v>
      </c>
    </row>
    <row r="81" spans="2:32" x14ac:dyDescent="0.25">
      <c r="B81" s="93" t="s">
        <v>103</v>
      </c>
      <c r="C81" s="88">
        <f>IF(C53&lt;=2,C68/C59,IF(OR(C51=6,C51="5a",C51="3a"),C67*C48^2/12,(IF(OR(C51="2a",C51=4,C51="5b"),C67*C48^2/8,"-"))))</f>
        <v>3157.8048780487807</v>
      </c>
      <c r="D81" s="88">
        <f t="shared" ref="D81:X81" si="82">IF(D53&lt;=2,D68/D59,IF(OR(D51=6,D51="5a",D51="3a"),D67*D48^2/12,(IF(OR(D51="2a",D51=4,D51="5b"),D67*D48^2/8,"-"))))</f>
        <v>1482.063829787234</v>
      </c>
      <c r="E81" s="88">
        <f t="shared" si="82"/>
        <v>1482.063829787234</v>
      </c>
      <c r="F81" s="88">
        <f t="shared" si="82"/>
        <v>2660.2039062500003</v>
      </c>
      <c r="G81" s="88">
        <f t="shared" si="82"/>
        <v>2330.2529032258067</v>
      </c>
      <c r="H81" s="88">
        <f t="shared" si="82"/>
        <v>1428.5638297872338</v>
      </c>
      <c r="I81" s="88">
        <f t="shared" si="82"/>
        <v>670.04318181818178</v>
      </c>
      <c r="J81" s="88">
        <f t="shared" si="82"/>
        <v>227.0333333333333</v>
      </c>
      <c r="K81" s="88">
        <f t="shared" si="82"/>
        <v>974.1583333333333</v>
      </c>
      <c r="L81" s="88">
        <f t="shared" si="82"/>
        <v>1428.5638297872338</v>
      </c>
      <c r="M81" s="88">
        <f t="shared" si="82"/>
        <v>2172.8938709677423</v>
      </c>
      <c r="N81" s="88">
        <f t="shared" si="82"/>
        <v>350.56537500000002</v>
      </c>
      <c r="O81" s="88">
        <f t="shared" si="82"/>
        <v>350.56537500000002</v>
      </c>
      <c r="P81" s="88">
        <f t="shared" si="82"/>
        <v>350.56537500000002</v>
      </c>
      <c r="Q81" s="88">
        <f t="shared" si="82"/>
        <v>350.56537500000002</v>
      </c>
      <c r="R81" s="88">
        <f t="shared" si="82"/>
        <v>166.29600000000002</v>
      </c>
      <c r="S81" s="88">
        <f t="shared" si="82"/>
        <v>166.29600000000002</v>
      </c>
      <c r="T81" s="88">
        <f t="shared" si="82"/>
        <v>276.07350000000002</v>
      </c>
      <c r="U81" s="88">
        <f t="shared" si="82"/>
        <v>276.07350000000002</v>
      </c>
      <c r="V81" s="88">
        <f t="shared" si="82"/>
        <v>84.1935</v>
      </c>
      <c r="W81" s="88">
        <f t="shared" si="82"/>
        <v>75.337499999999991</v>
      </c>
      <c r="X81" s="88">
        <f t="shared" si="82"/>
        <v>734.75928143712576</v>
      </c>
    </row>
    <row r="82" spans="2:32" x14ac:dyDescent="0.25">
      <c r="B82" s="94" t="s">
        <v>15</v>
      </c>
      <c r="C82" s="89">
        <f>C81/(0.9*(0.9*($C$7/100))*($L$9*1000))</f>
        <v>6.5062158558093506</v>
      </c>
      <c r="D82" s="89">
        <f t="shared" ref="D82:X82" si="83">D81/(0.9*(0.9*($C$7/100))*($L$9*1000))</f>
        <v>3.0535855003940102</v>
      </c>
      <c r="E82" s="89">
        <f t="shared" si="83"/>
        <v>3.0535855003940102</v>
      </c>
      <c r="F82" s="89">
        <f t="shared" si="83"/>
        <v>5.4809785604056422</v>
      </c>
      <c r="G82" s="89">
        <f t="shared" si="83"/>
        <v>4.8011606076122195</v>
      </c>
      <c r="H82" s="89">
        <f t="shared" si="83"/>
        <v>2.9433562234980659</v>
      </c>
      <c r="I82" s="89">
        <f t="shared" si="83"/>
        <v>1.3805303816986054</v>
      </c>
      <c r="J82" s="89">
        <f t="shared" si="83"/>
        <v>0.46777047036652414</v>
      </c>
      <c r="K82" s="89">
        <f t="shared" si="83"/>
        <v>2.0071171713175859</v>
      </c>
      <c r="L82" s="89">
        <f t="shared" si="83"/>
        <v>2.9433562234980659</v>
      </c>
      <c r="M82" s="89">
        <f t="shared" si="83"/>
        <v>4.476944302213119</v>
      </c>
      <c r="N82" s="89">
        <f t="shared" si="83"/>
        <v>0.72229098674776226</v>
      </c>
      <c r="O82" s="89">
        <f t="shared" si="83"/>
        <v>0.72229098674776226</v>
      </c>
      <c r="P82" s="89">
        <f t="shared" si="83"/>
        <v>0.72229098674776226</v>
      </c>
      <c r="Q82" s="89">
        <f t="shared" si="83"/>
        <v>0.72229098674776226</v>
      </c>
      <c r="R82" s="89">
        <f t="shared" si="83"/>
        <v>0.34262967907827713</v>
      </c>
      <c r="S82" s="89">
        <f t="shared" si="83"/>
        <v>0.34262967907827713</v>
      </c>
      <c r="T82" s="89">
        <f t="shared" si="83"/>
        <v>0.56881088364733212</v>
      </c>
      <c r="U82" s="89">
        <f t="shared" si="83"/>
        <v>0.56881088364733212</v>
      </c>
      <c r="V82" s="89">
        <f t="shared" si="83"/>
        <v>0.17346894624932002</v>
      </c>
      <c r="W82" s="89">
        <f t="shared" si="83"/>
        <v>0.15522239529248869</v>
      </c>
      <c r="X82" s="89">
        <f t="shared" si="83"/>
        <v>1.5138688651476155</v>
      </c>
    </row>
    <row r="83" spans="2:32" x14ac:dyDescent="0.25">
      <c r="B83" s="94" t="s">
        <v>98</v>
      </c>
      <c r="C83" s="91">
        <f>(C82*($L$9))/(0.85*$L$6*100)</f>
        <v>9.1766695873666246E-2</v>
      </c>
      <c r="D83" s="91">
        <f t="shared" ref="D83:X83" si="84">(D82*($L$9))/(0.85*$L$6*100)</f>
        <v>4.3069190778337006E-2</v>
      </c>
      <c r="E83" s="91">
        <f t="shared" si="84"/>
        <v>4.3069190778337006E-2</v>
      </c>
      <c r="F83" s="91">
        <f t="shared" si="84"/>
        <v>7.7306272000448678E-2</v>
      </c>
      <c r="G83" s="91">
        <f t="shared" si="84"/>
        <v>6.7717803264393819E-2</v>
      </c>
      <c r="H83" s="91">
        <f t="shared" si="84"/>
        <v>4.1514465765601333E-2</v>
      </c>
      <c r="I83" s="91">
        <f t="shared" si="84"/>
        <v>1.9471642885714392E-2</v>
      </c>
      <c r="J83" s="91">
        <f t="shared" si="84"/>
        <v>6.5976523749175274E-3</v>
      </c>
      <c r="K83" s="91">
        <f t="shared" si="84"/>
        <v>2.8309314527069591E-2</v>
      </c>
      <c r="L83" s="91">
        <f t="shared" si="84"/>
        <v>4.1514465765601333E-2</v>
      </c>
      <c r="M83" s="91">
        <f t="shared" si="84"/>
        <v>6.3144905630160328E-2</v>
      </c>
      <c r="N83" s="91">
        <f t="shared" si="84"/>
        <v>1.0187528170309516E-2</v>
      </c>
      <c r="O83" s="91">
        <f t="shared" si="84"/>
        <v>1.0187528170309516E-2</v>
      </c>
      <c r="P83" s="91">
        <f t="shared" si="84"/>
        <v>1.0187528170309516E-2</v>
      </c>
      <c r="Q83" s="91">
        <f t="shared" si="84"/>
        <v>1.0187528170309516E-2</v>
      </c>
      <c r="R83" s="91">
        <f t="shared" si="84"/>
        <v>4.8326084246334694E-3</v>
      </c>
      <c r="S83" s="91">
        <f t="shared" si="84"/>
        <v>4.8326084246334694E-3</v>
      </c>
      <c r="T83" s="91">
        <f t="shared" si="84"/>
        <v>8.0227733795043051E-3</v>
      </c>
      <c r="U83" s="91">
        <f t="shared" si="84"/>
        <v>8.0227733795043051E-3</v>
      </c>
      <c r="V83" s="91">
        <f t="shared" si="84"/>
        <v>2.4466867356964564E-3</v>
      </c>
      <c r="W83" s="91">
        <f t="shared" si="84"/>
        <v>2.1893288905976329E-3</v>
      </c>
      <c r="X83" s="91">
        <f t="shared" si="84"/>
        <v>2.1352310900747389E-2</v>
      </c>
    </row>
    <row r="84" spans="2:32" ht="15.75" thickBot="1" x14ac:dyDescent="0.3">
      <c r="B84" s="94" t="s">
        <v>15</v>
      </c>
      <c r="C84" s="76">
        <f>ROUNDUP(C81/(0.9*(($C$7-C83/2)/100)*($L$9*1000)),2)</f>
        <v>5.88</v>
      </c>
      <c r="D84" s="76">
        <f t="shared" ref="D84:X84" si="85">ROUNDUP(D81/(0.9*(($C$7-D83/2)/100)*($L$9*1000)),2)</f>
        <v>2.76</v>
      </c>
      <c r="E84" s="76">
        <f t="shared" si="85"/>
        <v>2.76</v>
      </c>
      <c r="F84" s="76">
        <f t="shared" si="85"/>
        <v>4.95</v>
      </c>
      <c r="G84" s="76">
        <f t="shared" si="85"/>
        <v>4.34</v>
      </c>
      <c r="H84" s="76">
        <f t="shared" si="85"/>
        <v>2.6599999999999997</v>
      </c>
      <c r="I84" s="76">
        <f t="shared" si="85"/>
        <v>1.25</v>
      </c>
      <c r="J84" s="76">
        <f t="shared" si="85"/>
        <v>0.43</v>
      </c>
      <c r="K84" s="76">
        <f t="shared" si="85"/>
        <v>1.81</v>
      </c>
      <c r="L84" s="76">
        <f t="shared" si="85"/>
        <v>2.6599999999999997</v>
      </c>
      <c r="M84" s="76">
        <f t="shared" si="85"/>
        <v>4.04</v>
      </c>
      <c r="N84" s="76">
        <f t="shared" si="85"/>
        <v>0.66</v>
      </c>
      <c r="O84" s="76">
        <f t="shared" si="85"/>
        <v>0.66</v>
      </c>
      <c r="P84" s="76">
        <f t="shared" si="85"/>
        <v>0.66</v>
      </c>
      <c r="Q84" s="76">
        <f t="shared" si="85"/>
        <v>0.66</v>
      </c>
      <c r="R84" s="76">
        <f t="shared" si="85"/>
        <v>0.31</v>
      </c>
      <c r="S84" s="76">
        <f t="shared" si="85"/>
        <v>0.31</v>
      </c>
      <c r="T84" s="76">
        <f t="shared" si="85"/>
        <v>0.52</v>
      </c>
      <c r="U84" s="76">
        <f t="shared" si="85"/>
        <v>0.52</v>
      </c>
      <c r="V84" s="76">
        <f t="shared" si="85"/>
        <v>0.16</v>
      </c>
      <c r="W84" s="76">
        <f t="shared" si="85"/>
        <v>0.14000000000000001</v>
      </c>
      <c r="X84" s="76">
        <f t="shared" si="85"/>
        <v>1.37</v>
      </c>
    </row>
    <row r="85" spans="2:32" ht="16.5" thickBot="1" x14ac:dyDescent="0.3">
      <c r="B85" s="61" t="s">
        <v>105</v>
      </c>
      <c r="C85" s="192" t="str">
        <f>IF(C84&gt;$C$12,"$\phi"&amp;IF(VLOOKUP(VLOOKUP(C84,tablas!$S$3:$U$66,2,TRUE)&amp;VLOOKUP(C84,tablas!$S$3:$U$66,3,TRUE),tablas!$R$3:$S$66,2,FALSE)&lt;C84,VLOOKUP(C84+0.1,tablas!$S$3:$U$66,2,TRUE),VLOOKUP(C84,tablas!$S$3:$U$66,2,TRUE))&amp;"@"&amp;IF(VLOOKUP(VLOOKUP(C84,tablas!$S$3:$U$66,2,TRUE)&amp;VLOOKUP(C84,tablas!$S$3:$U$66,3,TRUE),tablas!$R$3:$S$66,2,FALSE)&lt;C84,VLOOKUP(C84+0.1,tablas!$S$3:$U$66,3,TRUE),VLOOKUP(C84,tablas!$S$3:$U$66,3,TRUE))&amp;"$",$C$13)</f>
        <v>$\phi12@19$</v>
      </c>
      <c r="D85" s="192" t="str">
        <f>IF(D84&gt;$C$12,"$\phi"&amp;IF(VLOOKUP(VLOOKUP(D84,tablas!$S$3:$U$66,2,TRUE)&amp;VLOOKUP(D84,tablas!$S$3:$U$66,3,TRUE),tablas!$R$3:$S$66,2,FALSE)&lt;D84,VLOOKUP(D84+0.1,tablas!$S$3:$U$66,2,TRUE),VLOOKUP(D84,tablas!$S$3:$U$66,2,TRUE))&amp;"@"&amp;IF(VLOOKUP(VLOOKUP(D84,tablas!$S$3:$U$66,2,TRUE)&amp;VLOOKUP(D84,tablas!$S$3:$U$66,3,TRUE),tablas!$R$3:$S$66,2,FALSE)&lt;D84,VLOOKUP(D84+0.1,tablas!$S$3:$U$66,3,TRUE),VLOOKUP(D84,tablas!$S$3:$U$66,3,TRUE))&amp;"$",$C$13)</f>
        <v>$\phi8@17$</v>
      </c>
      <c r="E85" s="192" t="str">
        <f>IF(E84&gt;$C$12,"$\phi"&amp;IF(VLOOKUP(VLOOKUP(E84,tablas!$S$3:$U$66,2,TRUE)&amp;VLOOKUP(E84,tablas!$S$3:$U$66,3,TRUE),tablas!$R$3:$S$66,2,FALSE)&lt;E84,VLOOKUP(E84+0.1,tablas!$S$3:$U$66,2,TRUE),VLOOKUP(E84,tablas!$S$3:$U$66,2,TRUE))&amp;"@"&amp;IF(VLOOKUP(VLOOKUP(E84,tablas!$S$3:$U$66,2,TRUE)&amp;VLOOKUP(E84,tablas!$S$3:$U$66,3,TRUE),tablas!$R$3:$S$66,2,FALSE)&lt;E84,VLOOKUP(E84+0.1,tablas!$S$3:$U$66,3,TRUE),VLOOKUP(E84,tablas!$S$3:$U$66,3,TRUE))&amp;"$",$C$13)</f>
        <v>$\phi8@17$</v>
      </c>
      <c r="F85" s="192" t="str">
        <f>IF(F84&gt;$C$12,"$\phi"&amp;IF(VLOOKUP(VLOOKUP(F84,tablas!$S$3:$U$66,2,TRUE)&amp;VLOOKUP(F84,tablas!$S$3:$U$66,3,TRUE),tablas!$R$3:$S$66,2,FALSE)&lt;F84,VLOOKUP(F84+0.1,tablas!$S$3:$U$66,2,TRUE),VLOOKUP(F84,tablas!$S$3:$U$66,2,TRUE))&amp;"@"&amp;IF(VLOOKUP(VLOOKUP(F84,tablas!$S$3:$U$66,2,TRUE)&amp;VLOOKUP(F84,tablas!$S$3:$U$66,3,TRUE),tablas!$R$3:$S$66,2,FALSE)&lt;F84,VLOOKUP(F84+0.1,tablas!$S$3:$U$66,3,TRUE),VLOOKUP(F84,tablas!$S$3:$U$66,3,TRUE))&amp;"$",$C$13)</f>
        <v>$\phi8@10$</v>
      </c>
      <c r="G85" s="192" t="str">
        <f>IF(G84&gt;$C$12,"$\phi"&amp;IF(VLOOKUP(VLOOKUP(G84,tablas!$S$3:$U$66,2,TRUE)&amp;VLOOKUP(G84,tablas!$S$3:$U$66,3,TRUE),tablas!$R$3:$S$66,2,FALSE)&lt;G84,VLOOKUP(G84+0.1,tablas!$S$3:$U$66,2,TRUE),VLOOKUP(G84,tablas!$S$3:$U$66,2,TRUE))&amp;"@"&amp;IF(VLOOKUP(VLOOKUP(G84,tablas!$S$3:$U$66,2,TRUE)&amp;VLOOKUP(G84,tablas!$S$3:$U$66,3,TRUE),tablas!$R$3:$S$66,2,FALSE)&lt;G84,VLOOKUP(G84+0.1,tablas!$S$3:$U$66,3,TRUE),VLOOKUP(G84,tablas!$S$3:$U$66,3,TRUE))&amp;"$",$C$13)</f>
        <v>$\phi10@18$</v>
      </c>
      <c r="H85" s="192" t="str">
        <f>IF(H84&gt;$C$12,"$\phi"&amp;IF(VLOOKUP(VLOOKUP(H84,tablas!$S$3:$U$66,2,TRUE)&amp;VLOOKUP(H84,tablas!$S$3:$U$66,3,TRUE),tablas!$R$3:$S$66,2,FALSE)&lt;H84,VLOOKUP(H84+0.1,tablas!$S$3:$U$66,2,TRUE),VLOOKUP(H84,tablas!$S$3:$U$66,2,TRUE))&amp;"@"&amp;IF(VLOOKUP(VLOOKUP(H84,tablas!$S$3:$U$66,2,TRUE)&amp;VLOOKUP(H84,tablas!$S$3:$U$66,3,TRUE),tablas!$R$3:$S$66,2,FALSE)&lt;H84,VLOOKUP(H84+0.1,tablas!$S$3:$U$66,3,TRUE),VLOOKUP(H84,tablas!$S$3:$U$66,3,TRUE))&amp;"$",$C$13)</f>
        <v>$\phi8@17$</v>
      </c>
      <c r="I85" s="192" t="str">
        <f>IF(I84&gt;$C$12,"$\phi"&amp;IF(VLOOKUP(VLOOKUP(I84,tablas!$S$3:$U$66,2,TRUE)&amp;VLOOKUP(I84,tablas!$S$3:$U$66,3,TRUE),tablas!$R$3:$S$66,2,FALSE)&lt;I84,VLOOKUP(I84+0.1,tablas!$S$3:$U$66,2,TRUE),VLOOKUP(I84,tablas!$S$3:$U$66,2,TRUE))&amp;"@"&amp;IF(VLOOKUP(VLOOKUP(I84,tablas!$S$3:$U$66,2,TRUE)&amp;VLOOKUP(I84,tablas!$S$3:$U$66,3,TRUE),tablas!$R$3:$S$66,2,FALSE)&lt;I84,VLOOKUP(I84+0.1,tablas!$S$3:$U$66,3,TRUE),VLOOKUP(I84,tablas!$S$3:$U$66,3,TRUE))&amp;"$",$C$13)</f>
        <v>$\phi8@17$</v>
      </c>
      <c r="J85" s="192" t="str">
        <f>IF(J84&gt;$C$12,"$\phi"&amp;IF(VLOOKUP(VLOOKUP(J84,tablas!$S$3:$U$66,2,TRUE)&amp;VLOOKUP(J84,tablas!$S$3:$U$66,3,TRUE),tablas!$R$3:$S$66,2,FALSE)&lt;J84,VLOOKUP(J84+0.1,tablas!$S$3:$U$66,2,TRUE),VLOOKUP(J84,tablas!$S$3:$U$66,2,TRUE))&amp;"@"&amp;IF(VLOOKUP(VLOOKUP(J84,tablas!$S$3:$U$66,2,TRUE)&amp;VLOOKUP(J84,tablas!$S$3:$U$66,3,TRUE),tablas!$R$3:$S$66,2,FALSE)&lt;J84,VLOOKUP(J84+0.1,tablas!$S$3:$U$66,3,TRUE),VLOOKUP(J84,tablas!$S$3:$U$66,3,TRUE))&amp;"$",$C$13)</f>
        <v>$\phi8@17$</v>
      </c>
      <c r="K85" s="192" t="str">
        <f>IF(K84&gt;$C$12,"$\phi"&amp;IF(VLOOKUP(VLOOKUP(K84,tablas!$S$3:$U$66,2,TRUE)&amp;VLOOKUP(K84,tablas!$S$3:$U$66,3,TRUE),tablas!$R$3:$S$66,2,FALSE)&lt;K84,VLOOKUP(K84+0.1,tablas!$S$3:$U$66,2,TRUE),VLOOKUP(K84,tablas!$S$3:$U$66,2,TRUE))&amp;"@"&amp;IF(VLOOKUP(VLOOKUP(K84,tablas!$S$3:$U$66,2,TRUE)&amp;VLOOKUP(K84,tablas!$S$3:$U$66,3,TRUE),tablas!$R$3:$S$66,2,FALSE)&lt;K84,VLOOKUP(K84+0.1,tablas!$S$3:$U$66,3,TRUE),VLOOKUP(K84,tablas!$S$3:$U$66,3,TRUE))&amp;"$",$C$13)</f>
        <v>$\phi8@17$</v>
      </c>
      <c r="L85" s="192" t="str">
        <f>IF(L84&gt;$C$12,"$\phi"&amp;IF(VLOOKUP(VLOOKUP(L84,tablas!$S$3:$U$66,2,TRUE)&amp;VLOOKUP(L84,tablas!$S$3:$U$66,3,TRUE),tablas!$R$3:$S$66,2,FALSE)&lt;L84,VLOOKUP(L84+0.1,tablas!$S$3:$U$66,2,TRUE),VLOOKUP(L84,tablas!$S$3:$U$66,2,TRUE))&amp;"@"&amp;IF(VLOOKUP(VLOOKUP(L84,tablas!$S$3:$U$66,2,TRUE)&amp;VLOOKUP(L84,tablas!$S$3:$U$66,3,TRUE),tablas!$R$3:$S$66,2,FALSE)&lt;L84,VLOOKUP(L84+0.1,tablas!$S$3:$U$66,3,TRUE),VLOOKUP(L84,tablas!$S$3:$U$66,3,TRUE))&amp;"$",$C$13)</f>
        <v>$\phi8@17$</v>
      </c>
      <c r="M85" s="192" t="str">
        <f>IF(M84&gt;$C$12,"$\phi"&amp;IF(VLOOKUP(VLOOKUP(M84,tablas!$S$3:$U$66,2,TRUE)&amp;VLOOKUP(M84,tablas!$S$3:$U$66,3,TRUE),tablas!$R$3:$S$66,2,FALSE)&lt;M84,VLOOKUP(M84+0.1,tablas!$S$3:$U$66,2,TRUE),VLOOKUP(M84,tablas!$S$3:$U$66,2,TRUE))&amp;"@"&amp;IF(VLOOKUP(VLOOKUP(M84,tablas!$S$3:$U$66,2,TRUE)&amp;VLOOKUP(M84,tablas!$S$3:$U$66,3,TRUE),tablas!$R$3:$S$66,2,FALSE)&lt;M84,VLOOKUP(M84+0.1,tablas!$S$3:$U$66,3,TRUE),VLOOKUP(M84,tablas!$S$3:$U$66,3,TRUE))&amp;"$",$C$13)</f>
        <v>$\phi10@19$</v>
      </c>
      <c r="N85" s="192" t="str">
        <f>IF(N84&gt;$C$12,"$\phi"&amp;IF(VLOOKUP(VLOOKUP(N84,tablas!$S$3:$U$66,2,TRUE)&amp;VLOOKUP(N84,tablas!$S$3:$U$66,3,TRUE),tablas!$R$3:$S$66,2,FALSE)&lt;N84,VLOOKUP(N84+0.1,tablas!$S$3:$U$66,2,TRUE),VLOOKUP(N84,tablas!$S$3:$U$66,2,TRUE))&amp;"@"&amp;IF(VLOOKUP(VLOOKUP(N84,tablas!$S$3:$U$66,2,TRUE)&amp;VLOOKUP(N84,tablas!$S$3:$U$66,3,TRUE),tablas!$R$3:$S$66,2,FALSE)&lt;N84,VLOOKUP(N84+0.1,tablas!$S$3:$U$66,3,TRUE),VLOOKUP(N84,tablas!$S$3:$U$66,3,TRUE))&amp;"$",$C$13)</f>
        <v>$\phi8@17$</v>
      </c>
      <c r="O85" s="192" t="str">
        <f>IF(O84&gt;$C$12,"$\phi"&amp;IF(VLOOKUP(VLOOKUP(O84,tablas!$S$3:$U$66,2,TRUE)&amp;VLOOKUP(O84,tablas!$S$3:$U$66,3,TRUE),tablas!$R$3:$S$66,2,FALSE)&lt;O84,VLOOKUP(O84+0.1,tablas!$S$3:$U$66,2,TRUE),VLOOKUP(O84,tablas!$S$3:$U$66,2,TRUE))&amp;"@"&amp;IF(VLOOKUP(VLOOKUP(O84,tablas!$S$3:$U$66,2,TRUE)&amp;VLOOKUP(O84,tablas!$S$3:$U$66,3,TRUE),tablas!$R$3:$S$66,2,FALSE)&lt;O84,VLOOKUP(O84+0.1,tablas!$S$3:$U$66,3,TRUE),VLOOKUP(O84,tablas!$S$3:$U$66,3,TRUE))&amp;"$",$C$13)</f>
        <v>$\phi8@17$</v>
      </c>
      <c r="P85" s="192" t="str">
        <f>IF(P84&gt;$C$12,"$\phi"&amp;IF(VLOOKUP(VLOOKUP(P84,tablas!$S$3:$U$66,2,TRUE)&amp;VLOOKUP(P84,tablas!$S$3:$U$66,3,TRUE),tablas!$R$3:$S$66,2,FALSE)&lt;P84,VLOOKUP(P84+0.1,tablas!$S$3:$U$66,2,TRUE),VLOOKUP(P84,tablas!$S$3:$U$66,2,TRUE))&amp;"@"&amp;IF(VLOOKUP(VLOOKUP(P84,tablas!$S$3:$U$66,2,TRUE)&amp;VLOOKUP(P84,tablas!$S$3:$U$66,3,TRUE),tablas!$R$3:$S$66,2,FALSE)&lt;P84,VLOOKUP(P84+0.1,tablas!$S$3:$U$66,3,TRUE),VLOOKUP(P84,tablas!$S$3:$U$66,3,TRUE))&amp;"$",$C$13)</f>
        <v>$\phi8@17$</v>
      </c>
      <c r="Q85" s="192" t="str">
        <f>IF(Q84&gt;$C$12,"$\phi"&amp;IF(VLOOKUP(VLOOKUP(Q84,tablas!$S$3:$U$66,2,TRUE)&amp;VLOOKUP(Q84,tablas!$S$3:$U$66,3,TRUE),tablas!$R$3:$S$66,2,FALSE)&lt;Q84,VLOOKUP(Q84+0.1,tablas!$S$3:$U$66,2,TRUE),VLOOKUP(Q84,tablas!$S$3:$U$66,2,TRUE))&amp;"@"&amp;IF(VLOOKUP(VLOOKUP(Q84,tablas!$S$3:$U$66,2,TRUE)&amp;VLOOKUP(Q84,tablas!$S$3:$U$66,3,TRUE),tablas!$R$3:$S$66,2,FALSE)&lt;Q84,VLOOKUP(Q84+0.1,tablas!$S$3:$U$66,3,TRUE),VLOOKUP(Q84,tablas!$S$3:$U$66,3,TRUE))&amp;"$",$C$13)</f>
        <v>$\phi8@17$</v>
      </c>
      <c r="R85" s="192" t="str">
        <f>IF(R84&gt;$C$12,"$\phi"&amp;IF(VLOOKUP(VLOOKUP(R84,tablas!$S$3:$U$66,2,TRUE)&amp;VLOOKUP(R84,tablas!$S$3:$U$66,3,TRUE),tablas!$R$3:$S$66,2,FALSE)&lt;R84,VLOOKUP(R84+0.1,tablas!$S$3:$U$66,2,TRUE),VLOOKUP(R84,tablas!$S$3:$U$66,2,TRUE))&amp;"@"&amp;IF(VLOOKUP(VLOOKUP(R84,tablas!$S$3:$U$66,2,TRUE)&amp;VLOOKUP(R84,tablas!$S$3:$U$66,3,TRUE),tablas!$R$3:$S$66,2,FALSE)&lt;R84,VLOOKUP(R84+0.1,tablas!$S$3:$U$66,3,TRUE),VLOOKUP(R84,tablas!$S$3:$U$66,3,TRUE))&amp;"$",$C$13)</f>
        <v>$\phi8@17$</v>
      </c>
      <c r="S85" s="192" t="str">
        <f>IF(S84&gt;$C$12,"$\phi"&amp;IF(VLOOKUP(VLOOKUP(S84,tablas!$S$3:$U$66,2,TRUE)&amp;VLOOKUP(S84,tablas!$S$3:$U$66,3,TRUE),tablas!$R$3:$S$66,2,FALSE)&lt;S84,VLOOKUP(S84+0.1,tablas!$S$3:$U$66,2,TRUE),VLOOKUP(S84,tablas!$S$3:$U$66,2,TRUE))&amp;"@"&amp;IF(VLOOKUP(VLOOKUP(S84,tablas!$S$3:$U$66,2,TRUE)&amp;VLOOKUP(S84,tablas!$S$3:$U$66,3,TRUE),tablas!$R$3:$S$66,2,FALSE)&lt;S84,VLOOKUP(S84+0.1,tablas!$S$3:$U$66,3,TRUE),VLOOKUP(S84,tablas!$S$3:$U$66,3,TRUE))&amp;"$",$C$13)</f>
        <v>$\phi8@17$</v>
      </c>
      <c r="T85" s="192" t="str">
        <f>IF(T84&gt;$C$12,"$\phi"&amp;IF(VLOOKUP(VLOOKUP(T84,tablas!$S$3:$U$66,2,TRUE)&amp;VLOOKUP(T84,tablas!$S$3:$U$66,3,TRUE),tablas!$R$3:$S$66,2,FALSE)&lt;T84,VLOOKUP(T84+0.1,tablas!$S$3:$U$66,2,TRUE),VLOOKUP(T84,tablas!$S$3:$U$66,2,TRUE))&amp;"@"&amp;IF(VLOOKUP(VLOOKUP(T84,tablas!$S$3:$U$66,2,TRUE)&amp;VLOOKUP(T84,tablas!$S$3:$U$66,3,TRUE),tablas!$R$3:$S$66,2,FALSE)&lt;T84,VLOOKUP(T84+0.1,tablas!$S$3:$U$66,3,TRUE),VLOOKUP(T84,tablas!$S$3:$U$66,3,TRUE))&amp;"$",$C$13)</f>
        <v>$\phi8@17$</v>
      </c>
      <c r="U85" s="192" t="str">
        <f>IF(U84&gt;$C$12,"$\phi"&amp;IF(VLOOKUP(VLOOKUP(U84,tablas!$S$3:$U$66,2,TRUE)&amp;VLOOKUP(U84,tablas!$S$3:$U$66,3,TRUE),tablas!$R$3:$S$66,2,FALSE)&lt;U84,VLOOKUP(U84+0.1,tablas!$S$3:$U$66,2,TRUE),VLOOKUP(U84,tablas!$S$3:$U$66,2,TRUE))&amp;"@"&amp;IF(VLOOKUP(VLOOKUP(U84,tablas!$S$3:$U$66,2,TRUE)&amp;VLOOKUP(U84,tablas!$S$3:$U$66,3,TRUE),tablas!$R$3:$S$66,2,FALSE)&lt;U84,VLOOKUP(U84+0.1,tablas!$S$3:$U$66,3,TRUE),VLOOKUP(U84,tablas!$S$3:$U$66,3,TRUE))&amp;"$",$C$13)</f>
        <v>$\phi8@17$</v>
      </c>
      <c r="V85" s="192" t="str">
        <f>IF(V84&gt;$C$12,"$\phi"&amp;IF(VLOOKUP(VLOOKUP(V84,tablas!$S$3:$U$66,2,TRUE)&amp;VLOOKUP(V84,tablas!$S$3:$U$66,3,TRUE),tablas!$R$3:$S$66,2,FALSE)&lt;V84,VLOOKUP(V84+0.1,tablas!$S$3:$U$66,2,TRUE),VLOOKUP(V84,tablas!$S$3:$U$66,2,TRUE))&amp;"@"&amp;IF(VLOOKUP(VLOOKUP(V84,tablas!$S$3:$U$66,2,TRUE)&amp;VLOOKUP(V84,tablas!$S$3:$U$66,3,TRUE),tablas!$R$3:$S$66,2,FALSE)&lt;V84,VLOOKUP(V84+0.1,tablas!$S$3:$U$66,3,TRUE),VLOOKUP(V84,tablas!$S$3:$U$66,3,TRUE))&amp;"$",$C$13)</f>
        <v>$\phi8@17$</v>
      </c>
      <c r="W85" s="192" t="str">
        <f>IF(W84&gt;$C$12,"$\phi"&amp;IF(VLOOKUP(VLOOKUP(W84,tablas!$S$3:$U$66,2,TRUE)&amp;VLOOKUP(W84,tablas!$S$3:$U$66,3,TRUE),tablas!$R$3:$S$66,2,FALSE)&lt;W84,VLOOKUP(W84+0.1,tablas!$S$3:$U$66,2,TRUE),VLOOKUP(W84,tablas!$S$3:$U$66,2,TRUE))&amp;"@"&amp;IF(VLOOKUP(VLOOKUP(W84,tablas!$S$3:$U$66,2,TRUE)&amp;VLOOKUP(W84,tablas!$S$3:$U$66,3,TRUE),tablas!$R$3:$S$66,2,FALSE)&lt;W84,VLOOKUP(W84+0.1,tablas!$S$3:$U$66,3,TRUE),VLOOKUP(W84,tablas!$S$3:$U$66,3,TRUE))&amp;"$",$C$13)</f>
        <v>$\phi8@17$</v>
      </c>
      <c r="X85" s="192" t="str">
        <f>IF(X84&gt;$C$12,"$\phi"&amp;IF(VLOOKUP(VLOOKUP(X84,tablas!$S$3:$U$66,2,TRUE)&amp;VLOOKUP(X84,tablas!$S$3:$U$66,3,TRUE),tablas!$R$3:$S$66,2,FALSE)&lt;X84,VLOOKUP(X84+0.1,tablas!$S$3:$U$66,2,TRUE),VLOOKUP(X84,tablas!$S$3:$U$66,2,TRUE))&amp;"@"&amp;IF(VLOOKUP(VLOOKUP(X84,tablas!$S$3:$U$66,2,TRUE)&amp;VLOOKUP(X84,tablas!$S$3:$U$66,3,TRUE),tablas!$R$3:$S$66,2,FALSE)&lt;X84,VLOOKUP(X84+0.1,tablas!$S$3:$U$66,3,TRUE),VLOOKUP(X84,tablas!$S$3:$U$66,3,TRUE))&amp;"$",$C$13)</f>
        <v>$\phi8@17$</v>
      </c>
    </row>
    <row r="86" spans="2:32" x14ac:dyDescent="0.25">
      <c r="B86" s="93" t="s">
        <v>104</v>
      </c>
      <c r="C86" s="88">
        <f>IF(C53&lt;=2,C68/C60,IF(OR(C51=6,C51="5a",C51="3a"),C67*C48^2/17.5,(IF(OR(C51="2a",C51=4,C51="5b"),C67*C48^2/11.25,IF(OR(C51=1,C51="2b",C51="3b"),C67*C48^2/8)))))</f>
        <v>2320.2508960573477</v>
      </c>
      <c r="D86" s="88">
        <f t="shared" ref="D86:X86" si="86">IF(D53&lt;=2,D68/D60,IF(OR(D51=6,D51="5a",D51="3a"),D67*D48^2/17.5,(IF(OR(D51="2a",D51=4,D51="5b"),D67*D48^2/11.25,IF(OR(D51=1,D51="2b",D51="3b"),D67*D48^2/8)))))</f>
        <v>1216.7161572052403</v>
      </c>
      <c r="E86" s="88">
        <f t="shared" si="86"/>
        <v>1216.7161572052403</v>
      </c>
      <c r="F86" s="88">
        <f t="shared" si="86"/>
        <v>2084.7312244897957</v>
      </c>
      <c r="G86" s="88">
        <f t="shared" si="86"/>
        <v>2015.9397209302329</v>
      </c>
      <c r="H86" s="88">
        <f t="shared" si="86"/>
        <v>1323.0049261083741</v>
      </c>
      <c r="I86" s="88">
        <f t="shared" si="86"/>
        <v>479.38048780487804</v>
      </c>
      <c r="J86" s="88">
        <f t="shared" si="86"/>
        <v>155.67999999999998</v>
      </c>
      <c r="K86" s="88">
        <f t="shared" si="86"/>
        <v>667.99428571428564</v>
      </c>
      <c r="L86" s="88">
        <f t="shared" si="86"/>
        <v>1323.0049261083741</v>
      </c>
      <c r="M86" s="88">
        <f t="shared" si="86"/>
        <v>1879.8058604651167</v>
      </c>
      <c r="N86" s="88">
        <f t="shared" si="86"/>
        <v>249.29093333333336</v>
      </c>
      <c r="O86" s="88">
        <f t="shared" si="86"/>
        <v>249.29093333333336</v>
      </c>
      <c r="P86" s="88">
        <f t="shared" si="86"/>
        <v>249.29093333333336</v>
      </c>
      <c r="Q86" s="88">
        <f t="shared" si="86"/>
        <v>249.29093333333336</v>
      </c>
      <c r="R86" s="88">
        <f t="shared" si="86"/>
        <v>118.25493333333335</v>
      </c>
      <c r="S86" s="88">
        <f t="shared" si="86"/>
        <v>118.25493333333335</v>
      </c>
      <c r="T86" s="88">
        <f t="shared" si="86"/>
        <v>196.31893333333335</v>
      </c>
      <c r="U86" s="88">
        <f t="shared" si="86"/>
        <v>196.31893333333335</v>
      </c>
      <c r="V86" s="88">
        <f t="shared" si="86"/>
        <v>59.870933333333333</v>
      </c>
      <c r="W86" s="88">
        <f t="shared" si="86"/>
        <v>53.573333333333331</v>
      </c>
      <c r="X86" s="88">
        <f t="shared" si="86"/>
        <v>555.22533936651575</v>
      </c>
    </row>
    <row r="87" spans="2:32" x14ac:dyDescent="0.25">
      <c r="B87" s="94" t="s">
        <v>15</v>
      </c>
      <c r="C87" s="89">
        <f>C86/(0.9*(0.9*($C$7/100))*($L$9*1000))</f>
        <v>4.7805528689638592</v>
      </c>
      <c r="D87" s="89">
        <f t="shared" ref="D87:X87" si="87">D86/(0.9*(0.9*($C$7/100))*($L$9*1000))</f>
        <v>2.5068736859129865</v>
      </c>
      <c r="E87" s="89">
        <f t="shared" si="87"/>
        <v>2.5068736859129865</v>
      </c>
      <c r="F87" s="89">
        <f t="shared" si="87"/>
        <v>4.2952974840729929</v>
      </c>
      <c r="G87" s="89">
        <f t="shared" si="87"/>
        <v>4.1535622000738277</v>
      </c>
      <c r="H87" s="89">
        <f t="shared" si="87"/>
        <v>2.7258668473775192</v>
      </c>
      <c r="I87" s="89">
        <f t="shared" si="87"/>
        <v>0.98769653324778284</v>
      </c>
      <c r="J87" s="89">
        <f t="shared" si="87"/>
        <v>0.32075689396561657</v>
      </c>
      <c r="K87" s="89">
        <f t="shared" si="87"/>
        <v>1.3763089174749159</v>
      </c>
      <c r="L87" s="89">
        <f t="shared" si="87"/>
        <v>2.7258668473775192</v>
      </c>
      <c r="M87" s="89">
        <f t="shared" si="87"/>
        <v>3.8730773963332101</v>
      </c>
      <c r="N87" s="89">
        <f t="shared" si="87"/>
        <v>0.51362914613174204</v>
      </c>
      <c r="O87" s="89">
        <f t="shared" si="87"/>
        <v>0.51362914613174204</v>
      </c>
      <c r="P87" s="89">
        <f t="shared" si="87"/>
        <v>0.51362914613174204</v>
      </c>
      <c r="Q87" s="89">
        <f t="shared" si="87"/>
        <v>0.51362914613174204</v>
      </c>
      <c r="R87" s="89">
        <f t="shared" si="87"/>
        <v>0.2436477717889971</v>
      </c>
      <c r="S87" s="89">
        <f t="shared" si="87"/>
        <v>0.2436477717889971</v>
      </c>
      <c r="T87" s="89">
        <f t="shared" si="87"/>
        <v>0.40448773948254729</v>
      </c>
      <c r="U87" s="89">
        <f t="shared" si="87"/>
        <v>0.40448773948254729</v>
      </c>
      <c r="V87" s="89">
        <f t="shared" si="87"/>
        <v>0.12335569511062758</v>
      </c>
      <c r="W87" s="89">
        <f t="shared" si="87"/>
        <v>0.11038036998576974</v>
      </c>
      <c r="X87" s="89">
        <f t="shared" si="87"/>
        <v>1.1439642555640352</v>
      </c>
    </row>
    <row r="88" spans="2:32" x14ac:dyDescent="0.25">
      <c r="B88" s="94" t="s">
        <v>98</v>
      </c>
      <c r="C88" s="91">
        <f>(C87*($L$9))/(0.85*$L$6*100)</f>
        <v>6.742714212939635E-2</v>
      </c>
      <c r="D88" s="91">
        <f t="shared" ref="D88:X88" si="88">(D87*($L$9))/(0.85*$L$6*100)</f>
        <v>3.5358112953394569E-2</v>
      </c>
      <c r="E88" s="91">
        <f t="shared" si="88"/>
        <v>3.5358112953394569E-2</v>
      </c>
      <c r="F88" s="91">
        <f t="shared" si="88"/>
        <v>6.0582874384025084E-2</v>
      </c>
      <c r="G88" s="91">
        <f t="shared" si="88"/>
        <v>5.8583773986870931E-2</v>
      </c>
      <c r="H88" s="91">
        <f t="shared" si="88"/>
        <v>3.8446894403611084E-2</v>
      </c>
      <c r="I88" s="91">
        <f t="shared" si="88"/>
        <v>1.393093149547046E-2</v>
      </c>
      <c r="J88" s="91">
        <f t="shared" si="88"/>
        <v>4.5241044856577329E-3</v>
      </c>
      <c r="K88" s="91">
        <f t="shared" si="88"/>
        <v>1.9412101389990579E-2</v>
      </c>
      <c r="L88" s="91">
        <f t="shared" si="88"/>
        <v>3.8446894403611084E-2</v>
      </c>
      <c r="M88" s="91">
        <f t="shared" si="88"/>
        <v>5.462768580097592E-2</v>
      </c>
      <c r="N88" s="91">
        <f t="shared" si="88"/>
        <v>7.2444644766645454E-3</v>
      </c>
      <c r="O88" s="91">
        <f t="shared" si="88"/>
        <v>7.2444644766645454E-3</v>
      </c>
      <c r="P88" s="91">
        <f t="shared" si="88"/>
        <v>7.2444644766645454E-3</v>
      </c>
      <c r="Q88" s="91">
        <f t="shared" si="88"/>
        <v>7.2444644766645454E-3</v>
      </c>
      <c r="R88" s="91">
        <f t="shared" si="88"/>
        <v>3.436521546406023E-3</v>
      </c>
      <c r="S88" s="91">
        <f t="shared" si="88"/>
        <v>3.436521546406023E-3</v>
      </c>
      <c r="T88" s="91">
        <f t="shared" si="88"/>
        <v>5.705083292091951E-3</v>
      </c>
      <c r="U88" s="91">
        <f t="shared" si="88"/>
        <v>5.705083292091951E-3</v>
      </c>
      <c r="V88" s="91">
        <f t="shared" si="88"/>
        <v>1.739866123161925E-3</v>
      </c>
      <c r="W88" s="91">
        <f t="shared" si="88"/>
        <v>1.5568560999805387E-3</v>
      </c>
      <c r="X88" s="91">
        <f t="shared" si="88"/>
        <v>1.6135004164818161E-2</v>
      </c>
    </row>
    <row r="89" spans="2:32" ht="15.75" thickBot="1" x14ac:dyDescent="0.3">
      <c r="B89" s="94" t="s">
        <v>15</v>
      </c>
      <c r="C89" s="76">
        <f>ROUNDUP(C86/(0.9*(($C$7-C88/2)/100)*($L$9*1000)),2)</f>
        <v>4.3199999999999994</v>
      </c>
      <c r="D89" s="76">
        <f t="shared" ref="D89:X89" si="89">ROUNDUP(D86/(0.9*(($C$7-D88/2)/100)*($L$9*1000)),2)</f>
        <v>2.2599999999999998</v>
      </c>
      <c r="E89" s="76">
        <f t="shared" si="89"/>
        <v>2.2599999999999998</v>
      </c>
      <c r="F89" s="76">
        <f t="shared" si="89"/>
        <v>3.88</v>
      </c>
      <c r="G89" s="76">
        <f t="shared" si="89"/>
        <v>3.75</v>
      </c>
      <c r="H89" s="76">
        <f t="shared" si="89"/>
        <v>2.46</v>
      </c>
      <c r="I89" s="76">
        <f t="shared" si="89"/>
        <v>0.89</v>
      </c>
      <c r="J89" s="76">
        <f t="shared" si="89"/>
        <v>0.29000000000000004</v>
      </c>
      <c r="K89" s="76">
        <f t="shared" si="89"/>
        <v>1.24</v>
      </c>
      <c r="L89" s="76">
        <f t="shared" si="89"/>
        <v>2.46</v>
      </c>
      <c r="M89" s="76">
        <f t="shared" si="89"/>
        <v>3.5</v>
      </c>
      <c r="N89" s="76">
        <f t="shared" si="89"/>
        <v>0.47000000000000003</v>
      </c>
      <c r="O89" s="76">
        <f t="shared" si="89"/>
        <v>0.47000000000000003</v>
      </c>
      <c r="P89" s="76">
        <f t="shared" si="89"/>
        <v>0.47000000000000003</v>
      </c>
      <c r="Q89" s="76">
        <f t="shared" si="89"/>
        <v>0.47000000000000003</v>
      </c>
      <c r="R89" s="76">
        <f t="shared" si="89"/>
        <v>0.22</v>
      </c>
      <c r="S89" s="76">
        <f t="shared" si="89"/>
        <v>0.22</v>
      </c>
      <c r="T89" s="76">
        <f t="shared" si="89"/>
        <v>0.37</v>
      </c>
      <c r="U89" s="76">
        <f t="shared" si="89"/>
        <v>0.37</v>
      </c>
      <c r="V89" s="76">
        <f t="shared" si="89"/>
        <v>0.12</v>
      </c>
      <c r="W89" s="76">
        <f t="shared" si="89"/>
        <v>9.9999999999999992E-2</v>
      </c>
      <c r="X89" s="76">
        <f t="shared" si="89"/>
        <v>1.04</v>
      </c>
    </row>
    <row r="90" spans="2:32" ht="16.5" thickBot="1" x14ac:dyDescent="0.3">
      <c r="B90" s="61" t="s">
        <v>106</v>
      </c>
      <c r="C90" s="192" t="str">
        <f>IF(C89&gt;$C$12,"$\phi"&amp;IF(VLOOKUP(VLOOKUP(C89,tablas!$S$3:$U$66,2,TRUE)&amp;VLOOKUP(C89,tablas!$S$3:$U$66,3,TRUE),tablas!$R$3:$S$66,2,FALSE)&lt;C89,VLOOKUP(C89+0.1,tablas!$S$3:$U$66,2,TRUE),VLOOKUP(C89,tablas!$S$3:$U$66,2,TRUE))&amp;"@"&amp;IF(VLOOKUP(VLOOKUP(C89,tablas!$S$3:$U$66,2,TRUE)&amp;VLOOKUP(C89,tablas!$S$3:$U$66,3,TRUE),tablas!$R$3:$S$66,2,FALSE)&lt;C89,VLOOKUP(C89+0.1,tablas!$S$3:$U$66,3,TRUE),VLOOKUP(C89,tablas!$S$3:$U$66,3,TRUE))&amp;"$",$C$13)</f>
        <v>$\phi10@18$</v>
      </c>
      <c r="D90" s="192" t="str">
        <f>IF(D89&gt;$C$12,"$\phi"&amp;IF(VLOOKUP(VLOOKUP(D89,tablas!$S$3:$U$66,2,TRUE)&amp;VLOOKUP(D89,tablas!$S$3:$U$66,3,TRUE),tablas!$R$3:$S$66,2,FALSE)&lt;D89,VLOOKUP(D89+0.1,tablas!$S$3:$U$66,2,TRUE),VLOOKUP(D89,tablas!$S$3:$U$66,2,TRUE))&amp;"@"&amp;IF(VLOOKUP(VLOOKUP(D89,tablas!$S$3:$U$66,2,TRUE)&amp;VLOOKUP(D89,tablas!$S$3:$U$66,3,TRUE),tablas!$R$3:$S$66,2,FALSE)&lt;D89,VLOOKUP(D89+0.1,tablas!$S$3:$U$66,3,TRUE),VLOOKUP(D89,tablas!$S$3:$U$66,3,TRUE))&amp;"$",$C$13)</f>
        <v>$\phi8@17$</v>
      </c>
      <c r="E90" s="192" t="str">
        <f>IF(E89&gt;$C$12,"$\phi"&amp;IF(VLOOKUP(VLOOKUP(E89,tablas!$S$3:$U$66,2,TRUE)&amp;VLOOKUP(E89,tablas!$S$3:$U$66,3,TRUE),tablas!$R$3:$S$66,2,FALSE)&lt;E89,VLOOKUP(E89+0.1,tablas!$S$3:$U$66,2,TRUE),VLOOKUP(E89,tablas!$S$3:$U$66,2,TRUE))&amp;"@"&amp;IF(VLOOKUP(VLOOKUP(E89,tablas!$S$3:$U$66,2,TRUE)&amp;VLOOKUP(E89,tablas!$S$3:$U$66,3,TRUE),tablas!$R$3:$S$66,2,FALSE)&lt;E89,VLOOKUP(E89+0.1,tablas!$S$3:$U$66,3,TRUE),VLOOKUP(E89,tablas!$S$3:$U$66,3,TRUE))&amp;"$",$C$13)</f>
        <v>$\phi8@17$</v>
      </c>
      <c r="F90" s="192" t="str">
        <f>IF(F89&gt;$C$12,"$\phi"&amp;IF(VLOOKUP(VLOOKUP(F89,tablas!$S$3:$U$66,2,TRUE)&amp;VLOOKUP(F89,tablas!$S$3:$U$66,3,TRUE),tablas!$R$3:$S$66,2,FALSE)&lt;F89,VLOOKUP(F89+0.1,tablas!$S$3:$U$66,2,TRUE),VLOOKUP(F89,tablas!$S$3:$U$66,2,TRUE))&amp;"@"&amp;IF(VLOOKUP(VLOOKUP(F89,tablas!$S$3:$U$66,2,TRUE)&amp;VLOOKUP(F89,tablas!$S$3:$U$66,3,TRUE),tablas!$R$3:$S$66,2,FALSE)&lt;F89,VLOOKUP(F89+0.1,tablas!$S$3:$U$66,3,TRUE),VLOOKUP(F89,tablas!$S$3:$U$66,3,TRUE))&amp;"$",$C$13)</f>
        <v>$\phi10@20$</v>
      </c>
      <c r="G90" s="192" t="str">
        <f>IF(G89&gt;$C$12,"$\phi"&amp;IF(VLOOKUP(VLOOKUP(G89,tablas!$S$3:$U$66,2,TRUE)&amp;VLOOKUP(G89,tablas!$S$3:$U$66,3,TRUE),tablas!$R$3:$S$66,2,FALSE)&lt;G89,VLOOKUP(G89+0.1,tablas!$S$3:$U$66,2,TRUE),VLOOKUP(G89,tablas!$S$3:$U$66,2,TRUE))&amp;"@"&amp;IF(VLOOKUP(VLOOKUP(G89,tablas!$S$3:$U$66,2,TRUE)&amp;VLOOKUP(G89,tablas!$S$3:$U$66,3,TRUE),tablas!$R$3:$S$66,2,FALSE)&lt;G89,VLOOKUP(G89+0.1,tablas!$S$3:$U$66,3,TRUE),VLOOKUP(G89,tablas!$S$3:$U$66,3,TRUE))&amp;"$",$C$13)</f>
        <v>$\phi10@21$</v>
      </c>
      <c r="H90" s="192" t="str">
        <f>IF(H89&gt;$C$12,"$\phi"&amp;IF(VLOOKUP(VLOOKUP(H89,tablas!$S$3:$U$66,2,TRUE)&amp;VLOOKUP(H89,tablas!$S$3:$U$66,3,TRUE),tablas!$R$3:$S$66,2,FALSE)&lt;H89,VLOOKUP(H89+0.1,tablas!$S$3:$U$66,2,TRUE),VLOOKUP(H89,tablas!$S$3:$U$66,2,TRUE))&amp;"@"&amp;IF(VLOOKUP(VLOOKUP(H89,tablas!$S$3:$U$66,2,TRUE)&amp;VLOOKUP(H89,tablas!$S$3:$U$66,3,TRUE),tablas!$R$3:$S$66,2,FALSE)&lt;H89,VLOOKUP(H89+0.1,tablas!$S$3:$U$66,3,TRUE),VLOOKUP(H89,tablas!$S$3:$U$66,3,TRUE))&amp;"$",$C$13)</f>
        <v>$\phi8@17$</v>
      </c>
      <c r="I90" s="192" t="str">
        <f>IF(I89&gt;$C$12,"$\phi"&amp;IF(VLOOKUP(VLOOKUP(I89,tablas!$S$3:$U$66,2,TRUE)&amp;VLOOKUP(I89,tablas!$S$3:$U$66,3,TRUE),tablas!$R$3:$S$66,2,FALSE)&lt;I89,VLOOKUP(I89+0.1,tablas!$S$3:$U$66,2,TRUE),VLOOKUP(I89,tablas!$S$3:$U$66,2,TRUE))&amp;"@"&amp;IF(VLOOKUP(VLOOKUP(I89,tablas!$S$3:$U$66,2,TRUE)&amp;VLOOKUP(I89,tablas!$S$3:$U$66,3,TRUE),tablas!$R$3:$S$66,2,FALSE)&lt;I89,VLOOKUP(I89+0.1,tablas!$S$3:$U$66,3,TRUE),VLOOKUP(I89,tablas!$S$3:$U$66,3,TRUE))&amp;"$",$C$13)</f>
        <v>$\phi8@17$</v>
      </c>
      <c r="J90" s="192" t="str">
        <f>IF(J89&gt;$C$12,"$\phi"&amp;IF(VLOOKUP(VLOOKUP(J89,tablas!$S$3:$U$66,2,TRUE)&amp;VLOOKUP(J89,tablas!$S$3:$U$66,3,TRUE),tablas!$R$3:$S$66,2,FALSE)&lt;J89,VLOOKUP(J89+0.1,tablas!$S$3:$U$66,2,TRUE),VLOOKUP(J89,tablas!$S$3:$U$66,2,TRUE))&amp;"@"&amp;IF(VLOOKUP(VLOOKUP(J89,tablas!$S$3:$U$66,2,TRUE)&amp;VLOOKUP(J89,tablas!$S$3:$U$66,3,TRUE),tablas!$R$3:$S$66,2,FALSE)&lt;J89,VLOOKUP(J89+0.1,tablas!$S$3:$U$66,3,TRUE),VLOOKUP(J89,tablas!$S$3:$U$66,3,TRUE))&amp;"$",$C$13)</f>
        <v>$\phi8@17$</v>
      </c>
      <c r="K90" s="192" t="str">
        <f>IF(K89&gt;$C$12,"$\phi"&amp;IF(VLOOKUP(VLOOKUP(K89,tablas!$S$3:$U$66,2,TRUE)&amp;VLOOKUP(K89,tablas!$S$3:$U$66,3,TRUE),tablas!$R$3:$S$66,2,FALSE)&lt;K89,VLOOKUP(K89+0.1,tablas!$S$3:$U$66,2,TRUE),VLOOKUP(K89,tablas!$S$3:$U$66,2,TRUE))&amp;"@"&amp;IF(VLOOKUP(VLOOKUP(K89,tablas!$S$3:$U$66,2,TRUE)&amp;VLOOKUP(K89,tablas!$S$3:$U$66,3,TRUE),tablas!$R$3:$S$66,2,FALSE)&lt;K89,VLOOKUP(K89+0.1,tablas!$S$3:$U$66,3,TRUE),VLOOKUP(K89,tablas!$S$3:$U$66,3,TRUE))&amp;"$",$C$13)</f>
        <v>$\phi8@17$</v>
      </c>
      <c r="L90" s="192" t="str">
        <f>IF(L89&gt;$C$12,"$\phi"&amp;IF(VLOOKUP(VLOOKUP(L89,tablas!$S$3:$U$66,2,TRUE)&amp;VLOOKUP(L89,tablas!$S$3:$U$66,3,TRUE),tablas!$R$3:$S$66,2,FALSE)&lt;L89,VLOOKUP(L89+0.1,tablas!$S$3:$U$66,2,TRUE),VLOOKUP(L89,tablas!$S$3:$U$66,2,TRUE))&amp;"@"&amp;IF(VLOOKUP(VLOOKUP(L89,tablas!$S$3:$U$66,2,TRUE)&amp;VLOOKUP(L89,tablas!$S$3:$U$66,3,TRUE),tablas!$R$3:$S$66,2,FALSE)&lt;L89,VLOOKUP(L89+0.1,tablas!$S$3:$U$66,3,TRUE),VLOOKUP(L89,tablas!$S$3:$U$66,3,TRUE))&amp;"$",$C$13)</f>
        <v>$\phi8@17$</v>
      </c>
      <c r="M90" s="192" t="str">
        <f>IF(M89&gt;$C$12,"$\phi"&amp;IF(VLOOKUP(VLOOKUP(M89,tablas!$S$3:$U$66,2,TRUE)&amp;VLOOKUP(M89,tablas!$S$3:$U$66,3,TRUE),tablas!$R$3:$S$66,2,FALSE)&lt;M89,VLOOKUP(M89+0.1,tablas!$S$3:$U$66,2,TRUE),VLOOKUP(M89,tablas!$S$3:$U$66,2,TRUE))&amp;"@"&amp;IF(VLOOKUP(VLOOKUP(M89,tablas!$S$3:$U$66,2,TRUE)&amp;VLOOKUP(M89,tablas!$S$3:$U$66,3,TRUE),tablas!$R$3:$S$66,2,FALSE)&lt;M89,VLOOKUP(M89+0.1,tablas!$S$3:$U$66,3,TRUE),VLOOKUP(M89,tablas!$S$3:$U$66,3,TRUE))&amp;"$",$C$13)</f>
        <v>$\phi8@14$</v>
      </c>
      <c r="N90" s="192" t="str">
        <f>IF(N89&gt;$C$12,"$\phi"&amp;IF(VLOOKUP(VLOOKUP(N89,tablas!$S$3:$U$66,2,TRUE)&amp;VLOOKUP(N89,tablas!$S$3:$U$66,3,TRUE),tablas!$R$3:$S$66,2,FALSE)&lt;N89,VLOOKUP(N89+0.1,tablas!$S$3:$U$66,2,TRUE),VLOOKUP(N89,tablas!$S$3:$U$66,2,TRUE))&amp;"@"&amp;IF(VLOOKUP(VLOOKUP(N89,tablas!$S$3:$U$66,2,TRUE)&amp;VLOOKUP(N89,tablas!$S$3:$U$66,3,TRUE),tablas!$R$3:$S$66,2,FALSE)&lt;N89,VLOOKUP(N89+0.1,tablas!$S$3:$U$66,3,TRUE),VLOOKUP(N89,tablas!$S$3:$U$66,3,TRUE))&amp;"$",$C$13)</f>
        <v>$\phi8@17$</v>
      </c>
      <c r="O90" s="192" t="str">
        <f>IF(O89&gt;$C$12,"$\phi"&amp;IF(VLOOKUP(VLOOKUP(O89,tablas!$S$3:$U$66,2,TRUE)&amp;VLOOKUP(O89,tablas!$S$3:$U$66,3,TRUE),tablas!$R$3:$S$66,2,FALSE)&lt;O89,VLOOKUP(O89+0.1,tablas!$S$3:$U$66,2,TRUE),VLOOKUP(O89,tablas!$S$3:$U$66,2,TRUE))&amp;"@"&amp;IF(VLOOKUP(VLOOKUP(O89,tablas!$S$3:$U$66,2,TRUE)&amp;VLOOKUP(O89,tablas!$S$3:$U$66,3,TRUE),tablas!$R$3:$S$66,2,FALSE)&lt;O89,VLOOKUP(O89+0.1,tablas!$S$3:$U$66,3,TRUE),VLOOKUP(O89,tablas!$S$3:$U$66,3,TRUE))&amp;"$",$C$13)</f>
        <v>$\phi8@17$</v>
      </c>
      <c r="P90" s="192" t="str">
        <f>IF(P89&gt;$C$12,"$\phi"&amp;IF(VLOOKUP(VLOOKUP(P89,tablas!$S$3:$U$66,2,TRUE)&amp;VLOOKUP(P89,tablas!$S$3:$U$66,3,TRUE),tablas!$R$3:$S$66,2,FALSE)&lt;P89,VLOOKUP(P89+0.1,tablas!$S$3:$U$66,2,TRUE),VLOOKUP(P89,tablas!$S$3:$U$66,2,TRUE))&amp;"@"&amp;IF(VLOOKUP(VLOOKUP(P89,tablas!$S$3:$U$66,2,TRUE)&amp;VLOOKUP(P89,tablas!$S$3:$U$66,3,TRUE),tablas!$R$3:$S$66,2,FALSE)&lt;P89,VLOOKUP(P89+0.1,tablas!$S$3:$U$66,3,TRUE),VLOOKUP(P89,tablas!$S$3:$U$66,3,TRUE))&amp;"$",$C$13)</f>
        <v>$\phi8@17$</v>
      </c>
      <c r="Q90" s="192" t="str">
        <f>IF(Q89&gt;$C$12,"$\phi"&amp;IF(VLOOKUP(VLOOKUP(Q89,tablas!$S$3:$U$66,2,TRUE)&amp;VLOOKUP(Q89,tablas!$S$3:$U$66,3,TRUE),tablas!$R$3:$S$66,2,FALSE)&lt;Q89,VLOOKUP(Q89+0.1,tablas!$S$3:$U$66,2,TRUE),VLOOKUP(Q89,tablas!$S$3:$U$66,2,TRUE))&amp;"@"&amp;IF(VLOOKUP(VLOOKUP(Q89,tablas!$S$3:$U$66,2,TRUE)&amp;VLOOKUP(Q89,tablas!$S$3:$U$66,3,TRUE),tablas!$R$3:$S$66,2,FALSE)&lt;Q89,VLOOKUP(Q89+0.1,tablas!$S$3:$U$66,3,TRUE),VLOOKUP(Q89,tablas!$S$3:$U$66,3,TRUE))&amp;"$",$C$13)</f>
        <v>$\phi8@17$</v>
      </c>
      <c r="R90" s="192" t="str">
        <f>IF(R89&gt;$C$12,"$\phi"&amp;IF(VLOOKUP(VLOOKUP(R89,tablas!$S$3:$U$66,2,TRUE)&amp;VLOOKUP(R89,tablas!$S$3:$U$66,3,TRUE),tablas!$R$3:$S$66,2,FALSE)&lt;R89,VLOOKUP(R89+0.1,tablas!$S$3:$U$66,2,TRUE),VLOOKUP(R89,tablas!$S$3:$U$66,2,TRUE))&amp;"@"&amp;IF(VLOOKUP(VLOOKUP(R89,tablas!$S$3:$U$66,2,TRUE)&amp;VLOOKUP(R89,tablas!$S$3:$U$66,3,TRUE),tablas!$R$3:$S$66,2,FALSE)&lt;R89,VLOOKUP(R89+0.1,tablas!$S$3:$U$66,3,TRUE),VLOOKUP(R89,tablas!$S$3:$U$66,3,TRUE))&amp;"$",$C$13)</f>
        <v>$\phi8@17$</v>
      </c>
      <c r="S90" s="192" t="str">
        <f>IF(S89&gt;$C$12,"$\phi"&amp;IF(VLOOKUP(VLOOKUP(S89,tablas!$S$3:$U$66,2,TRUE)&amp;VLOOKUP(S89,tablas!$S$3:$U$66,3,TRUE),tablas!$R$3:$S$66,2,FALSE)&lt;S89,VLOOKUP(S89+0.1,tablas!$S$3:$U$66,2,TRUE),VLOOKUP(S89,tablas!$S$3:$U$66,2,TRUE))&amp;"@"&amp;IF(VLOOKUP(VLOOKUP(S89,tablas!$S$3:$U$66,2,TRUE)&amp;VLOOKUP(S89,tablas!$S$3:$U$66,3,TRUE),tablas!$R$3:$S$66,2,FALSE)&lt;S89,VLOOKUP(S89+0.1,tablas!$S$3:$U$66,3,TRUE),VLOOKUP(S89,tablas!$S$3:$U$66,3,TRUE))&amp;"$",$C$13)</f>
        <v>$\phi8@17$</v>
      </c>
      <c r="T90" s="192" t="str">
        <f>IF(T89&gt;$C$12,"$\phi"&amp;IF(VLOOKUP(VLOOKUP(T89,tablas!$S$3:$U$66,2,TRUE)&amp;VLOOKUP(T89,tablas!$S$3:$U$66,3,TRUE),tablas!$R$3:$S$66,2,FALSE)&lt;T89,VLOOKUP(T89+0.1,tablas!$S$3:$U$66,2,TRUE),VLOOKUP(T89,tablas!$S$3:$U$66,2,TRUE))&amp;"@"&amp;IF(VLOOKUP(VLOOKUP(T89,tablas!$S$3:$U$66,2,TRUE)&amp;VLOOKUP(T89,tablas!$S$3:$U$66,3,TRUE),tablas!$R$3:$S$66,2,FALSE)&lt;T89,VLOOKUP(T89+0.1,tablas!$S$3:$U$66,3,TRUE),VLOOKUP(T89,tablas!$S$3:$U$66,3,TRUE))&amp;"$",$C$13)</f>
        <v>$\phi8@17$</v>
      </c>
      <c r="U90" s="192" t="str">
        <f>IF(U89&gt;$C$12,"$\phi"&amp;IF(VLOOKUP(VLOOKUP(U89,tablas!$S$3:$U$66,2,TRUE)&amp;VLOOKUP(U89,tablas!$S$3:$U$66,3,TRUE),tablas!$R$3:$S$66,2,FALSE)&lt;U89,VLOOKUP(U89+0.1,tablas!$S$3:$U$66,2,TRUE),VLOOKUP(U89,tablas!$S$3:$U$66,2,TRUE))&amp;"@"&amp;IF(VLOOKUP(VLOOKUP(U89,tablas!$S$3:$U$66,2,TRUE)&amp;VLOOKUP(U89,tablas!$S$3:$U$66,3,TRUE),tablas!$R$3:$S$66,2,FALSE)&lt;U89,VLOOKUP(U89+0.1,tablas!$S$3:$U$66,3,TRUE),VLOOKUP(U89,tablas!$S$3:$U$66,3,TRUE))&amp;"$",$C$13)</f>
        <v>$\phi8@17$</v>
      </c>
      <c r="V90" s="192" t="str">
        <f>IF(V89&gt;$C$12,"$\phi"&amp;IF(VLOOKUP(VLOOKUP(V89,tablas!$S$3:$U$66,2,TRUE)&amp;VLOOKUP(V89,tablas!$S$3:$U$66,3,TRUE),tablas!$R$3:$S$66,2,FALSE)&lt;V89,VLOOKUP(V89+0.1,tablas!$S$3:$U$66,2,TRUE),VLOOKUP(V89,tablas!$S$3:$U$66,2,TRUE))&amp;"@"&amp;IF(VLOOKUP(VLOOKUP(V89,tablas!$S$3:$U$66,2,TRUE)&amp;VLOOKUP(V89,tablas!$S$3:$U$66,3,TRUE),tablas!$R$3:$S$66,2,FALSE)&lt;V89,VLOOKUP(V89+0.1,tablas!$S$3:$U$66,3,TRUE),VLOOKUP(V89,tablas!$S$3:$U$66,3,TRUE))&amp;"$",$C$13)</f>
        <v>$\phi8@17$</v>
      </c>
      <c r="W90" s="192" t="str">
        <f>IF(W89&gt;$C$12,"$\phi"&amp;IF(VLOOKUP(VLOOKUP(W89,tablas!$S$3:$U$66,2,TRUE)&amp;VLOOKUP(W89,tablas!$S$3:$U$66,3,TRUE),tablas!$R$3:$S$66,2,FALSE)&lt;W89,VLOOKUP(W89+0.1,tablas!$S$3:$U$66,2,TRUE),VLOOKUP(W89,tablas!$S$3:$U$66,2,TRUE))&amp;"@"&amp;IF(VLOOKUP(VLOOKUP(W89,tablas!$S$3:$U$66,2,TRUE)&amp;VLOOKUP(W89,tablas!$S$3:$U$66,3,TRUE),tablas!$R$3:$S$66,2,FALSE)&lt;W89,VLOOKUP(W89+0.1,tablas!$S$3:$U$66,3,TRUE),VLOOKUP(W89,tablas!$S$3:$U$66,3,TRUE))&amp;"$",$C$13)</f>
        <v>$\phi8@17$</v>
      </c>
      <c r="X90" s="192" t="str">
        <f>IF(X89&gt;$C$12,"$\phi"&amp;IF(VLOOKUP(VLOOKUP(X89,tablas!$S$3:$U$66,2,TRUE)&amp;VLOOKUP(X89,tablas!$S$3:$U$66,3,TRUE),tablas!$R$3:$S$66,2,FALSE)&lt;X89,VLOOKUP(X89+0.1,tablas!$S$3:$U$66,2,TRUE),VLOOKUP(X89,tablas!$S$3:$U$66,2,TRUE))&amp;"@"&amp;IF(VLOOKUP(VLOOKUP(X89,tablas!$S$3:$U$66,2,TRUE)&amp;VLOOKUP(X89,tablas!$S$3:$U$66,3,TRUE),tablas!$R$3:$S$66,2,FALSE)&lt;X89,VLOOKUP(X89+0.1,tablas!$S$3:$U$66,3,TRUE),VLOOKUP(X89,tablas!$S$3:$U$66,3,TRUE))&amp;"$",$C$13)</f>
        <v>$\phi8@17$</v>
      </c>
    </row>
    <row r="91" spans="2:32" x14ac:dyDescent="0.25">
      <c r="P91" s="40"/>
      <c r="T91" s="40"/>
      <c r="U91" s="41"/>
    </row>
    <row r="92" spans="2:32" ht="15.75" thickBot="1" x14ac:dyDescent="0.3">
      <c r="B92" s="299" t="s">
        <v>107</v>
      </c>
      <c r="C92" s="299"/>
      <c r="P92" s="40"/>
      <c r="T92" s="40"/>
      <c r="U92" s="41"/>
    </row>
    <row r="93" spans="2:32" ht="15.75" thickBot="1" x14ac:dyDescent="0.3">
      <c r="B93" s="73" t="s">
        <v>43</v>
      </c>
      <c r="C93" s="74" t="s">
        <v>139</v>
      </c>
      <c r="D93" s="75" t="s">
        <v>141</v>
      </c>
      <c r="E93" s="74" t="s">
        <v>139</v>
      </c>
      <c r="F93" s="75" t="s">
        <v>144</v>
      </c>
      <c r="G93" s="74" t="s">
        <v>139</v>
      </c>
      <c r="H93" s="75" t="s">
        <v>145</v>
      </c>
      <c r="I93" s="74" t="s">
        <v>139</v>
      </c>
      <c r="J93" s="75" t="s">
        <v>151</v>
      </c>
      <c r="K93" s="74" t="s">
        <v>139</v>
      </c>
      <c r="L93" s="75" t="s">
        <v>160</v>
      </c>
      <c r="M93" s="74" t="s">
        <v>141</v>
      </c>
      <c r="N93" s="75" t="s">
        <v>142</v>
      </c>
      <c r="O93" s="74" t="s">
        <v>141</v>
      </c>
      <c r="P93" s="75" t="s">
        <v>147</v>
      </c>
      <c r="Q93" s="74" t="s">
        <v>141</v>
      </c>
      <c r="R93" s="75" t="s">
        <v>152</v>
      </c>
      <c r="S93" s="74" t="s">
        <v>142</v>
      </c>
      <c r="T93" s="75" t="s">
        <v>153</v>
      </c>
      <c r="U93" s="74" t="s">
        <v>142</v>
      </c>
      <c r="V93" s="75" t="s">
        <v>147</v>
      </c>
      <c r="W93" s="74" t="s">
        <v>142</v>
      </c>
      <c r="X93" s="75" t="s">
        <v>143</v>
      </c>
      <c r="Y93" s="74" t="s">
        <v>143</v>
      </c>
      <c r="Z93" s="75" t="s">
        <v>154</v>
      </c>
    </row>
    <row r="94" spans="2:32" ht="15.75" hidden="1" thickBot="1" x14ac:dyDescent="0.3">
      <c r="B94" s="141"/>
      <c r="C94" s="143" t="str">
        <f>C93&amp;"-"&amp;D93</f>
        <v>201-202</v>
      </c>
      <c r="D94" s="143"/>
      <c r="E94" s="143" t="str">
        <f>E93&amp;"-"&amp;F93</f>
        <v>201-205</v>
      </c>
      <c r="F94" s="142"/>
      <c r="G94" s="143" t="str">
        <f>G93&amp;"-"&amp;H93</f>
        <v>201-206</v>
      </c>
      <c r="H94" s="142"/>
      <c r="I94" s="143" t="str">
        <f>I93&amp;"-"&amp;J93</f>
        <v>201-212</v>
      </c>
      <c r="J94" s="142"/>
      <c r="K94" s="143" t="str">
        <f>K93&amp;"-"&amp;L93</f>
        <v>201-221</v>
      </c>
      <c r="L94" s="142"/>
      <c r="M94" s="143" t="str">
        <f>M93&amp;"-"&amp;N93</f>
        <v>202-203</v>
      </c>
      <c r="N94" s="142"/>
      <c r="O94" s="143" t="str">
        <f>O93&amp;"-"&amp;P93</f>
        <v>202-208</v>
      </c>
      <c r="P94" s="142"/>
      <c r="Q94" s="143" t="str">
        <f>Q93&amp;"-"&amp;R93</f>
        <v>202-213</v>
      </c>
      <c r="R94" s="142"/>
      <c r="S94" s="143" t="str">
        <f>S93&amp;"-"&amp;T93</f>
        <v>203-214</v>
      </c>
      <c r="T94" s="142"/>
      <c r="U94" s="143" t="str">
        <f>U93&amp;"-"&amp;V93</f>
        <v>203-208</v>
      </c>
      <c r="V94" s="142"/>
      <c r="W94" s="143" t="str">
        <f>W93&amp;"-"&amp;X93</f>
        <v>203-204</v>
      </c>
      <c r="X94" s="142"/>
      <c r="Y94" s="143" t="str">
        <f>Y93&amp;"-"&amp;Z93</f>
        <v>204-215</v>
      </c>
      <c r="Z94" s="142"/>
      <c r="AA94" s="143" t="str">
        <f>AA93&amp;"-"&amp;AB93</f>
        <v>-</v>
      </c>
      <c r="AB94" s="142"/>
      <c r="AC94" s="143" t="str">
        <f>AC93&amp;"-"&amp;AD93</f>
        <v>-</v>
      </c>
      <c r="AD94" s="142"/>
      <c r="AE94" s="143" t="str">
        <f>AE93&amp;"-"&amp;AF93</f>
        <v>-</v>
      </c>
      <c r="AF94" s="142"/>
    </row>
    <row r="95" spans="2:32" x14ac:dyDescent="0.25">
      <c r="B95" s="102" t="s">
        <v>114</v>
      </c>
      <c r="C95" s="99" t="s">
        <v>109</v>
      </c>
      <c r="D95" s="100" t="s">
        <v>109</v>
      </c>
      <c r="E95" s="99" t="s">
        <v>108</v>
      </c>
      <c r="F95" s="100" t="s">
        <v>108</v>
      </c>
      <c r="G95" s="99" t="s">
        <v>108</v>
      </c>
      <c r="H95" s="100" t="s">
        <v>109</v>
      </c>
      <c r="I95" s="99" t="s">
        <v>108</v>
      </c>
      <c r="J95" s="100" t="s">
        <v>108</v>
      </c>
      <c r="K95" s="99" t="s">
        <v>109</v>
      </c>
      <c r="L95" s="100" t="s">
        <v>108</v>
      </c>
      <c r="M95" s="99" t="s">
        <v>109</v>
      </c>
      <c r="N95" s="100" t="s">
        <v>109</v>
      </c>
      <c r="O95" s="99" t="s">
        <v>108</v>
      </c>
      <c r="P95" s="100" t="s">
        <v>108</v>
      </c>
      <c r="Q95" s="99" t="s">
        <v>108</v>
      </c>
      <c r="R95" s="100" t="s">
        <v>108</v>
      </c>
      <c r="S95" s="99" t="s">
        <v>108</v>
      </c>
      <c r="T95" s="100" t="s">
        <v>108</v>
      </c>
      <c r="U95" s="99" t="s">
        <v>108</v>
      </c>
      <c r="V95" s="100" t="s">
        <v>108</v>
      </c>
      <c r="W95" s="99" t="s">
        <v>109</v>
      </c>
      <c r="X95" s="100" t="s">
        <v>109</v>
      </c>
      <c r="Y95" s="99" t="s">
        <v>108</v>
      </c>
      <c r="Z95" s="100" t="s">
        <v>108</v>
      </c>
    </row>
    <row r="96" spans="2:32" x14ac:dyDescent="0.25">
      <c r="B96" s="103" t="s">
        <v>110</v>
      </c>
      <c r="C96" s="101">
        <f>HLOOKUP(C93,$B$46:$AE$90,IF(C95="x",36,41),FALSE)</f>
        <v>2320.2508960573477</v>
      </c>
      <c r="D96" s="85">
        <f>HLOOKUP(D93,$B$46:$AE$90,IF(D95="x",36,41),FALSE)</f>
        <v>1216.7161572052403</v>
      </c>
      <c r="E96" s="101">
        <f t="shared" ref="E96:Z96" si="90">HLOOKUP(E93,$B$46:$AE$90,IF(E95="x",36,41),FALSE)</f>
        <v>3157.8048780487807</v>
      </c>
      <c r="F96" s="85">
        <f t="shared" si="90"/>
        <v>2330.2529032258067</v>
      </c>
      <c r="G96" s="101">
        <f t="shared" si="90"/>
        <v>3157.8048780487807</v>
      </c>
      <c r="H96" s="85">
        <f t="shared" si="90"/>
        <v>1323.0049261083741</v>
      </c>
      <c r="I96" s="101">
        <f t="shared" si="90"/>
        <v>3157.8048780487807</v>
      </c>
      <c r="J96" s="85">
        <f t="shared" si="90"/>
        <v>350.56537500000002</v>
      </c>
      <c r="K96" s="101">
        <f t="shared" si="90"/>
        <v>2320.2508960573477</v>
      </c>
      <c r="L96" s="85">
        <f t="shared" si="90"/>
        <v>75.337499999999991</v>
      </c>
      <c r="M96" s="101">
        <f t="shared" si="90"/>
        <v>1216.7161572052403</v>
      </c>
      <c r="N96" s="85">
        <f t="shared" si="90"/>
        <v>1216.7161572052403</v>
      </c>
      <c r="O96" s="101">
        <f t="shared" si="90"/>
        <v>1482.063829787234</v>
      </c>
      <c r="P96" s="85">
        <f t="shared" si="90"/>
        <v>227.0333333333333</v>
      </c>
      <c r="Q96" s="101">
        <f t="shared" si="90"/>
        <v>1482.063829787234</v>
      </c>
      <c r="R96" s="85">
        <f t="shared" si="90"/>
        <v>350.56537500000002</v>
      </c>
      <c r="S96" s="101">
        <f t="shared" si="90"/>
        <v>1482.063829787234</v>
      </c>
      <c r="T96" s="85">
        <f t="shared" si="90"/>
        <v>350.56537500000002</v>
      </c>
      <c r="U96" s="101">
        <f t="shared" si="90"/>
        <v>1482.063829787234</v>
      </c>
      <c r="V96" s="85">
        <f t="shared" si="90"/>
        <v>227.0333333333333</v>
      </c>
      <c r="W96" s="101">
        <f t="shared" si="90"/>
        <v>1216.7161572052403</v>
      </c>
      <c r="X96" s="85">
        <f t="shared" si="90"/>
        <v>2084.7312244897957</v>
      </c>
      <c r="Y96" s="101">
        <f t="shared" si="90"/>
        <v>2660.2039062500003</v>
      </c>
      <c r="Z96" s="85">
        <f t="shared" si="90"/>
        <v>350.56537500000002</v>
      </c>
    </row>
    <row r="97" spans="2:26" x14ac:dyDescent="0.25">
      <c r="B97" s="103" t="s">
        <v>111</v>
      </c>
      <c r="C97" s="283">
        <f>(MAX(C96:D96)-MIN(C96:D96))/(MAX(C96:D96))</f>
        <v>0.47561009058428666</v>
      </c>
      <c r="D97" s="284"/>
      <c r="E97" s="283">
        <f>(MAX(E96:F96)-MIN(E96:F96))/(MAX(E96:F96))</f>
        <v>0.26206558251133028</v>
      </c>
      <c r="F97" s="284"/>
      <c r="G97" s="283">
        <f>(MAX(G96:H96)-MIN(G96:H96))/(MAX(G96:H96))</f>
        <v>0.58103651834059367</v>
      </c>
      <c r="H97" s="284"/>
      <c r="I97" s="283">
        <f>(MAX(I96:J96)-MIN(I96:J96))/(MAX(I96:J96))</f>
        <v>0.88898447227156863</v>
      </c>
      <c r="J97" s="284"/>
      <c r="K97" s="283">
        <f>(MAX(K96:L96)-MIN(K96:L96))/(MAX(K96:L96))</f>
        <v>0.96753045106974589</v>
      </c>
      <c r="L97" s="284"/>
      <c r="M97" s="283">
        <f>(MAX(M96:N96)-MIN(M96:N96))/(MAX(M96:N96))</f>
        <v>0</v>
      </c>
      <c r="N97" s="284"/>
      <c r="O97" s="283">
        <f>(MAX(O96:P96)-MIN(O96:P96))/(MAX(O96:P96))</f>
        <v>0.84681271563996918</v>
      </c>
      <c r="P97" s="284"/>
      <c r="Q97" s="283">
        <f>(MAX(Q96:R96)-MIN(Q96:R96))/(MAX(Q96:R96))</f>
        <v>0.76346135169473284</v>
      </c>
      <c r="R97" s="284"/>
      <c r="S97" s="283">
        <f>(MAX(S96:T96)-MIN(S96:T96))/(MAX(S96:T96))</f>
        <v>0.76346135169473284</v>
      </c>
      <c r="T97" s="284"/>
      <c r="U97" s="283">
        <f>(MAX(U96:V96)-MIN(U96:V96))/(MAX(U96:V96))</f>
        <v>0.84681271563996918</v>
      </c>
      <c r="V97" s="284"/>
      <c r="W97" s="283">
        <f>(MAX(W96:X96)-MIN(W96:X96))/(MAX(W96:X96))</f>
        <v>0.41636785456455572</v>
      </c>
      <c r="X97" s="284"/>
      <c r="Y97" s="283">
        <f>(MAX(Y96:Z96)-MIN(Y96:Z96))/(MAX(Y96:Z96))</f>
        <v>0.8682186075374273</v>
      </c>
      <c r="Z97" s="284"/>
    </row>
    <row r="98" spans="2:26" x14ac:dyDescent="0.25">
      <c r="B98" s="103" t="s">
        <v>112</v>
      </c>
      <c r="C98" s="285">
        <f>IF(C97&lt;25%,(C96*0.5+D96*0.5)*0.9,IF(C97&lt;50%,(MAX(C96:D96)*0.6+MIN(C96:D96)*0.4)*0.9,IF(C97&lt;70%,(MAX(C96:D96)*0.65+MIN(C96:D96)*0.35)*0.9,IF(C97&lt;100%,(MAX(C96:D96)*0.7+MIN(C96:D96)*0.3)*0.9,0.7*MAX(C96:D96)))))</f>
        <v>1690.9533004648542</v>
      </c>
      <c r="D98" s="286"/>
      <c r="E98" s="285">
        <f>IF(E97&lt;25%,(E96*0.5+F96*0.5)*0.9,IF(E97&lt;50%,(MAX(E96:F96)*0.6+MIN(E96:F96)*0.4)*0.9,IF(E97&lt;70%,(MAX(E96:F96)*0.65+MIN(E96:F96)*0.35)*0.9,IF(E97&lt;100%,(MAX(E96:F96)*0.7+MIN(E96:F96)*0.3)*0.9,0.7*MAX(E96:F96)))))</f>
        <v>2544.1056793076323</v>
      </c>
      <c r="F98" s="286"/>
      <c r="G98" s="285">
        <f>IF(G97&lt;25%,(G96*0.5+H96*0.5)*0.9,IF(G97&lt;50%,(MAX(G96:H96)*0.6+MIN(G96:H96)*0.4)*0.9,IF(G97&lt;70%,(MAX(G96:H96)*0.65+MIN(G96:H96)*0.35)*0.9,IF(G97&lt;100%,(MAX(G96:H96)*0.7+MIN(G96:H96)*0.3)*0.9,0.7*MAX(G96:H96)))))</f>
        <v>2264.0624053826746</v>
      </c>
      <c r="H98" s="286"/>
      <c r="I98" s="285">
        <f>IF(I97&lt;25%,(I96*0.5+J96*0.5)*0.9,IF(I97&lt;50%,(MAX(I96:J96)*0.6+MIN(I96:J96)*0.4)*0.9,IF(I97&lt;70%,(MAX(I96:J96)*0.65+MIN(I96:J96)*0.35)*0.9,IF(I97&lt;100%,(MAX(I96:J96)*0.7+MIN(I96:J96)*0.3)*0.9,0.7*MAX(I96:J96)))))</f>
        <v>2084.0697244207317</v>
      </c>
      <c r="J98" s="286"/>
      <c r="K98" s="285">
        <f>IF(K97&lt;25%,(K96*0.5+L96*0.5)*0.9,IF(K97&lt;50%,(MAX(K96:L96)*0.6+MIN(K96:L96)*0.4)*0.9,IF(K97&lt;70%,(MAX(K96:L96)*0.65+MIN(K96:L96)*0.35)*0.9,IF(K97&lt;100%,(MAX(K96:L96)*0.7+MIN(K96:L96)*0.3)*0.9,0.7*MAX(K96:L96)))))</f>
        <v>1482.0991895161289</v>
      </c>
      <c r="L98" s="286"/>
      <c r="M98" s="285">
        <f>IF(M97&lt;25%,(M96*0.5+N96*0.5)*0.9,IF(M97&lt;50%,(MAX(M96:N96)*0.6+MIN(M96:N96)*0.4)*0.9,IF(M97&lt;70%,(MAX(M96:N96)*0.65+MIN(M96:N96)*0.35)*0.9,IF(M97&lt;100%,(MAX(M96:N96)*0.7+MIN(M96:N96)*0.3)*0.9,0.7*MAX(M96:N96)))))</f>
        <v>1095.0445414847163</v>
      </c>
      <c r="N98" s="286"/>
      <c r="O98" s="285">
        <f>IF(O97&lt;25%,(O96*0.5+P96*0.5)*0.9,IF(O97&lt;50%,(MAX(O96:P96)*0.6+MIN(O96:P96)*0.4)*0.9,IF(O97&lt;70%,(MAX(O96:P96)*0.65+MIN(O96:P96)*0.35)*0.9,IF(O97&lt;100%,(MAX(O96:P96)*0.7+MIN(O96:P96)*0.3)*0.9,0.7*MAX(O96:P96)))))</f>
        <v>994.9992127659574</v>
      </c>
      <c r="P98" s="286"/>
      <c r="Q98" s="285">
        <f>IF(Q97&lt;25%,(Q96*0.5+R96*0.5)*0.9,IF(Q97&lt;50%,(MAX(Q96:R96)*0.6+MIN(Q96:R96)*0.4)*0.9,IF(Q97&lt;70%,(MAX(Q96:R96)*0.65+MIN(Q96:R96)*0.35)*0.9,IF(Q97&lt;100%,(MAX(Q96:R96)*0.7+MIN(Q96:R96)*0.3)*0.9,0.7*MAX(Q96:R96)))))</f>
        <v>1028.3528640159575</v>
      </c>
      <c r="R98" s="286"/>
      <c r="S98" s="285">
        <f>IF(S97&lt;25%,(S96*0.5+T96*0.5)*0.9,IF(S97&lt;50%,(MAX(S96:T96)*0.6+MIN(S96:T96)*0.4)*0.9,IF(S97&lt;70%,(MAX(S96:T96)*0.65+MIN(S96:T96)*0.35)*0.9,IF(S97&lt;100%,(MAX(S96:T96)*0.7+MIN(S96:T96)*0.3)*0.9,0.7*MAX(S96:T96)))))</f>
        <v>1028.3528640159575</v>
      </c>
      <c r="T98" s="286"/>
      <c r="U98" s="285">
        <f>IF(U97&lt;25%,(U96*0.5+V96*0.5)*0.9,IF(U97&lt;50%,(MAX(U96:V96)*0.6+MIN(U96:V96)*0.4)*0.9,IF(U97&lt;70%,(MAX(U96:V96)*0.65+MIN(U96:V96)*0.35)*0.9,IF(U97&lt;100%,(MAX(U96:V96)*0.7+MIN(U96:V96)*0.3)*0.9,0.7*MAX(U96:V96)))))</f>
        <v>994.9992127659574</v>
      </c>
      <c r="V98" s="286"/>
      <c r="W98" s="285">
        <f>IF(W97&lt;25%,(W96*0.5+X96*0.5)*0.9,IF(W97&lt;50%,(MAX(W96:X96)*0.6+MIN(W96:X96)*0.4)*0.9,IF(W97&lt;70%,(MAX(W96:X96)*0.65+MIN(W96:X96)*0.35)*0.9,IF(W97&lt;100%,(MAX(W96:X96)*0.7+MIN(W96:X96)*0.3)*0.9,0.7*MAX(W96:X96)))))</f>
        <v>1563.772677818376</v>
      </c>
      <c r="X98" s="286"/>
      <c r="Y98" s="285">
        <f>IF(Y97&lt;25%,(Y96*0.5+Z96*0.5)*0.9,IF(Y97&lt;50%,(MAX(Y96:Z96)*0.6+MIN(Y96:Z96)*0.4)*0.9,IF(Y97&lt;70%,(MAX(Y96:Z96)*0.65+MIN(Y96:Z96)*0.35)*0.9,IF(Y97&lt;100%,(MAX(Y96:Z96)*0.7+MIN(Y96:Z96)*0.3)*0.9,0.7*MAX(Y96:Z96)))))</f>
        <v>1770.5811121875001</v>
      </c>
      <c r="Z98" s="286"/>
    </row>
    <row r="99" spans="2:26" x14ac:dyDescent="0.25">
      <c r="B99" s="104" t="s">
        <v>15</v>
      </c>
      <c r="C99" s="287">
        <f>C98/(0.9*(0.9*($C$7/100))*($L$9*1000))</f>
        <v>3.4839730761691592</v>
      </c>
      <c r="D99" s="288"/>
      <c r="E99" s="287">
        <f>E98/(0.9*(0.9*($C$7/100))*($L$9*1000))</f>
        <v>5.2417743808774491</v>
      </c>
      <c r="F99" s="288"/>
      <c r="G99" s="287">
        <f>G98/(0.9*(0.9*($C$7/100))*($L$9*1000))</f>
        <v>4.6647843325723883</v>
      </c>
      <c r="H99" s="288"/>
      <c r="I99" s="287">
        <f>I98/(0.9*(0.9*($C$7/100))*($L$9*1000))</f>
        <v>4.2939345555817861</v>
      </c>
      <c r="J99" s="288"/>
      <c r="K99" s="287">
        <f>K98/(0.9*(0.9*($C$7/100))*($L$9*1000))</f>
        <v>3.053658354176203</v>
      </c>
      <c r="L99" s="288"/>
      <c r="M99" s="287">
        <f>M98/(0.9*(0.9*($C$7/100))*($L$9*1000))</f>
        <v>2.2561863173216881</v>
      </c>
      <c r="N99" s="288"/>
      <c r="O99" s="287">
        <f>O98/(0.9*(0.9*($C$7/100))*($L$9*1000))</f>
        <v>2.0500568922471878</v>
      </c>
      <c r="P99" s="288"/>
      <c r="Q99" s="287">
        <f>Q98/(0.9*(0.9*($C$7/100))*($L$9*1000))</f>
        <v>2.1187774316701224</v>
      </c>
      <c r="R99" s="288"/>
      <c r="S99" s="287">
        <f>S98/(0.9*(0.9*($C$7/100))*($L$9*1000))</f>
        <v>2.1187774316701224</v>
      </c>
      <c r="T99" s="288"/>
      <c r="U99" s="287">
        <f>U98/(0.9*(0.9*($C$7/100))*($L$9*1000))</f>
        <v>2.0500568922471878</v>
      </c>
      <c r="V99" s="288"/>
      <c r="W99" s="287">
        <f>W98/(0.9*(0.9*($C$7/100))*($L$9*1000))</f>
        <v>3.2219351683280908</v>
      </c>
      <c r="X99" s="288"/>
      <c r="Y99" s="287">
        <f>Y98/(0.9*(0.9*($C$7/100))*($L$9*1000))</f>
        <v>3.6480350594774507</v>
      </c>
      <c r="Z99" s="288"/>
    </row>
    <row r="100" spans="2:26" x14ac:dyDescent="0.25">
      <c r="B100" s="104" t="s">
        <v>98</v>
      </c>
      <c r="C100" s="281">
        <f>(C99*($L$9))/(0.85*$L$6*100)</f>
        <v>4.9139577413096075E-2</v>
      </c>
      <c r="D100" s="282"/>
      <c r="E100" s="281">
        <f>(E99*($L$9))/(0.85*$L$6*100)</f>
        <v>7.3932424946961547E-2</v>
      </c>
      <c r="F100" s="282"/>
      <c r="G100" s="281">
        <f>(G99*($L$9))/(0.85*$L$6*100)</f>
        <v>6.5794288823232239E-2</v>
      </c>
      <c r="H100" s="282"/>
      <c r="I100" s="281">
        <f>(I99*($L$9))/(0.85*$L$6*100)</f>
        <v>6.0563651006393292E-2</v>
      </c>
      <c r="J100" s="282"/>
      <c r="K100" s="281">
        <f>(K99*($L$9))/(0.85*$L$6*100)</f>
        <v>4.3070218341981055E-2</v>
      </c>
      <c r="L100" s="282"/>
      <c r="M100" s="281">
        <f>(M99*($L$9))/(0.85*$L$6*100)</f>
        <v>3.1822301658055122E-2</v>
      </c>
      <c r="N100" s="282"/>
      <c r="O100" s="281">
        <f>(O99*($L$9))/(0.85*$L$6*100)</f>
        <v>2.8914956331580047E-2</v>
      </c>
      <c r="P100" s="282"/>
      <c r="Q100" s="281">
        <f>(Q99*($L$9))/(0.85*$L$6*100)</f>
        <v>2.9884222796335888E-2</v>
      </c>
      <c r="R100" s="282"/>
      <c r="S100" s="281">
        <f>(S99*($L$9))/(0.85*$L$6*100)</f>
        <v>2.9884222796335888E-2</v>
      </c>
      <c r="T100" s="282"/>
      <c r="U100" s="281">
        <f>(U99*($L$9))/(0.85*$L$6*100)</f>
        <v>2.8914956331580047E-2</v>
      </c>
      <c r="V100" s="282"/>
      <c r="W100" s="281">
        <f>(W99*($L$9))/(0.85*$L$6*100)</f>
        <v>4.5443672830595583E-2</v>
      </c>
      <c r="X100" s="282"/>
      <c r="Y100" s="281">
        <f>(Y99*($L$9))/(0.85*$L$6*100)</f>
        <v>5.1453583966266238E-2</v>
      </c>
      <c r="Z100" s="282"/>
    </row>
    <row r="101" spans="2:26" ht="15.75" thickBot="1" x14ac:dyDescent="0.3">
      <c r="B101" s="105" t="s">
        <v>15</v>
      </c>
      <c r="C101" s="289">
        <f>ROUNDUP(C98/(0.9*(($C$7-C100/2)/100)*($L$9*1000)),2)</f>
        <v>3.15</v>
      </c>
      <c r="D101" s="290"/>
      <c r="E101" s="289">
        <f>ROUNDUP(E98/(0.9*(($C$7-E100/2)/100)*($L$9*1000)),2)</f>
        <v>4.74</v>
      </c>
      <c r="F101" s="290"/>
      <c r="G101" s="289">
        <f>ROUNDUP(G98/(0.9*(($C$7-G100/2)/100)*($L$9*1000)),2)</f>
        <v>4.21</v>
      </c>
      <c r="H101" s="290"/>
      <c r="I101" s="289">
        <f>ROUNDUP(I98/(0.9*(($C$7-I100/2)/100)*($L$9*1000)),2)</f>
        <v>3.88</v>
      </c>
      <c r="J101" s="290"/>
      <c r="K101" s="289">
        <f>ROUNDUP(K98/(0.9*(($C$7-K100/2)/100)*($L$9*1000)),2)</f>
        <v>2.76</v>
      </c>
      <c r="L101" s="290"/>
      <c r="M101" s="289">
        <f>ROUNDUP(M98/(0.9*(($C$7-M100/2)/100)*($L$9*1000)),2)</f>
        <v>2.0399999999999996</v>
      </c>
      <c r="N101" s="290"/>
      <c r="O101" s="289">
        <f>ROUNDUP(O98/(0.9*(($C$7-O100/2)/100)*($L$9*1000)),2)</f>
        <v>1.85</v>
      </c>
      <c r="P101" s="290"/>
      <c r="Q101" s="289">
        <f>ROUNDUP(Q98/(0.9*(($C$7-Q100/2)/100)*($L$9*1000)),2)</f>
        <v>1.91</v>
      </c>
      <c r="R101" s="290"/>
      <c r="S101" s="289">
        <f>ROUNDUP(S98/(0.9*(($C$7-S100/2)/100)*($L$9*1000)),2)</f>
        <v>1.91</v>
      </c>
      <c r="T101" s="290"/>
      <c r="U101" s="289">
        <f>ROUNDUP(U98/(0.9*(($C$7-U100/2)/100)*($L$9*1000)),2)</f>
        <v>1.85</v>
      </c>
      <c r="V101" s="290"/>
      <c r="W101" s="289">
        <f>ROUNDUP(W98/(0.9*(($C$7-W100/2)/100)*($L$9*1000)),2)</f>
        <v>2.9099999999999997</v>
      </c>
      <c r="X101" s="290"/>
      <c r="Y101" s="289">
        <f>ROUNDUP(Y98/(0.9*(($C$7-Y100/2)/100)*($L$9*1000)),2)</f>
        <v>3.2899999999999996</v>
      </c>
      <c r="Z101" s="290"/>
    </row>
    <row r="102" spans="2:26" ht="16.5" thickBot="1" x14ac:dyDescent="0.3">
      <c r="B102" s="61" t="s">
        <v>113</v>
      </c>
      <c r="C102" s="279" t="str">
        <f>IF(C101&gt;$C$12,"$\phi"&amp;IF(VLOOKUP(VLOOKUP(C101,tablas!$S$3:$U$66,2,TRUE)&amp;VLOOKUP(C101,tablas!$S$3:$U$66,3,TRUE),tablas!$R$3:$S$66,2,FALSE)&lt;C101,VLOOKUP(C101+0.1,tablas!$S$3:$U$66,2,TRUE),VLOOKUP(C101,tablas!$S$3:$U$66,2,TRUE))&amp;"@"&amp;IF(VLOOKUP(VLOOKUP(C101,tablas!$S$3:$U$66,2,TRUE)&amp;VLOOKUP(C101,tablas!$S$3:$U$66,3,TRUE),tablas!$R$3:$S$66,2,FALSE)&lt;C101,VLOOKUP(C101+0.1,tablas!$S$3:$U$66,3,TRUE)&amp;"$",VLOOKUP(C101,tablas!$S$3:$U$66,3,TRUE)&amp;"$"),$C$13)</f>
        <v>$\phi10@25$</v>
      </c>
      <c r="D102" s="280"/>
      <c r="E102" s="279" t="str">
        <f>IF(E101&gt;$C$12,"$\phi"&amp;IF(VLOOKUP(VLOOKUP(E101,tablas!$S$3:$U$66,2,TRUE)&amp;VLOOKUP(E101,tablas!$S$3:$U$66,3,TRUE),tablas!$R$3:$S$66,2,FALSE)&lt;E101,VLOOKUP(E101+0.1,tablas!$S$3:$U$66,2,TRUE),VLOOKUP(E101,tablas!$S$3:$U$66,2,TRUE))&amp;"@"&amp;IF(VLOOKUP(VLOOKUP(E101,tablas!$S$3:$U$66,2,TRUE)&amp;VLOOKUP(E101,tablas!$S$3:$U$66,3,TRUE),tablas!$R$3:$S$66,2,FALSE)&lt;E101,VLOOKUP(E101+0.1,tablas!$S$3:$U$66,3,TRUE)&amp;"$",VLOOKUP(E101,tablas!$S$3:$U$66,3,TRUE)&amp;"$"),$C$13)</f>
        <v>$\phi12@24$</v>
      </c>
      <c r="F102" s="280"/>
      <c r="G102" s="279" t="str">
        <f>IF(G101&gt;$C$12,"$\phi"&amp;IF(VLOOKUP(VLOOKUP(G101,tablas!$S$3:$U$66,2,TRUE)&amp;VLOOKUP(G101,tablas!$S$3:$U$66,3,TRUE),tablas!$R$3:$S$66,2,FALSE)&lt;G101,VLOOKUP(G101+0.1,tablas!$S$3:$U$66,2,TRUE),VLOOKUP(G101,tablas!$S$3:$U$66,2,TRUE))&amp;"@"&amp;IF(VLOOKUP(VLOOKUP(G101,tablas!$S$3:$U$66,2,TRUE)&amp;VLOOKUP(G101,tablas!$S$3:$U$66,3,TRUE),tablas!$R$3:$S$66,2,FALSE)&lt;G101,VLOOKUP(G101+0.1,tablas!$S$3:$U$66,3,TRUE)&amp;"$",VLOOKUP(G101,tablas!$S$3:$U$66,3,TRUE)&amp;"$"),$C$13)</f>
        <v>$\phi8@12$</v>
      </c>
      <c r="H102" s="280"/>
      <c r="I102" s="279" t="str">
        <f>IF(I101&gt;$C$12,"$\phi"&amp;IF(VLOOKUP(VLOOKUP(I101,tablas!$S$3:$U$66,2,TRUE)&amp;VLOOKUP(I101,tablas!$S$3:$U$66,3,TRUE),tablas!$R$3:$S$66,2,FALSE)&lt;I101,VLOOKUP(I101+0.1,tablas!$S$3:$U$66,2,TRUE),VLOOKUP(I101,tablas!$S$3:$U$66,2,TRUE))&amp;"@"&amp;IF(VLOOKUP(VLOOKUP(I101,tablas!$S$3:$U$66,2,TRUE)&amp;VLOOKUP(I101,tablas!$S$3:$U$66,3,TRUE),tablas!$R$3:$S$66,2,FALSE)&lt;I101,VLOOKUP(I101+0.1,tablas!$S$3:$U$66,3,TRUE)&amp;"$",VLOOKUP(I101,tablas!$S$3:$U$66,3,TRUE)&amp;"$"),$C$13)</f>
        <v>$\phi10@20$</v>
      </c>
      <c r="J102" s="280"/>
      <c r="K102" s="279" t="str">
        <f>IF(K101&gt;$C$12,"$\phi"&amp;IF(VLOOKUP(VLOOKUP(K101,tablas!$S$3:$U$66,2,TRUE)&amp;VLOOKUP(K101,tablas!$S$3:$U$66,3,TRUE),tablas!$R$3:$S$66,2,FALSE)&lt;K101,VLOOKUP(K101+0.1,tablas!$S$3:$U$66,2,TRUE),VLOOKUP(K101,tablas!$S$3:$U$66,2,TRUE))&amp;"@"&amp;IF(VLOOKUP(VLOOKUP(K101,tablas!$S$3:$U$66,2,TRUE)&amp;VLOOKUP(K101,tablas!$S$3:$U$66,3,TRUE),tablas!$R$3:$S$66,2,FALSE)&lt;K101,VLOOKUP(K101+0.1,tablas!$S$3:$U$66,3,TRUE)&amp;"$",VLOOKUP(K101,tablas!$S$3:$U$66,3,TRUE)&amp;"$"),$C$13)</f>
        <v>$\phi8@17$</v>
      </c>
      <c r="L102" s="280"/>
      <c r="M102" s="279" t="str">
        <f>IF(M101&gt;$C$12,"$\phi"&amp;IF(VLOOKUP(VLOOKUP(M101,tablas!$S$3:$U$66,2,TRUE)&amp;VLOOKUP(M101,tablas!$S$3:$U$66,3,TRUE),tablas!$R$3:$S$66,2,FALSE)&lt;M101,VLOOKUP(M101+0.1,tablas!$S$3:$U$66,2,TRUE),VLOOKUP(M101,tablas!$S$3:$U$66,2,TRUE))&amp;"@"&amp;IF(VLOOKUP(VLOOKUP(M101,tablas!$S$3:$U$66,2,TRUE)&amp;VLOOKUP(M101,tablas!$S$3:$U$66,3,TRUE),tablas!$R$3:$S$66,2,FALSE)&lt;M101,VLOOKUP(M101+0.1,tablas!$S$3:$U$66,3,TRUE)&amp;"$",VLOOKUP(M101,tablas!$S$3:$U$66,3,TRUE)&amp;"$"),$C$13)</f>
        <v>$\phi8@17$</v>
      </c>
      <c r="N102" s="280"/>
      <c r="O102" s="279" t="str">
        <f>IF(O101&gt;$C$12,"$\phi"&amp;IF(VLOOKUP(VLOOKUP(O101,tablas!$S$3:$U$66,2,TRUE)&amp;VLOOKUP(O101,tablas!$S$3:$U$66,3,TRUE),tablas!$R$3:$S$66,2,FALSE)&lt;O101,VLOOKUP(O101+0.1,tablas!$S$3:$U$66,2,TRUE),VLOOKUP(O101,tablas!$S$3:$U$66,2,TRUE))&amp;"@"&amp;IF(VLOOKUP(VLOOKUP(O101,tablas!$S$3:$U$66,2,TRUE)&amp;VLOOKUP(O101,tablas!$S$3:$U$66,3,TRUE),tablas!$R$3:$S$66,2,FALSE)&lt;O101,VLOOKUP(O101+0.1,tablas!$S$3:$U$66,3,TRUE)&amp;"$",VLOOKUP(O101,tablas!$S$3:$U$66,3,TRUE)&amp;"$"),$C$13)</f>
        <v>$\phi8@17$</v>
      </c>
      <c r="P102" s="280"/>
      <c r="Q102" s="279" t="str">
        <f>IF(Q101&gt;$C$12,"$\phi"&amp;IF(VLOOKUP(VLOOKUP(Q101,tablas!$S$3:$U$66,2,TRUE)&amp;VLOOKUP(Q101,tablas!$S$3:$U$66,3,TRUE),tablas!$R$3:$S$66,2,FALSE)&lt;Q101,VLOOKUP(Q101+0.1,tablas!$S$3:$U$66,2,TRUE),VLOOKUP(Q101,tablas!$S$3:$U$66,2,TRUE))&amp;"@"&amp;IF(VLOOKUP(VLOOKUP(Q101,tablas!$S$3:$U$66,2,TRUE)&amp;VLOOKUP(Q101,tablas!$S$3:$U$66,3,TRUE),tablas!$R$3:$S$66,2,FALSE)&lt;Q101,VLOOKUP(Q101+0.1,tablas!$S$3:$U$66,3,TRUE)&amp;"$",VLOOKUP(Q101,tablas!$S$3:$U$66,3,TRUE)&amp;"$"),$C$13)</f>
        <v>$\phi8@17$</v>
      </c>
      <c r="R102" s="280"/>
      <c r="S102" s="279" t="str">
        <f>IF(S101&gt;$C$12,"$\phi"&amp;IF(VLOOKUP(VLOOKUP(S101,tablas!$S$3:$U$66,2,TRUE)&amp;VLOOKUP(S101,tablas!$S$3:$U$66,3,TRUE),tablas!$R$3:$S$66,2,FALSE)&lt;S101,VLOOKUP(S101+0.1,tablas!$S$3:$U$66,2,TRUE),VLOOKUP(S101,tablas!$S$3:$U$66,2,TRUE))&amp;"@"&amp;IF(VLOOKUP(VLOOKUP(S101,tablas!$S$3:$U$66,2,TRUE)&amp;VLOOKUP(S101,tablas!$S$3:$U$66,3,TRUE),tablas!$R$3:$S$66,2,FALSE)&lt;S101,VLOOKUP(S101+0.1,tablas!$S$3:$U$66,3,TRUE)&amp;"$",VLOOKUP(S101,tablas!$S$3:$U$66,3,TRUE)&amp;"$"),$C$13)</f>
        <v>$\phi8@17$</v>
      </c>
      <c r="T102" s="280"/>
      <c r="U102" s="279" t="str">
        <f>IF(U101&gt;$C$12,"$\phi"&amp;IF(VLOOKUP(VLOOKUP(U101,tablas!$S$3:$U$66,2,TRUE)&amp;VLOOKUP(U101,tablas!$S$3:$U$66,3,TRUE),tablas!$R$3:$S$66,2,FALSE)&lt;U101,VLOOKUP(U101+0.1,tablas!$S$3:$U$66,2,TRUE),VLOOKUP(U101,tablas!$S$3:$U$66,2,TRUE))&amp;"@"&amp;IF(VLOOKUP(VLOOKUP(U101,tablas!$S$3:$U$66,2,TRUE)&amp;VLOOKUP(U101,tablas!$S$3:$U$66,3,TRUE),tablas!$R$3:$S$66,2,FALSE)&lt;U101,VLOOKUP(U101+0.1,tablas!$S$3:$U$66,3,TRUE)&amp;"$",VLOOKUP(U101,tablas!$S$3:$U$66,3,TRUE)&amp;"$"),$C$13)</f>
        <v>$\phi8@17$</v>
      </c>
      <c r="V102" s="280"/>
      <c r="W102" s="279" t="str">
        <f>IF(W101&gt;$C$12,"$\phi"&amp;IF(VLOOKUP(VLOOKUP(W101,tablas!$S$3:$U$66,2,TRUE)&amp;VLOOKUP(W101,tablas!$S$3:$U$66,3,TRUE),tablas!$R$3:$S$66,2,FALSE)&lt;W101,VLOOKUP(W101+0.1,tablas!$S$3:$U$66,2,TRUE),VLOOKUP(W101,tablas!$S$3:$U$66,2,TRUE))&amp;"@"&amp;IF(VLOOKUP(VLOOKUP(W101,tablas!$S$3:$U$66,2,TRUE)&amp;VLOOKUP(W101,tablas!$S$3:$U$66,3,TRUE),tablas!$R$3:$S$66,2,FALSE)&lt;W101,VLOOKUP(W101+0.1,tablas!$S$3:$U$66,3,TRUE)&amp;"$",VLOOKUP(W101,tablas!$S$3:$U$66,3,TRUE)&amp;"$"),$C$13)</f>
        <v>$\phi8@17$</v>
      </c>
      <c r="X102" s="280"/>
      <c r="Y102" s="279" t="str">
        <f>IF(Y101&gt;$C$12,"$\phi"&amp;IF(VLOOKUP(VLOOKUP(Y101,tablas!$S$3:$U$66,2,TRUE)&amp;VLOOKUP(Y101,tablas!$S$3:$U$66,3,TRUE),tablas!$R$3:$S$66,2,FALSE)&lt;Y101,VLOOKUP(Y101+0.1,tablas!$S$3:$U$66,2,TRUE),VLOOKUP(Y101,tablas!$S$3:$U$66,2,TRUE))&amp;"@"&amp;IF(VLOOKUP(VLOOKUP(Y101,tablas!$S$3:$U$66,2,TRUE)&amp;VLOOKUP(Y101,tablas!$S$3:$U$66,3,TRUE),tablas!$R$3:$S$66,2,FALSE)&lt;Y101,VLOOKUP(Y101+0.1,tablas!$S$3:$U$66,3,TRUE)&amp;"$",VLOOKUP(Y101,tablas!$S$3:$U$66,3,TRUE)&amp;"$"),$C$13)</f>
        <v>$\phi8@15$</v>
      </c>
      <c r="Z102" s="280"/>
    </row>
    <row r="103" spans="2:26" ht="15.75" thickBot="1" x14ac:dyDescent="0.3">
      <c r="P103" s="40"/>
      <c r="T103" s="40"/>
      <c r="U103" s="41"/>
    </row>
    <row r="104" spans="2:26" ht="15.75" thickBot="1" x14ac:dyDescent="0.3">
      <c r="B104" s="73" t="s">
        <v>43</v>
      </c>
      <c r="C104" s="74" t="s">
        <v>143</v>
      </c>
      <c r="D104" s="75" t="s">
        <v>147</v>
      </c>
      <c r="E104" s="74" t="s">
        <v>143</v>
      </c>
      <c r="F104" s="75" t="s">
        <v>155</v>
      </c>
      <c r="G104" s="74" t="s">
        <v>143</v>
      </c>
      <c r="H104" s="75" t="s">
        <v>149</v>
      </c>
      <c r="I104" s="74" t="s">
        <v>143</v>
      </c>
      <c r="J104" s="75" t="s">
        <v>150</v>
      </c>
      <c r="K104" s="74" t="s">
        <v>144</v>
      </c>
      <c r="L104" s="75" t="s">
        <v>159</v>
      </c>
      <c r="M104" s="74" t="s">
        <v>144</v>
      </c>
      <c r="N104" s="75" t="s">
        <v>145</v>
      </c>
      <c r="O104" s="74" t="s">
        <v>144</v>
      </c>
      <c r="P104" s="75" t="s">
        <v>158</v>
      </c>
      <c r="Q104" s="74" t="s">
        <v>145</v>
      </c>
      <c r="R104" s="75" t="s">
        <v>158</v>
      </c>
      <c r="S104" s="74" t="s">
        <v>145</v>
      </c>
      <c r="T104" s="75" t="s">
        <v>147</v>
      </c>
      <c r="U104" s="74" t="s">
        <v>145</v>
      </c>
      <c r="V104" s="75" t="s">
        <v>146</v>
      </c>
      <c r="W104" s="74" t="s">
        <v>145</v>
      </c>
      <c r="X104" s="75" t="s">
        <v>161</v>
      </c>
      <c r="Y104" s="74" t="s">
        <v>146</v>
      </c>
      <c r="Z104" s="75" t="s">
        <v>147</v>
      </c>
    </row>
    <row r="105" spans="2:26" ht="15.75" hidden="1" thickBot="1" x14ac:dyDescent="0.3">
      <c r="B105" s="141"/>
      <c r="C105" s="143" t="str">
        <f>C104&amp;"-"&amp;D104</f>
        <v>204-208</v>
      </c>
      <c r="D105" s="143"/>
      <c r="E105" s="143" t="str">
        <f>E104&amp;"-"&amp;F104</f>
        <v>204-216</v>
      </c>
      <c r="F105" s="142"/>
      <c r="G105" s="143" t="str">
        <f>G104&amp;"-"&amp;H104</f>
        <v>204-210</v>
      </c>
      <c r="H105" s="142"/>
      <c r="I105" s="143" t="str">
        <f>I104&amp;"-"&amp;J104</f>
        <v>204-211</v>
      </c>
      <c r="J105" s="142"/>
      <c r="K105" s="143" t="str">
        <f>K104&amp;"-"&amp;L104</f>
        <v>205-220</v>
      </c>
      <c r="L105" s="142"/>
      <c r="M105" s="143" t="str">
        <f>M104&amp;"-"&amp;N104</f>
        <v>205-206</v>
      </c>
      <c r="N105" s="142"/>
      <c r="O105" s="143" t="str">
        <f>O104&amp;"-"&amp;P104</f>
        <v>205-219</v>
      </c>
      <c r="P105" s="142"/>
      <c r="Q105" s="143" t="str">
        <f>Q104&amp;"-"&amp;R104</f>
        <v>206-219</v>
      </c>
      <c r="R105" s="142"/>
      <c r="S105" s="143" t="str">
        <f>S104&amp;"-"&amp;T104</f>
        <v>206-208</v>
      </c>
      <c r="T105" s="142"/>
      <c r="U105" s="143" t="str">
        <f>U104&amp;"-"&amp;V104</f>
        <v>206-207</v>
      </c>
      <c r="V105" s="142"/>
      <c r="W105" s="143" t="str">
        <f>W104&amp;"-"&amp;X104</f>
        <v>206-222</v>
      </c>
      <c r="X105" s="142"/>
      <c r="Y105" s="143" t="str">
        <f>Y104&amp;"-"&amp;Z104</f>
        <v>207-208</v>
      </c>
      <c r="Z105" s="142"/>
    </row>
    <row r="106" spans="2:26" x14ac:dyDescent="0.25">
      <c r="B106" s="102" t="s">
        <v>114</v>
      </c>
      <c r="C106" s="99" t="s">
        <v>109</v>
      </c>
      <c r="D106" s="100" t="s">
        <v>109</v>
      </c>
      <c r="E106" s="99" t="s">
        <v>109</v>
      </c>
      <c r="F106" s="100" t="s">
        <v>108</v>
      </c>
      <c r="G106" s="99" t="s">
        <v>108</v>
      </c>
      <c r="H106" s="100" t="s">
        <v>108</v>
      </c>
      <c r="I106" s="99" t="s">
        <v>108</v>
      </c>
      <c r="J106" s="100" t="s">
        <v>108</v>
      </c>
      <c r="K106" s="99" t="s">
        <v>109</v>
      </c>
      <c r="L106" s="100" t="s">
        <v>108</v>
      </c>
      <c r="M106" s="99" t="s">
        <v>109</v>
      </c>
      <c r="N106" s="100" t="s">
        <v>108</v>
      </c>
      <c r="O106" s="99" t="s">
        <v>108</v>
      </c>
      <c r="P106" s="100" t="s">
        <v>108</v>
      </c>
      <c r="Q106" s="99" t="s">
        <v>109</v>
      </c>
      <c r="R106" s="100" t="s">
        <v>108</v>
      </c>
      <c r="S106" s="99" t="s">
        <v>109</v>
      </c>
      <c r="T106" s="100" t="s">
        <v>108</v>
      </c>
      <c r="U106" s="99" t="s">
        <v>108</v>
      </c>
      <c r="V106" s="100" t="s">
        <v>108</v>
      </c>
      <c r="W106" s="99" t="s">
        <v>108</v>
      </c>
      <c r="X106" s="100" t="s">
        <v>109</v>
      </c>
      <c r="Y106" s="99" t="s">
        <v>109</v>
      </c>
      <c r="Z106" s="100" t="s">
        <v>108</v>
      </c>
    </row>
    <row r="107" spans="2:26" x14ac:dyDescent="0.25">
      <c r="B107" s="103" t="s">
        <v>110</v>
      </c>
      <c r="C107" s="101">
        <f t="shared" ref="C107:Z107" si="91">HLOOKUP(C104,$B$46:$AE$90,IF(C106="x",36,41),FALSE)</f>
        <v>2084.7312244897957</v>
      </c>
      <c r="D107" s="85">
        <f t="shared" si="91"/>
        <v>155.67999999999998</v>
      </c>
      <c r="E107" s="101">
        <f t="shared" si="91"/>
        <v>2084.7312244897957</v>
      </c>
      <c r="F107" s="85">
        <f t="shared" si="91"/>
        <v>166.29600000000002</v>
      </c>
      <c r="G107" s="101">
        <f t="shared" si="91"/>
        <v>2660.2039062500003</v>
      </c>
      <c r="H107" s="85">
        <f t="shared" si="91"/>
        <v>1428.5638297872338</v>
      </c>
      <c r="I107" s="101">
        <f t="shared" si="91"/>
        <v>2660.2039062500003</v>
      </c>
      <c r="J107" s="85">
        <f t="shared" si="91"/>
        <v>2172.8938709677423</v>
      </c>
      <c r="K107" s="101">
        <f t="shared" si="91"/>
        <v>2015.9397209302329</v>
      </c>
      <c r="L107" s="85">
        <f t="shared" si="91"/>
        <v>84.1935</v>
      </c>
      <c r="M107" s="101">
        <f t="shared" si="91"/>
        <v>2015.9397209302329</v>
      </c>
      <c r="N107" s="85">
        <f t="shared" si="91"/>
        <v>1428.5638297872338</v>
      </c>
      <c r="O107" s="101">
        <f t="shared" si="91"/>
        <v>2330.2529032258067</v>
      </c>
      <c r="P107" s="85">
        <f t="shared" si="91"/>
        <v>276.07350000000002</v>
      </c>
      <c r="Q107" s="101">
        <f t="shared" si="91"/>
        <v>1323.0049261083741</v>
      </c>
      <c r="R107" s="85">
        <f t="shared" si="91"/>
        <v>276.07350000000002</v>
      </c>
      <c r="S107" s="101">
        <f t="shared" si="91"/>
        <v>1323.0049261083741</v>
      </c>
      <c r="T107" s="85">
        <f t="shared" si="91"/>
        <v>227.0333333333333</v>
      </c>
      <c r="U107" s="101">
        <f t="shared" si="91"/>
        <v>1428.5638297872338</v>
      </c>
      <c r="V107" s="85">
        <f t="shared" si="91"/>
        <v>670.04318181818178</v>
      </c>
      <c r="W107" s="101">
        <f t="shared" si="91"/>
        <v>1428.5638297872338</v>
      </c>
      <c r="X107" s="85">
        <f t="shared" si="91"/>
        <v>555.22533936651575</v>
      </c>
      <c r="Y107" s="101">
        <f t="shared" si="91"/>
        <v>479.38048780487804</v>
      </c>
      <c r="Z107" s="85">
        <f t="shared" si="91"/>
        <v>227.0333333333333</v>
      </c>
    </row>
    <row r="108" spans="2:26" x14ac:dyDescent="0.25">
      <c r="B108" s="103" t="s">
        <v>111</v>
      </c>
      <c r="C108" s="283">
        <f>(MAX(C107:D107)-MIN(C107:D107))/(MAX(C107:D107))</f>
        <v>0.92532370687828103</v>
      </c>
      <c r="D108" s="284"/>
      <c r="E108" s="283">
        <f>(MAX(E107:F107)-MIN(E107:F107))/(MAX(E107:F107))</f>
        <v>0.92023144372450305</v>
      </c>
      <c r="F108" s="284"/>
      <c r="G108" s="283">
        <f>(MAX(G107:H107)-MIN(G107:H107))/(MAX(G107:H107))</f>
        <v>0.46298709417315609</v>
      </c>
      <c r="H108" s="284"/>
      <c r="I108" s="283">
        <f>(MAX(I107:J107)-MIN(I107:J107))/(MAX(I107:J107))</f>
        <v>0.18318521904931812</v>
      </c>
      <c r="J108" s="284"/>
      <c r="K108" s="283">
        <f>(MAX(K107:L107)-MIN(K107:L107))/(MAX(K107:L107))</f>
        <v>0.95823610243606394</v>
      </c>
      <c r="L108" s="284"/>
      <c r="M108" s="283">
        <f>(MAX(M107:N107)-MIN(M107:N107))/(MAX(M107:N107))</f>
        <v>0.29136580079485763</v>
      </c>
      <c r="N108" s="284"/>
      <c r="O108" s="283">
        <f>(MAX(O107:P107)-MIN(O107:P107))/(MAX(O107:P107))</f>
        <v>0.88152637869570849</v>
      </c>
      <c r="P108" s="284"/>
      <c r="Q108" s="283">
        <f>(MAX(Q107:R107)-MIN(Q107:R107))/(MAX(Q107:R107))</f>
        <v>0.79132844137468816</v>
      </c>
      <c r="R108" s="284"/>
      <c r="S108" s="283">
        <f>(MAX(S107:T107)-MIN(S107:T107))/(MAX(S107:T107))</f>
        <v>0.82839570068635116</v>
      </c>
      <c r="T108" s="284"/>
      <c r="U108" s="283">
        <f>(MAX(U107:V107)-MIN(U107:V107))/(MAX(U107:V107))</f>
        <v>0.53096727787236775</v>
      </c>
      <c r="V108" s="284"/>
      <c r="W108" s="291">
        <f>(MAX(W107:X107)-MIN(W107:X107))/(MAX(W107:X107))</f>
        <v>0.61134019510405113</v>
      </c>
      <c r="X108" s="284"/>
      <c r="Y108" s="283">
        <f>(MAX(Y107:Z107)-MIN(Y107:Z107))/(MAX(Y107:Z107))</f>
        <v>0.5264026402640265</v>
      </c>
      <c r="Z108" s="284"/>
    </row>
    <row r="109" spans="2:26" x14ac:dyDescent="0.25">
      <c r="B109" s="103" t="s">
        <v>112</v>
      </c>
      <c r="C109" s="285">
        <f>IF(C108&lt;25%,(C107*0.5+D107*0.5)*0.9,IF(C108&lt;50%,(MAX(C107:D107)*0.6+MIN(C107:D107)*0.4)*0.9,IF(C108&lt;70%,(MAX(C107:D107)*0.65+MIN(C107:D107)*0.35)*0.9,IF(C108&lt;100%,(MAX(C107:D107)*0.7+MIN(C107:D107)*0.3)*0.9,0.7*MAX(C107:D107)))))</f>
        <v>1355.4142714285713</v>
      </c>
      <c r="D109" s="286"/>
      <c r="E109" s="285">
        <f>IF(E108&lt;25%,(E107*0.5+F107*0.5)*0.9,IF(E108&lt;50%,(MAX(E107:F107)*0.6+MIN(E107:F107)*0.4)*0.9,IF(E108&lt;70%,(MAX(E107:F107)*0.65+MIN(E107:F107)*0.35)*0.9,IF(E108&lt;100%,(MAX(E107:F107)*0.7+MIN(E107:F107)*0.3)*0.9,0.7*MAX(E107:F107)))))</f>
        <v>1358.2805914285714</v>
      </c>
      <c r="F109" s="286"/>
      <c r="G109" s="285">
        <f>IF(G108&lt;25%,(G107*0.5+H107*0.5)*0.9,IF(G108&lt;50%,(MAX(G107:H107)*0.6+MIN(G107:H107)*0.4)*0.9,IF(G108&lt;70%,(MAX(G107:H107)*0.65+MIN(G107:H107)*0.35)*0.9,IF(G108&lt;100%,(MAX(G107:H107)*0.7+MIN(G107:H107)*0.3)*0.9,0.7*MAX(G107:H107)))))</f>
        <v>1950.7930880984043</v>
      </c>
      <c r="H109" s="286"/>
      <c r="I109" s="285">
        <f>IF(I108&lt;25%,(I107*0.5+J107*0.5)*0.9,IF(I108&lt;50%,(MAX(I107:J107)*0.6+MIN(I107:J107)*0.4)*0.9,IF(I108&lt;70%,(MAX(I107:J107)*0.65+MIN(I107:J107)*0.35)*0.9,IF(I108&lt;100%,(MAX(I107:J107)*0.7+MIN(I107:J107)*0.3)*0.9,0.7*MAX(I107:J107)))))</f>
        <v>2174.8939997479843</v>
      </c>
      <c r="J109" s="286"/>
      <c r="K109" s="285">
        <f>IF(K108&lt;25%,(K107*0.5+L107*0.5)*0.9,IF(K108&lt;50%,(MAX(K107:L107)*0.6+MIN(K107:L107)*0.4)*0.9,IF(K108&lt;70%,(MAX(K107:L107)*0.65+MIN(K107:L107)*0.35)*0.9,IF(K108&lt;100%,(MAX(K107:L107)*0.7+MIN(K107:L107)*0.3)*0.9,0.7*MAX(K107:L107)))))</f>
        <v>1292.7742691860465</v>
      </c>
      <c r="L109" s="286"/>
      <c r="M109" s="285">
        <f>IF(M108&lt;25%,(M107*0.5+N107*0.5)*0.9,IF(M108&lt;50%,(MAX(M107:N107)*0.6+MIN(M107:N107)*0.4)*0.9,IF(M108&lt;70%,(MAX(M107:N107)*0.65+MIN(M107:N107)*0.35)*0.9,IF(M108&lt;100%,(MAX(M107:N107)*0.7+MIN(M107:N107)*0.3)*0.9,0.7*MAX(M107:N107)))))</f>
        <v>1602.89042802573</v>
      </c>
      <c r="N109" s="286"/>
      <c r="O109" s="285">
        <f>IF(O108&lt;25%,(O107*0.5+P107*0.5)*0.9,IF(O108&lt;50%,(MAX(O107:P107)*0.6+MIN(O107:P107)*0.4)*0.9,IF(O108&lt;70%,(MAX(O107:P107)*0.65+MIN(O107:P107)*0.35)*0.9,IF(O108&lt;100%,(MAX(O107:P107)*0.7+MIN(O107:P107)*0.3)*0.9,0.7*MAX(O107:P107)))))</f>
        <v>1542.5991740322581</v>
      </c>
      <c r="P109" s="286"/>
      <c r="Q109" s="285">
        <f>IF(Q108&lt;25%,(Q107*0.5+R107*0.5)*0.9,IF(Q108&lt;50%,(MAX(Q107:R107)*0.6+MIN(Q107:R107)*0.4)*0.9,IF(Q108&lt;70%,(MAX(Q107:R107)*0.65+MIN(Q107:R107)*0.35)*0.9,IF(Q108&lt;100%,(MAX(Q107:R107)*0.7+MIN(Q107:R107)*0.3)*0.9,0.7*MAX(Q107:R107)))))</f>
        <v>908.03294844827553</v>
      </c>
      <c r="R109" s="286"/>
      <c r="S109" s="285">
        <f>IF(S108&lt;25%,(S107*0.5+T107*0.5)*0.9,IF(S108&lt;50%,(MAX(S107:T107)*0.6+MIN(S107:T107)*0.4)*0.9,IF(S108&lt;70%,(MAX(S107:T107)*0.65+MIN(S107:T107)*0.35)*0.9,IF(S108&lt;100%,(MAX(S107:T107)*0.7+MIN(S107:T107)*0.3)*0.9,0.7*MAX(S107:T107)))))</f>
        <v>894.79210344827561</v>
      </c>
      <c r="T109" s="286"/>
      <c r="U109" s="285">
        <f>IF(U108&lt;25%,(U107*0.5+V107*0.5)*0.9,IF(U108&lt;50%,(MAX(U107:V107)*0.6+MIN(U107:V107)*0.4)*0.9,IF(U108&lt;70%,(MAX(U107:V107)*0.65+MIN(U107:V107)*0.35)*0.9,IF(U108&lt;100%,(MAX(U107:V107)*0.7+MIN(U107:V107)*0.3)*0.9,0.7*MAX(U107:V107)))))</f>
        <v>1046.773442698259</v>
      </c>
      <c r="V109" s="286"/>
      <c r="W109" s="292">
        <f>IF(W108&lt;25%,(W107*0.5+X107*0.5)*0.9,IF(W108&lt;50%,(MAX(W107:X107)*0.6+MIN(W107:X107)*0.4)*0.9,IF(W108&lt;70%,(MAX(W107:X107)*0.65+MIN(W107:X107)*0.35)*0.9,IF(W108&lt;100%,(MAX(W107:X107)*0.7+MIN(W107:X107)*0.3)*0.9,0.7*MAX(W107:X107)))))</f>
        <v>1010.6058223259844</v>
      </c>
      <c r="X109" s="286"/>
      <c r="Y109" s="285">
        <f>IF(Y108&lt;25%,(Y107*0.5+Z107*0.5)*0.9,IF(Y108&lt;50%,(MAX(Y107:Z107)*0.6+MIN(Y107:Z107)*0.4)*0.9,IF(Y108&lt;70%,(MAX(Y107:Z107)*0.65+MIN(Y107:Z107)*0.35)*0.9,IF(Y108&lt;100%,(MAX(Y107:Z107)*0.7+MIN(Y107:Z107)*0.3)*0.9,0.7*MAX(Y107:Z107)))))</f>
        <v>351.95308536585367</v>
      </c>
      <c r="Z109" s="286"/>
    </row>
    <row r="110" spans="2:26" x14ac:dyDescent="0.25">
      <c r="B110" s="104" t="s">
        <v>15</v>
      </c>
      <c r="C110" s="287">
        <f>C109/(0.9*(0.9*($C$7/100))*($L$9*1000))</f>
        <v>2.7926417763367017</v>
      </c>
      <c r="D110" s="288"/>
      <c r="E110" s="287">
        <f>E109/(0.9*(0.9*($C$7/100))*($L$9*1000))</f>
        <v>2.7985474283171201</v>
      </c>
      <c r="F110" s="288"/>
      <c r="G110" s="287">
        <f>G109/(0.9*(0.9*($C$7/100))*($L$9*1000))</f>
        <v>4.0193366630783505</v>
      </c>
      <c r="H110" s="288"/>
      <c r="I110" s="287">
        <f>I109/(0.9*(0.9*($C$7/100))*($L$9*1000))</f>
        <v>4.481065288178443</v>
      </c>
      <c r="J110" s="288"/>
      <c r="K110" s="287">
        <f>K109/(0.9*(0.9*($C$7/100))*($L$9*1000))</f>
        <v>2.6635808015338274</v>
      </c>
      <c r="L110" s="288"/>
      <c r="M110" s="287">
        <f>M109/(0.9*(0.9*($C$7/100))*($L$9*1000))</f>
        <v>3.3025318284991707</v>
      </c>
      <c r="N110" s="288"/>
      <c r="O110" s="287">
        <f>O109/(0.9*(0.9*($C$7/100))*($L$9*1000))</f>
        <v>3.1783101213804779</v>
      </c>
      <c r="P110" s="288"/>
      <c r="Q110" s="287">
        <f>Q109/(0.9*(0.9*($C$7/100))*($L$9*1000))</f>
        <v>1.8708750524326165</v>
      </c>
      <c r="R110" s="288"/>
      <c r="S110" s="287">
        <f>S109/(0.9*(0.9*($C$7/100))*($L$9*1000))</f>
        <v>1.8435941408467984</v>
      </c>
      <c r="T110" s="288"/>
      <c r="U110" s="287">
        <f>U109/(0.9*(0.9*($C$7/100))*($L$9*1000))</f>
        <v>2.1567304609814295</v>
      </c>
      <c r="V110" s="288"/>
      <c r="W110" s="293">
        <f>W109/(0.9*(0.9*($C$7/100))*($L$9*1000))</f>
        <v>2.0822121312490398</v>
      </c>
      <c r="X110" s="288"/>
      <c r="Y110" s="287">
        <f>Y109/(0.9*(0.9*($C$7/100))*($L$9*1000))</f>
        <v>0.72515017011540817</v>
      </c>
      <c r="Z110" s="288"/>
    </row>
    <row r="111" spans="2:26" x14ac:dyDescent="0.25">
      <c r="B111" s="104" t="s">
        <v>98</v>
      </c>
      <c r="C111" s="281">
        <f>(C110*($L$9))/(0.85*$L$6*100)</f>
        <v>3.9388719073063384E-2</v>
      </c>
      <c r="D111" s="282"/>
      <c r="E111" s="281">
        <f>(E110*($L$9))/(0.85*$L$6*100)</f>
        <v>3.9472015136586838E-2</v>
      </c>
      <c r="F111" s="282"/>
      <c r="G111" s="281">
        <f>(G110*($L$9))/(0.85*$L$6*100)</f>
        <v>5.6690594555858759E-2</v>
      </c>
      <c r="H111" s="282"/>
      <c r="I111" s="281">
        <f>(I110*($L$9))/(0.85*$L$6*100)</f>
        <v>6.3203029933774052E-2</v>
      </c>
      <c r="J111" s="282"/>
      <c r="K111" s="281">
        <f>(K110*($L$9))/(0.85*$L$6*100)</f>
        <v>3.7568383030366727E-2</v>
      </c>
      <c r="L111" s="282"/>
      <c r="M111" s="281">
        <f>(M110*($L$9))/(0.85*$L$6*100)</f>
        <v>4.6580445628526784E-2</v>
      </c>
      <c r="N111" s="282"/>
      <c r="O111" s="281">
        <f>(O110*($L$9))/(0.85*$L$6*100)</f>
        <v>4.4828364869034257E-2</v>
      </c>
      <c r="P111" s="282"/>
      <c r="Q111" s="281">
        <f>(Q110*($L$9))/(0.85*$L$6*100)</f>
        <v>2.6387692286741142E-2</v>
      </c>
      <c r="R111" s="282"/>
      <c r="S111" s="281">
        <f>(S110*($L$9))/(0.85*$L$6*100)</f>
        <v>2.6002909615502709E-2</v>
      </c>
      <c r="T111" s="282"/>
      <c r="U111" s="281">
        <f>(U110*($L$9))/(0.85*$L$6*100)</f>
        <v>3.0419529981876813E-2</v>
      </c>
      <c r="V111" s="282"/>
      <c r="W111" s="294">
        <f>(W110*($L$9))/(0.85*$L$6*100)</f>
        <v>2.9368488784794502E-2</v>
      </c>
      <c r="X111" s="282"/>
      <c r="Y111" s="281">
        <f>(Y110*($L$9))/(0.85*$L$6*100)</f>
        <v>1.0227855422949241E-2</v>
      </c>
      <c r="Z111" s="282"/>
    </row>
    <row r="112" spans="2:26" ht="15.75" thickBot="1" x14ac:dyDescent="0.3">
      <c r="B112" s="105" t="s">
        <v>15</v>
      </c>
      <c r="C112" s="289">
        <f>ROUNDUP(C109/(0.9*(($C$7-C111/2)/100)*($L$9*1000)),2)</f>
        <v>2.5199999999999996</v>
      </c>
      <c r="D112" s="290"/>
      <c r="E112" s="289">
        <f>ROUNDUP(E109/(0.9*(($C$7-E111/2)/100)*($L$9*1000)),2)</f>
        <v>2.5299999999999998</v>
      </c>
      <c r="F112" s="290"/>
      <c r="G112" s="289">
        <f>ROUNDUP(G109/(0.9*(($C$7-G111/2)/100)*($L$9*1000)),2)</f>
        <v>3.63</v>
      </c>
      <c r="H112" s="290"/>
      <c r="I112" s="289">
        <f>ROUNDUP(I109/(0.9*(($C$7-I111/2)/100)*($L$9*1000)),2)</f>
        <v>4.05</v>
      </c>
      <c r="J112" s="290"/>
      <c r="K112" s="289">
        <f>ROUNDUP(K109/(0.9*(($C$7-K111/2)/100)*($L$9*1000)),2)</f>
        <v>2.4099999999999997</v>
      </c>
      <c r="L112" s="290"/>
      <c r="M112" s="289">
        <f>ROUNDUP(M109/(0.9*(($C$7-M111/2)/100)*($L$9*1000)),2)</f>
        <v>2.98</v>
      </c>
      <c r="N112" s="290"/>
      <c r="O112" s="289">
        <f>ROUNDUP(O109/(0.9*(($C$7-O111/2)/100)*($L$9*1000)),2)</f>
        <v>2.8699999999999997</v>
      </c>
      <c r="P112" s="290"/>
      <c r="Q112" s="289">
        <f>ROUNDUP(Q109/(0.9*(($C$7-Q111/2)/100)*($L$9*1000)),2)</f>
        <v>1.69</v>
      </c>
      <c r="R112" s="290"/>
      <c r="S112" s="289">
        <f>ROUNDUP(S109/(0.9*(($C$7-S111/2)/100)*($L$9*1000)),2)</f>
        <v>1.67</v>
      </c>
      <c r="T112" s="290"/>
      <c r="U112" s="289">
        <f>ROUNDUP(U109/(0.9*(($C$7-U111/2)/100)*($L$9*1000)),2)</f>
        <v>1.95</v>
      </c>
      <c r="V112" s="290"/>
      <c r="W112" s="295">
        <f>ROUNDUP(W109/(0.9*(($C$7-W111/2)/100)*($L$9*1000)),2)</f>
        <v>1.8800000000000001</v>
      </c>
      <c r="X112" s="296"/>
      <c r="Y112" s="289">
        <f>ROUNDUP(Y109/(0.9*(($C$7-Y111/2)/100)*($L$9*1000)),2)</f>
        <v>0.66</v>
      </c>
      <c r="Z112" s="290"/>
    </row>
    <row r="113" spans="2:26" ht="16.5" thickBot="1" x14ac:dyDescent="0.3">
      <c r="B113" s="61" t="s">
        <v>113</v>
      </c>
      <c r="C113" s="279" t="str">
        <f>IF(C112&gt;$C$12,"$\phi"&amp;IF(VLOOKUP(VLOOKUP(C112,tablas!$S$3:$U$66,2,TRUE)&amp;VLOOKUP(C112,tablas!$S$3:$U$66,3,TRUE),tablas!$R$3:$S$66,2,FALSE)&lt;C112,VLOOKUP(C112+0.1,tablas!$S$3:$U$66,2,TRUE),VLOOKUP(C112,tablas!$S$3:$U$66,2,TRUE))&amp;"@"&amp;IF(VLOOKUP(VLOOKUP(C112,tablas!$S$3:$U$66,2,TRUE)&amp;VLOOKUP(C112,tablas!$S$3:$U$66,3,TRUE),tablas!$R$3:$S$66,2,FALSE)&lt;C112,VLOOKUP(C112+0.1,tablas!$S$3:$U$66,3,TRUE)&amp;"$",VLOOKUP(C112,tablas!$S$3:$U$66,3,TRUE)&amp;"$"),$C$13)</f>
        <v>$\phi8@17$</v>
      </c>
      <c r="D113" s="280"/>
      <c r="E113" s="279" t="str">
        <f>IF(E112&gt;$C$12,"$\phi"&amp;IF(VLOOKUP(VLOOKUP(E112,tablas!$S$3:$U$66,2,TRUE)&amp;VLOOKUP(E112,tablas!$S$3:$U$66,3,TRUE),tablas!$R$3:$S$66,2,FALSE)&lt;E112,VLOOKUP(E112+0.1,tablas!$S$3:$U$66,2,TRUE),VLOOKUP(E112,tablas!$S$3:$U$66,2,TRUE))&amp;"@"&amp;IF(VLOOKUP(VLOOKUP(E112,tablas!$S$3:$U$66,2,TRUE)&amp;VLOOKUP(E112,tablas!$S$3:$U$66,3,TRUE),tablas!$R$3:$S$66,2,FALSE)&lt;E112,VLOOKUP(E112+0.1,tablas!$S$3:$U$66,3,TRUE)&amp;"$",VLOOKUP(E112,tablas!$S$3:$U$66,3,TRUE)&amp;"$"),$C$13)</f>
        <v>$\phi8@17$</v>
      </c>
      <c r="F113" s="280"/>
      <c r="G113" s="279" t="str">
        <f>IF(G112&gt;$C$12,"$\phi"&amp;IF(VLOOKUP(VLOOKUP(G112,tablas!$S$3:$U$66,2,TRUE)&amp;VLOOKUP(G112,tablas!$S$3:$U$66,3,TRUE),tablas!$R$3:$S$66,2,FALSE)&lt;G112,VLOOKUP(G112+0.1,tablas!$S$3:$U$66,2,TRUE),VLOOKUP(G112,tablas!$S$3:$U$66,2,TRUE))&amp;"@"&amp;IF(VLOOKUP(VLOOKUP(G112,tablas!$S$3:$U$66,2,TRUE)&amp;VLOOKUP(G112,tablas!$S$3:$U$66,3,TRUE),tablas!$R$3:$S$66,2,FALSE)&lt;G112,VLOOKUP(G112+0.1,tablas!$S$3:$U$66,3,TRUE)&amp;"$",VLOOKUP(G112,tablas!$S$3:$U$66,3,TRUE)&amp;"$"),$C$13)</f>
        <v>$\phi8@14$</v>
      </c>
      <c r="H113" s="280"/>
      <c r="I113" s="279" t="str">
        <f>IF(I112&gt;$C$12,"$\phi"&amp;IF(VLOOKUP(VLOOKUP(I112,tablas!$S$3:$U$66,2,TRUE)&amp;VLOOKUP(I112,tablas!$S$3:$U$66,3,TRUE),tablas!$R$3:$S$66,2,FALSE)&lt;I112,VLOOKUP(I112+0.1,tablas!$S$3:$U$66,2,TRUE),VLOOKUP(I112,tablas!$S$3:$U$66,2,TRUE))&amp;"@"&amp;IF(VLOOKUP(VLOOKUP(I112,tablas!$S$3:$U$66,2,TRUE)&amp;VLOOKUP(I112,tablas!$S$3:$U$66,3,TRUE),tablas!$R$3:$S$66,2,FALSE)&lt;I112,VLOOKUP(I112+0.1,tablas!$S$3:$U$66,3,TRUE)&amp;"$",VLOOKUP(I112,tablas!$S$3:$U$66,3,TRUE)&amp;"$"),$C$13)</f>
        <v>$\phi10@19$</v>
      </c>
      <c r="J113" s="280"/>
      <c r="K113" s="279" t="str">
        <f>IF(K112&gt;$C$12,"$\phi"&amp;IF(VLOOKUP(VLOOKUP(K112,tablas!$S$3:$U$66,2,TRUE)&amp;VLOOKUP(K112,tablas!$S$3:$U$66,3,TRUE),tablas!$R$3:$S$66,2,FALSE)&lt;K112,VLOOKUP(K112+0.1,tablas!$S$3:$U$66,2,TRUE),VLOOKUP(K112,tablas!$S$3:$U$66,2,TRUE))&amp;"@"&amp;IF(VLOOKUP(VLOOKUP(K112,tablas!$S$3:$U$66,2,TRUE)&amp;VLOOKUP(K112,tablas!$S$3:$U$66,3,TRUE),tablas!$R$3:$S$66,2,FALSE)&lt;K112,VLOOKUP(K112+0.1,tablas!$S$3:$U$66,3,TRUE)&amp;"$",VLOOKUP(K112,tablas!$S$3:$U$66,3,TRUE)&amp;"$"),$C$13)</f>
        <v>$\phi8@17$</v>
      </c>
      <c r="L113" s="280"/>
      <c r="M113" s="279" t="str">
        <f>IF(M112&gt;$C$12,"$\phi"&amp;IF(VLOOKUP(VLOOKUP(M112,tablas!$S$3:$U$66,2,TRUE)&amp;VLOOKUP(M112,tablas!$S$3:$U$66,3,TRUE),tablas!$R$3:$S$66,2,FALSE)&lt;M112,VLOOKUP(M112+0.1,tablas!$S$3:$U$66,2,TRUE),VLOOKUP(M112,tablas!$S$3:$U$66,2,TRUE))&amp;"@"&amp;IF(VLOOKUP(VLOOKUP(M112,tablas!$S$3:$U$66,2,TRUE)&amp;VLOOKUP(M112,tablas!$S$3:$U$66,3,TRUE),tablas!$R$3:$S$66,2,FALSE)&lt;M112,VLOOKUP(M112+0.1,tablas!$S$3:$U$66,3,TRUE)&amp;"$",VLOOKUP(M112,tablas!$S$3:$U$66,3,TRUE)&amp;"$"),$C$13)</f>
        <v>$\phi8@17$</v>
      </c>
      <c r="N113" s="280"/>
      <c r="O113" s="279" t="str">
        <f>IF(O112&gt;$C$12,"$\phi"&amp;IF(VLOOKUP(VLOOKUP(O112,tablas!$S$3:$U$66,2,TRUE)&amp;VLOOKUP(O112,tablas!$S$3:$U$66,3,TRUE),tablas!$R$3:$S$66,2,FALSE)&lt;O112,VLOOKUP(O112+0.1,tablas!$S$3:$U$66,2,TRUE),VLOOKUP(O112,tablas!$S$3:$U$66,2,TRUE))&amp;"@"&amp;IF(VLOOKUP(VLOOKUP(O112,tablas!$S$3:$U$66,2,TRUE)&amp;VLOOKUP(O112,tablas!$S$3:$U$66,3,TRUE),tablas!$R$3:$S$66,2,FALSE)&lt;O112,VLOOKUP(O112+0.1,tablas!$S$3:$U$66,3,TRUE)&amp;"$",VLOOKUP(O112,tablas!$S$3:$U$66,3,TRUE)&amp;"$"),$C$13)</f>
        <v>$\phi8@17$</v>
      </c>
      <c r="P113" s="280"/>
      <c r="Q113" s="279" t="str">
        <f>IF(Q112&gt;$C$12,"$\phi"&amp;IF(VLOOKUP(VLOOKUP(Q112,tablas!$S$3:$U$66,2,TRUE)&amp;VLOOKUP(Q112,tablas!$S$3:$U$66,3,TRUE),tablas!$R$3:$S$66,2,FALSE)&lt;Q112,VLOOKUP(Q112+0.1,tablas!$S$3:$U$66,2,TRUE),VLOOKUP(Q112,tablas!$S$3:$U$66,2,TRUE))&amp;"@"&amp;IF(VLOOKUP(VLOOKUP(Q112,tablas!$S$3:$U$66,2,TRUE)&amp;VLOOKUP(Q112,tablas!$S$3:$U$66,3,TRUE),tablas!$R$3:$S$66,2,FALSE)&lt;Q112,VLOOKUP(Q112+0.1,tablas!$S$3:$U$66,3,TRUE)&amp;"$",VLOOKUP(Q112,tablas!$S$3:$U$66,3,TRUE)&amp;"$"),$C$13)</f>
        <v>$\phi8@17$</v>
      </c>
      <c r="R113" s="280"/>
      <c r="S113" s="279" t="str">
        <f>IF(S112&gt;$C$12,"$\phi"&amp;IF(VLOOKUP(VLOOKUP(S112,tablas!$S$3:$U$66,2,TRUE)&amp;VLOOKUP(S112,tablas!$S$3:$U$66,3,TRUE),tablas!$R$3:$S$66,2,FALSE)&lt;S112,VLOOKUP(S112+0.1,tablas!$S$3:$U$66,2,TRUE),VLOOKUP(S112,tablas!$S$3:$U$66,2,TRUE))&amp;"@"&amp;IF(VLOOKUP(VLOOKUP(S112,tablas!$S$3:$U$66,2,TRUE)&amp;VLOOKUP(S112,tablas!$S$3:$U$66,3,TRUE),tablas!$R$3:$S$66,2,FALSE)&lt;S112,VLOOKUP(S112+0.1,tablas!$S$3:$U$66,3,TRUE)&amp;"$",VLOOKUP(S112,tablas!$S$3:$U$66,3,TRUE)&amp;"$"),$C$13)</f>
        <v>$\phi8@17$</v>
      </c>
      <c r="T113" s="280"/>
      <c r="U113" s="279" t="str">
        <f>IF(U112&gt;$C$12,"$\phi"&amp;IF(VLOOKUP(VLOOKUP(U112,tablas!$S$3:$U$66,2,TRUE)&amp;VLOOKUP(U112,tablas!$S$3:$U$66,3,TRUE),tablas!$R$3:$S$66,2,FALSE)&lt;U112,VLOOKUP(U112+0.1,tablas!$S$3:$U$66,2,TRUE),VLOOKUP(U112,tablas!$S$3:$U$66,2,TRUE))&amp;"@"&amp;IF(VLOOKUP(VLOOKUP(U112,tablas!$S$3:$U$66,2,TRUE)&amp;VLOOKUP(U112,tablas!$S$3:$U$66,3,TRUE),tablas!$R$3:$S$66,2,FALSE)&lt;U112,VLOOKUP(U112+0.1,tablas!$S$3:$U$66,3,TRUE)&amp;"$",VLOOKUP(U112,tablas!$S$3:$U$66,3,TRUE)&amp;"$"),$C$13)</f>
        <v>$\phi8@17$</v>
      </c>
      <c r="V113" s="280"/>
      <c r="W113" s="279" t="str">
        <f>IF(W112&gt;$C$12,"$\phi"&amp;IF(VLOOKUP(VLOOKUP(W112,tablas!$S$3:$U$66,2,TRUE)&amp;VLOOKUP(W112,tablas!$S$3:$U$66,3,TRUE),tablas!$R$3:$S$66,2,FALSE)&lt;W112,VLOOKUP(W112+0.1,tablas!$S$3:$U$66,2,TRUE),VLOOKUP(W112,tablas!$S$3:$U$66,2,TRUE))&amp;"@"&amp;IF(VLOOKUP(VLOOKUP(W112,tablas!$S$3:$U$66,2,TRUE)&amp;VLOOKUP(W112,tablas!$S$3:$U$66,3,TRUE),tablas!$R$3:$S$66,2,FALSE)&lt;W112,VLOOKUP(W112+0.1,tablas!$S$3:$U$66,3,TRUE)&amp;"$",VLOOKUP(W112,tablas!$S$3:$U$66,3,TRUE)&amp;"$"),$C$13)</f>
        <v>$\phi8@17$</v>
      </c>
      <c r="X113" s="280"/>
      <c r="Y113" s="279" t="str">
        <f>IF(Y112&gt;$C$12,"$\phi"&amp;IF(VLOOKUP(VLOOKUP(Y112,tablas!$S$3:$U$66,2,TRUE)&amp;VLOOKUP(Y112,tablas!$S$3:$U$66,3,TRUE),tablas!$R$3:$S$66,2,FALSE)&lt;Y112,VLOOKUP(Y112+0.1,tablas!$S$3:$U$66,2,TRUE),VLOOKUP(Y112,tablas!$S$3:$U$66,2,TRUE))&amp;"@"&amp;IF(VLOOKUP(VLOOKUP(Y112,tablas!$S$3:$U$66,2,TRUE)&amp;VLOOKUP(Y112,tablas!$S$3:$U$66,3,TRUE),tablas!$R$3:$S$66,2,FALSE)&lt;Y112,VLOOKUP(Y112+0.1,tablas!$S$3:$U$66,3,TRUE)&amp;"$",VLOOKUP(Y112,tablas!$S$3:$U$66,3,TRUE)&amp;"$"),$C$13)</f>
        <v>$\phi8@17$</v>
      </c>
      <c r="Z113" s="280"/>
    </row>
    <row r="114" spans="2:26" ht="15.75" thickBot="1" x14ac:dyDescent="0.3">
      <c r="P114" s="40"/>
      <c r="T114" s="40"/>
      <c r="U114" s="41"/>
    </row>
    <row r="115" spans="2:26" ht="15.75" thickBot="1" x14ac:dyDescent="0.3">
      <c r="B115" s="73" t="s">
        <v>43</v>
      </c>
      <c r="C115" s="74" t="s">
        <v>146</v>
      </c>
      <c r="D115" s="75" t="s">
        <v>161</v>
      </c>
      <c r="E115" s="74" t="s">
        <v>147</v>
      </c>
      <c r="F115" s="75" t="s">
        <v>148</v>
      </c>
      <c r="G115" s="74" t="s">
        <v>147</v>
      </c>
      <c r="H115" s="75" t="s">
        <v>149</v>
      </c>
      <c r="I115" s="74" t="s">
        <v>148</v>
      </c>
      <c r="J115" s="75" t="s">
        <v>161</v>
      </c>
      <c r="K115" s="74" t="s">
        <v>148</v>
      </c>
      <c r="L115" s="75" t="s">
        <v>149</v>
      </c>
      <c r="M115" s="74" t="s">
        <v>149</v>
      </c>
      <c r="N115" s="75" t="s">
        <v>150</v>
      </c>
      <c r="O115" s="74" t="s">
        <v>149</v>
      </c>
      <c r="P115" s="75" t="s">
        <v>157</v>
      </c>
      <c r="Q115" s="74" t="s">
        <v>150</v>
      </c>
      <c r="R115" s="75" t="s">
        <v>157</v>
      </c>
      <c r="S115" s="74" t="s">
        <v>150</v>
      </c>
      <c r="T115" s="75" t="s">
        <v>156</v>
      </c>
      <c r="U115" s="74" t="s">
        <v>152</v>
      </c>
      <c r="V115" s="75" t="s">
        <v>153</v>
      </c>
    </row>
    <row r="116" spans="2:26" ht="15.75" hidden="1" thickBot="1" x14ac:dyDescent="0.3">
      <c r="B116" s="141"/>
      <c r="C116" s="143" t="str">
        <f>C115&amp;"-"&amp;D115</f>
        <v>207-222</v>
      </c>
      <c r="D116" s="143"/>
      <c r="E116" s="143" t="str">
        <f>E115&amp;"-"&amp;F115</f>
        <v>208-209</v>
      </c>
      <c r="F116" s="142"/>
      <c r="G116" s="143" t="str">
        <f>G115&amp;"-"&amp;H115</f>
        <v>208-210</v>
      </c>
      <c r="H116" s="142"/>
      <c r="I116" s="143" t="str">
        <f>I115&amp;"-"&amp;J115</f>
        <v>209-222</v>
      </c>
      <c r="J116" s="142"/>
      <c r="K116" s="143" t="str">
        <f>K115&amp;"-"&amp;L115</f>
        <v>209-210</v>
      </c>
      <c r="L116" s="142"/>
      <c r="M116" s="143" t="str">
        <f>M115&amp;"-"&amp;N115</f>
        <v>210-211</v>
      </c>
      <c r="N116" s="142"/>
      <c r="O116" s="143" t="str">
        <f>O115&amp;"-"&amp;P115</f>
        <v>210-218</v>
      </c>
      <c r="P116" s="142"/>
      <c r="Q116" s="143" t="str">
        <f>Q115&amp;"-"&amp;R115</f>
        <v>211-218</v>
      </c>
      <c r="R116" s="142"/>
      <c r="S116" s="143" t="str">
        <f>S115&amp;"-"&amp;T115</f>
        <v>211-217</v>
      </c>
      <c r="T116" s="142"/>
      <c r="U116" s="143" t="str">
        <f>U115&amp;"-"&amp;V115</f>
        <v>213-214</v>
      </c>
      <c r="V116" s="142"/>
    </row>
    <row r="117" spans="2:26" x14ac:dyDescent="0.25">
      <c r="B117" s="102" t="s">
        <v>114</v>
      </c>
      <c r="C117" s="99" t="s">
        <v>109</v>
      </c>
      <c r="D117" s="100" t="s">
        <v>108</v>
      </c>
      <c r="E117" s="99" t="s">
        <v>108</v>
      </c>
      <c r="F117" s="100" t="s">
        <v>109</v>
      </c>
      <c r="G117" s="99" t="s">
        <v>108</v>
      </c>
      <c r="H117" s="100" t="s">
        <v>108</v>
      </c>
      <c r="I117" s="99" t="s">
        <v>108</v>
      </c>
      <c r="J117" s="100" t="s">
        <v>109</v>
      </c>
      <c r="K117" s="99" t="s">
        <v>108</v>
      </c>
      <c r="L117" s="100" t="s">
        <v>109</v>
      </c>
      <c r="M117" s="99" t="s">
        <v>109</v>
      </c>
      <c r="N117" s="100" t="s">
        <v>109</v>
      </c>
      <c r="O117" s="99" t="s">
        <v>108</v>
      </c>
      <c r="P117" s="100" t="s">
        <v>108</v>
      </c>
      <c r="Q117" s="99" t="s">
        <v>108</v>
      </c>
      <c r="R117" s="100" t="s">
        <v>108</v>
      </c>
      <c r="S117" s="99" t="s">
        <v>109</v>
      </c>
      <c r="T117" s="100" t="s">
        <v>108</v>
      </c>
      <c r="U117" s="99" t="s">
        <v>109</v>
      </c>
      <c r="V117" s="100" t="s">
        <v>109</v>
      </c>
    </row>
    <row r="118" spans="2:26" x14ac:dyDescent="0.25">
      <c r="B118" s="103" t="s">
        <v>110</v>
      </c>
      <c r="C118" s="101">
        <f t="shared" ref="C118:V118" si="92">HLOOKUP(C115,$B$46:$AE$90,IF(C117="x",36,41),FALSE)</f>
        <v>479.38048780487804</v>
      </c>
      <c r="D118" s="85">
        <f t="shared" si="92"/>
        <v>734.75928143712576</v>
      </c>
      <c r="E118" s="101">
        <f t="shared" si="92"/>
        <v>227.0333333333333</v>
      </c>
      <c r="F118" s="85">
        <f t="shared" si="92"/>
        <v>667.99428571428564</v>
      </c>
      <c r="G118" s="101">
        <f t="shared" si="92"/>
        <v>227.0333333333333</v>
      </c>
      <c r="H118" s="85">
        <f t="shared" si="92"/>
        <v>1428.5638297872338</v>
      </c>
      <c r="I118" s="101">
        <f t="shared" si="92"/>
        <v>974.1583333333333</v>
      </c>
      <c r="J118" s="85">
        <f t="shared" si="92"/>
        <v>555.22533936651575</v>
      </c>
      <c r="K118" s="101">
        <f t="shared" si="92"/>
        <v>974.1583333333333</v>
      </c>
      <c r="L118" s="85">
        <f t="shared" si="92"/>
        <v>1323.0049261083741</v>
      </c>
      <c r="M118" s="101">
        <f t="shared" si="92"/>
        <v>1323.0049261083741</v>
      </c>
      <c r="N118" s="85">
        <f t="shared" si="92"/>
        <v>1879.8058604651167</v>
      </c>
      <c r="O118" s="101">
        <f t="shared" si="92"/>
        <v>1428.5638297872338</v>
      </c>
      <c r="P118" s="85">
        <f t="shared" si="92"/>
        <v>276.07350000000002</v>
      </c>
      <c r="Q118" s="101">
        <f t="shared" si="92"/>
        <v>2172.8938709677423</v>
      </c>
      <c r="R118" s="85">
        <f t="shared" si="92"/>
        <v>276.07350000000002</v>
      </c>
      <c r="S118" s="101">
        <f t="shared" si="92"/>
        <v>1879.8058604651167</v>
      </c>
      <c r="T118" s="85">
        <f t="shared" si="92"/>
        <v>166.29600000000002</v>
      </c>
      <c r="U118" s="101">
        <f t="shared" si="92"/>
        <v>249.29093333333336</v>
      </c>
      <c r="V118" s="85">
        <f t="shared" si="92"/>
        <v>249.29093333333336</v>
      </c>
    </row>
    <row r="119" spans="2:26" x14ac:dyDescent="0.25">
      <c r="B119" s="103" t="s">
        <v>111</v>
      </c>
      <c r="C119" s="283">
        <f>(MAX(C118:D118)-MIN(C118:D118))/(MAX(C118:D118))</f>
        <v>0.34756797237422959</v>
      </c>
      <c r="D119" s="284"/>
      <c r="E119" s="283">
        <f>(MAX(E118:F118)-MIN(E118:F118))/(MAX(E118:F118))</f>
        <v>0.66012683313515652</v>
      </c>
      <c r="F119" s="284"/>
      <c r="G119" s="283">
        <f>(MAX(G118:H118)-MIN(G118:H118))/(MAX(G118:H118))</f>
        <v>0.84107582132529068</v>
      </c>
      <c r="H119" s="284"/>
      <c r="I119" s="283">
        <f>(MAX(I118:J118)-MIN(I118:J118))/(MAX(I118:J118))</f>
        <v>0.43004610198562954</v>
      </c>
      <c r="J119" s="284"/>
      <c r="K119" s="283">
        <f>(MAX(K118:L118)-MIN(K118:L118))/(MAX(K118:L118))</f>
        <v>0.26367747080214954</v>
      </c>
      <c r="L119" s="284"/>
      <c r="M119" s="283">
        <f>(MAX(M118:N118)-MIN(M118:N118))/(MAX(M118:N118))</f>
        <v>0.29620129720149635</v>
      </c>
      <c r="N119" s="284"/>
      <c r="O119" s="283">
        <f>(MAX(O118:P118)-MIN(O118:P118))/(MAX(O118:P118))</f>
        <v>0.80674752206128753</v>
      </c>
      <c r="P119" s="284"/>
      <c r="Q119" s="283">
        <f>(MAX(Q118:R118)-MIN(Q118:R118))/(MAX(Q118:R118))</f>
        <v>0.87294662491866437</v>
      </c>
      <c r="R119" s="284"/>
      <c r="S119" s="283">
        <f>(MAX(S118:T118)-MIN(S118:T118))/(MAX(S118:T118))</f>
        <v>0.91153554550635685</v>
      </c>
      <c r="T119" s="284"/>
      <c r="U119" s="283">
        <f>(MAX(U118:V118)-MIN(U118:V118))/(MAX(U118:V118))</f>
        <v>0</v>
      </c>
      <c r="V119" s="284"/>
    </row>
    <row r="120" spans="2:26" x14ac:dyDescent="0.25">
      <c r="B120" s="103" t="s">
        <v>112</v>
      </c>
      <c r="C120" s="285">
        <f>IF(C119&lt;25%,(C118*0.5+D118*0.5)*0.9,IF(C119&lt;50%,(MAX(C118:D118)*0.6+MIN(C118:D118)*0.4)*0.9,IF(C119&lt;70%,(MAX(C118:D118)*0.65+MIN(C118:D118)*0.35)*0.9,IF(C119&lt;100%,(MAX(C118:D118)*0.7+MIN(C118:D118)*0.3)*0.9,0.7*MAX(C118:D118)))))</f>
        <v>569.34698758580407</v>
      </c>
      <c r="D120" s="286"/>
      <c r="E120" s="285">
        <f>IF(E119&lt;25%,(E118*0.5+F118*0.5)*0.9,IF(E119&lt;50%,(MAX(E118:F118)*0.6+MIN(E118:F118)*0.4)*0.9,IF(E119&lt;70%,(MAX(E118:F118)*0.65+MIN(E118:F118)*0.35)*0.9,IF(E119&lt;100%,(MAX(E118:F118)*0.7+MIN(E118:F118)*0.3)*0.9,0.7*MAX(E118:F118)))))</f>
        <v>462.29215714285709</v>
      </c>
      <c r="F120" s="286"/>
      <c r="G120" s="285">
        <f>IF(G119&lt;25%,(G118*0.5+H118*0.5)*0.9,IF(G119&lt;50%,(MAX(G118:H118)*0.6+MIN(G118:H118)*0.4)*0.9,IF(G119&lt;70%,(MAX(G118:H118)*0.65+MIN(G118:H118)*0.35)*0.9,IF(G119&lt;100%,(MAX(G118:H118)*0.7+MIN(G118:H118)*0.3)*0.9,0.7*MAX(G118:H118)))))</f>
        <v>961.29421276595713</v>
      </c>
      <c r="H120" s="286"/>
      <c r="I120" s="285">
        <f>IF(I119&lt;25%,(I118*0.5+J118*0.5)*0.9,IF(I119&lt;50%,(MAX(I118:J118)*0.6+MIN(I118:J118)*0.4)*0.9,IF(I119&lt;70%,(MAX(I118:J118)*0.65+MIN(I118:J118)*0.35)*0.9,IF(I119&lt;100%,(MAX(I118:J118)*0.7+MIN(I118:J118)*0.3)*0.9,0.7*MAX(I118:J118)))))</f>
        <v>725.92662217194572</v>
      </c>
      <c r="J120" s="286"/>
      <c r="K120" s="285">
        <f>IF(K119&lt;25%,(K118*0.5+L118*0.5)*0.9,IF(K119&lt;50%,(MAX(K118:L118)*0.6+MIN(K118:L118)*0.4)*0.9,IF(K119&lt;70%,(MAX(K118:L118)*0.65+MIN(K118:L118)*0.35)*0.9,IF(K119&lt;100%,(MAX(K118:L118)*0.7+MIN(K118:L118)*0.3)*0.9,0.7*MAX(K118:L118)))))</f>
        <v>1065.1196600985222</v>
      </c>
      <c r="L120" s="286"/>
      <c r="M120" s="285">
        <f>IF(M119&lt;25%,(M118*0.5+N118*0.5)*0.9,IF(M119&lt;50%,(MAX(M118:N118)*0.6+MIN(M118:N118)*0.4)*0.9,IF(M119&lt;70%,(MAX(M118:N118)*0.65+MIN(M118:N118)*0.35)*0.9,IF(M119&lt;100%,(MAX(M118:N118)*0.7+MIN(M118:N118)*0.3)*0.9,0.7*MAX(M118:N118)))))</f>
        <v>1491.3769380501776</v>
      </c>
      <c r="N120" s="286"/>
      <c r="O120" s="285">
        <f>IF(O119&lt;25%,(O118*0.5+P118*0.5)*0.9,IF(O119&lt;50%,(MAX(O118:P118)*0.6+MIN(O118:P118)*0.4)*0.9,IF(O119&lt;70%,(MAX(O118:P118)*0.65+MIN(O118:P118)*0.35)*0.9,IF(O119&lt;100%,(MAX(O118:P118)*0.7+MIN(O118:P118)*0.3)*0.9,0.7*MAX(O118:P118)))))</f>
        <v>974.53505776595716</v>
      </c>
      <c r="P120" s="286"/>
      <c r="Q120" s="285">
        <f>IF(Q119&lt;25%,(Q118*0.5+R118*0.5)*0.9,IF(Q119&lt;50%,(MAX(Q118:R118)*0.6+MIN(Q118:R118)*0.4)*0.9,IF(Q119&lt;70%,(MAX(Q118:R118)*0.65+MIN(Q118:R118)*0.35)*0.9,IF(Q119&lt;100%,(MAX(Q118:R118)*0.7+MIN(Q118:R118)*0.3)*0.9,0.7*MAX(Q118:R118)))))</f>
        <v>1443.4629837096775</v>
      </c>
      <c r="R120" s="286"/>
      <c r="S120" s="285">
        <f>IF(S119&lt;25%,(S118*0.5+T118*0.5)*0.9,IF(S119&lt;50%,(MAX(S118:T118)*0.6+MIN(S118:T118)*0.4)*0.9,IF(S119&lt;70%,(MAX(S118:T118)*0.65+MIN(S118:T118)*0.35)*0.9,IF(S119&lt;100%,(MAX(S118:T118)*0.7+MIN(S118:T118)*0.3)*0.9,0.7*MAX(S118:T118)))))</f>
        <v>1229.1776120930235</v>
      </c>
      <c r="T120" s="286"/>
      <c r="U120" s="285">
        <f>IF(U119&lt;25%,(U118*0.5+V118*0.5)*0.9,IF(U119&lt;50%,(MAX(U118:V118)*0.6+MIN(U118:V118)*0.4)*0.9,IF(U119&lt;70%,(MAX(U118:V118)*0.65+MIN(U118:V118)*0.35)*0.9,IF(U119&lt;100%,(MAX(U118:V118)*0.7+MIN(U118:V118)*0.3)*0.9,0.7*MAX(U118:V118)))))</f>
        <v>224.36184000000003</v>
      </c>
      <c r="V120" s="286"/>
    </row>
    <row r="121" spans="2:26" x14ac:dyDescent="0.25">
      <c r="B121" s="104" t="s">
        <v>15</v>
      </c>
      <c r="C121" s="287">
        <f>C120/(0.9*(0.9*($C$7/100))*($L$9*1000))</f>
        <v>1.1730599391489145</v>
      </c>
      <c r="D121" s="288"/>
      <c r="E121" s="287">
        <f>E120/(0.9*(0.9*($C$7/100))*($L$9*1000))</f>
        <v>0.95248841488828095</v>
      </c>
      <c r="F121" s="288"/>
      <c r="G121" s="287">
        <f>G120/(0.9*(0.9*($C$7/100))*($L$9*1000))</f>
        <v>1.9806124478027429</v>
      </c>
      <c r="H121" s="288"/>
      <c r="I121" s="287">
        <f>I120/(0.9*(0.9*($C$7/100))*($L$9*1000))</f>
        <v>1.4956704045145492</v>
      </c>
      <c r="J121" s="288"/>
      <c r="K121" s="287">
        <f>K120/(0.9*(0.9*($C$7/100))*($L$9*1000))</f>
        <v>2.194530279258192</v>
      </c>
      <c r="L121" s="288"/>
      <c r="M121" s="287">
        <f>M120/(0.9*(0.9*($C$7/100))*($L$9*1000))</f>
        <v>3.07277385907584</v>
      </c>
      <c r="N121" s="288"/>
      <c r="O121" s="287">
        <f>O120/(0.9*(0.9*($C$7/100))*($L$9*1000))</f>
        <v>2.0078933593885608</v>
      </c>
      <c r="P121" s="288"/>
      <c r="Q121" s="287">
        <f>Q120/(0.9*(0.9*($C$7/100))*($L$9*1000))</f>
        <v>2.974053848979044</v>
      </c>
      <c r="R121" s="288"/>
      <c r="S121" s="287">
        <f>S120/(0.9*(0.9*($C$7/100))*($L$9*1000))</f>
        <v>2.5325487730410572</v>
      </c>
      <c r="T121" s="288"/>
      <c r="U121" s="287">
        <f>U120/(0.9*(0.9*($C$7/100))*($L$9*1000))</f>
        <v>0.46226623151856788</v>
      </c>
      <c r="V121" s="288"/>
    </row>
    <row r="122" spans="2:26" x14ac:dyDescent="0.25">
      <c r="B122" s="104" t="s">
        <v>98</v>
      </c>
      <c r="C122" s="281">
        <f>(C121*($L$9))/(0.85*$L$6*100)</f>
        <v>1.6545383224772961E-2</v>
      </c>
      <c r="D122" s="282"/>
      <c r="E122" s="281">
        <f>(E121*($L$9))/(0.85*$L$6*100)</f>
        <v>1.3434339811243508E-2</v>
      </c>
      <c r="F122" s="282"/>
      <c r="G122" s="281">
        <f>(G121*($L$9))/(0.85*$L$6*100)</f>
        <v>2.7935479573556569E-2</v>
      </c>
      <c r="H122" s="282"/>
      <c r="I122" s="281">
        <f>(I121*($L$9))/(0.85*$L$6*100)</f>
        <v>2.1095631343952124E-2</v>
      </c>
      <c r="J122" s="282"/>
      <c r="K122" s="281">
        <f>(K121*($L$9))/(0.85*$L$6*100)</f>
        <v>3.0952676207695051E-2</v>
      </c>
      <c r="L122" s="282"/>
      <c r="M122" s="281">
        <f>(M121*($L$9))/(0.85*$L$6*100)</f>
        <v>4.3339832317826982E-2</v>
      </c>
      <c r="N122" s="282"/>
      <c r="O122" s="281">
        <f>(O121*($L$9))/(0.85*$L$6*100)</f>
        <v>2.8320262244794996E-2</v>
      </c>
      <c r="P122" s="282"/>
      <c r="Q122" s="281">
        <f>(Q121*($L$9))/(0.85*$L$6*100)</f>
        <v>4.194743935946716E-2</v>
      </c>
      <c r="R122" s="282"/>
      <c r="S122" s="281">
        <f>(S121*($L$9))/(0.85*$L$6*100)</f>
        <v>3.5720246329265862E-2</v>
      </c>
      <c r="T122" s="282"/>
      <c r="U122" s="281">
        <f>(U121*($L$9))/(0.85*$L$6*100)</f>
        <v>6.5200180289980911E-3</v>
      </c>
      <c r="V122" s="282"/>
    </row>
    <row r="123" spans="2:26" ht="15.75" thickBot="1" x14ac:dyDescent="0.3">
      <c r="B123" s="105" t="s">
        <v>15</v>
      </c>
      <c r="C123" s="289">
        <f>ROUNDUP(C120/(0.9*(($C$7-C122/2)/100)*($L$9*1000)),2)</f>
        <v>1.06</v>
      </c>
      <c r="D123" s="290"/>
      <c r="E123" s="289">
        <f>ROUNDUP(E120/(0.9*(($C$7-E122/2)/100)*($L$9*1000)),2)</f>
        <v>0.86</v>
      </c>
      <c r="F123" s="290"/>
      <c r="G123" s="289">
        <f>ROUNDUP(G120/(0.9*(($C$7-G122/2)/100)*($L$9*1000)),2)</f>
        <v>1.79</v>
      </c>
      <c r="H123" s="290"/>
      <c r="I123" s="289">
        <f>ROUNDUP(I120/(0.9*(($C$7-I122/2)/100)*($L$9*1000)),2)</f>
        <v>1.35</v>
      </c>
      <c r="J123" s="290"/>
      <c r="K123" s="289">
        <f>ROUNDUP(K120/(0.9*(($C$7-K122/2)/100)*($L$9*1000)),2)</f>
        <v>1.98</v>
      </c>
      <c r="L123" s="290"/>
      <c r="M123" s="289">
        <f>ROUNDUP(M120/(0.9*(($C$7-M122/2)/100)*($L$9*1000)),2)</f>
        <v>2.7699999999999996</v>
      </c>
      <c r="N123" s="290"/>
      <c r="O123" s="289">
        <f>ROUNDUP(O120/(0.9*(($C$7-O122/2)/100)*($L$9*1000)),2)</f>
        <v>1.81</v>
      </c>
      <c r="P123" s="290"/>
      <c r="Q123" s="289">
        <f>ROUNDUP(Q120/(0.9*(($C$7-Q122/2)/100)*($L$9*1000)),2)</f>
        <v>2.69</v>
      </c>
      <c r="R123" s="290"/>
      <c r="S123" s="289">
        <f>ROUNDUP(S120/(0.9*(($C$7-S122/2)/100)*($L$9*1000)),2)</f>
        <v>2.2899999999999996</v>
      </c>
      <c r="T123" s="290"/>
      <c r="U123" s="289">
        <f>ROUNDUP(U120/(0.9*(($C$7-U122/2)/100)*($L$9*1000)),2)</f>
        <v>0.42</v>
      </c>
      <c r="V123" s="290"/>
    </row>
    <row r="124" spans="2:26" ht="16.5" thickBot="1" x14ac:dyDescent="0.3">
      <c r="B124" s="61" t="s">
        <v>113</v>
      </c>
      <c r="C124" s="279" t="str">
        <f>IF(C123&gt;$C$12,"$\phi"&amp;IF(VLOOKUP(VLOOKUP(C123,tablas!$S$3:$U$66,2,TRUE)&amp;VLOOKUP(C123,tablas!$S$3:$U$66,3,TRUE),tablas!$R$3:$S$66,2,FALSE)&lt;C123,VLOOKUP(C123+0.1,tablas!$S$3:$U$66,2,TRUE),VLOOKUP(C123,tablas!$S$3:$U$66,2,TRUE))&amp;"@"&amp;IF(VLOOKUP(VLOOKUP(C123,tablas!$S$3:$U$66,2,TRUE)&amp;VLOOKUP(C123,tablas!$S$3:$U$66,3,TRUE),tablas!$R$3:$S$66,2,FALSE)&lt;C123,VLOOKUP(C123+0.1,tablas!$S$3:$U$66,3,TRUE)&amp;"$",VLOOKUP(C123,tablas!$S$3:$U$66,3,TRUE)&amp;"$"),$C$13)</f>
        <v>$\phi8@17$</v>
      </c>
      <c r="D124" s="280"/>
      <c r="E124" s="279" t="str">
        <f>IF(E123&gt;$C$12,"$\phi"&amp;IF(VLOOKUP(VLOOKUP(E123,tablas!$S$3:$U$66,2,TRUE)&amp;VLOOKUP(E123,tablas!$S$3:$U$66,3,TRUE),tablas!$R$3:$S$66,2,FALSE)&lt;E123,VLOOKUP(E123+0.1,tablas!$S$3:$U$66,2,TRUE),VLOOKUP(E123,tablas!$S$3:$U$66,2,TRUE))&amp;"@"&amp;IF(VLOOKUP(VLOOKUP(E123,tablas!$S$3:$U$66,2,TRUE)&amp;VLOOKUP(E123,tablas!$S$3:$U$66,3,TRUE),tablas!$R$3:$S$66,2,FALSE)&lt;E123,VLOOKUP(E123+0.1,tablas!$S$3:$U$66,3,TRUE)&amp;"$",VLOOKUP(E123,tablas!$S$3:$U$66,3,TRUE)&amp;"$"),$C$13)</f>
        <v>$\phi8@17$</v>
      </c>
      <c r="F124" s="280"/>
      <c r="G124" s="279" t="str">
        <f>IF(G123&gt;$C$12,"$\phi"&amp;IF(VLOOKUP(VLOOKUP(G123,tablas!$S$3:$U$66,2,TRUE)&amp;VLOOKUP(G123,tablas!$S$3:$U$66,3,TRUE),tablas!$R$3:$S$66,2,FALSE)&lt;G123,VLOOKUP(G123+0.1,tablas!$S$3:$U$66,2,TRUE),VLOOKUP(G123,tablas!$S$3:$U$66,2,TRUE))&amp;"@"&amp;IF(VLOOKUP(VLOOKUP(G123,tablas!$S$3:$U$66,2,TRUE)&amp;VLOOKUP(G123,tablas!$S$3:$U$66,3,TRUE),tablas!$R$3:$S$66,2,FALSE)&lt;G123,VLOOKUP(G123+0.1,tablas!$S$3:$U$66,3,TRUE)&amp;"$",VLOOKUP(G123,tablas!$S$3:$U$66,3,TRUE)&amp;"$"),$C$13)</f>
        <v>$\phi8@17$</v>
      </c>
      <c r="H124" s="280"/>
      <c r="I124" s="279" t="str">
        <f>IF(I123&gt;$C$12,"$\phi"&amp;IF(VLOOKUP(VLOOKUP(I123,tablas!$S$3:$U$66,2,TRUE)&amp;VLOOKUP(I123,tablas!$S$3:$U$66,3,TRUE),tablas!$R$3:$S$66,2,FALSE)&lt;I123,VLOOKUP(I123+0.1,tablas!$S$3:$U$66,2,TRUE),VLOOKUP(I123,tablas!$S$3:$U$66,2,TRUE))&amp;"@"&amp;IF(VLOOKUP(VLOOKUP(I123,tablas!$S$3:$U$66,2,TRUE)&amp;VLOOKUP(I123,tablas!$S$3:$U$66,3,TRUE),tablas!$R$3:$S$66,2,FALSE)&lt;I123,VLOOKUP(I123+0.1,tablas!$S$3:$U$66,3,TRUE)&amp;"$",VLOOKUP(I123,tablas!$S$3:$U$66,3,TRUE)&amp;"$"),$C$13)</f>
        <v>$\phi8@17$</v>
      </c>
      <c r="J124" s="280"/>
      <c r="K124" s="279" t="str">
        <f>IF(K123&gt;$C$12,"$\phi"&amp;IF(VLOOKUP(VLOOKUP(K123,tablas!$S$3:$U$66,2,TRUE)&amp;VLOOKUP(K123,tablas!$S$3:$U$66,3,TRUE),tablas!$R$3:$S$66,2,FALSE)&lt;K123,VLOOKUP(K123+0.1,tablas!$S$3:$U$66,2,TRUE),VLOOKUP(K123,tablas!$S$3:$U$66,2,TRUE))&amp;"@"&amp;IF(VLOOKUP(VLOOKUP(K123,tablas!$S$3:$U$66,2,TRUE)&amp;VLOOKUP(K123,tablas!$S$3:$U$66,3,TRUE),tablas!$R$3:$S$66,2,FALSE)&lt;K123,VLOOKUP(K123+0.1,tablas!$S$3:$U$66,3,TRUE)&amp;"$",VLOOKUP(K123,tablas!$S$3:$U$66,3,TRUE)&amp;"$"),$C$13)</f>
        <v>$\phi8@17$</v>
      </c>
      <c r="L124" s="280"/>
      <c r="M124" s="279" t="str">
        <f>IF(M123&gt;$C$12,"$\phi"&amp;IF(VLOOKUP(VLOOKUP(M123,tablas!$S$3:$U$66,2,TRUE)&amp;VLOOKUP(M123,tablas!$S$3:$U$66,3,TRUE),tablas!$R$3:$S$66,2,FALSE)&lt;M123,VLOOKUP(M123+0.1,tablas!$S$3:$U$66,2,TRUE),VLOOKUP(M123,tablas!$S$3:$U$66,2,TRUE))&amp;"@"&amp;IF(VLOOKUP(VLOOKUP(M123,tablas!$S$3:$U$66,2,TRUE)&amp;VLOOKUP(M123,tablas!$S$3:$U$66,3,TRUE),tablas!$R$3:$S$66,2,FALSE)&lt;M123,VLOOKUP(M123+0.1,tablas!$S$3:$U$66,3,TRUE)&amp;"$",VLOOKUP(M123,tablas!$S$3:$U$66,3,TRUE)&amp;"$"),$C$13)</f>
        <v>$\phi8@17$</v>
      </c>
      <c r="N124" s="280"/>
      <c r="O124" s="279" t="str">
        <f>IF(O123&gt;$C$12,"$\phi"&amp;IF(VLOOKUP(VLOOKUP(O123,tablas!$S$3:$U$66,2,TRUE)&amp;VLOOKUP(O123,tablas!$S$3:$U$66,3,TRUE),tablas!$R$3:$S$66,2,FALSE)&lt;O123,VLOOKUP(O123+0.1,tablas!$S$3:$U$66,2,TRUE),VLOOKUP(O123,tablas!$S$3:$U$66,2,TRUE))&amp;"@"&amp;IF(VLOOKUP(VLOOKUP(O123,tablas!$S$3:$U$66,2,TRUE)&amp;VLOOKUP(O123,tablas!$S$3:$U$66,3,TRUE),tablas!$R$3:$S$66,2,FALSE)&lt;O123,VLOOKUP(O123+0.1,tablas!$S$3:$U$66,3,TRUE)&amp;"$",VLOOKUP(O123,tablas!$S$3:$U$66,3,TRUE)&amp;"$"),$C$13)</f>
        <v>$\phi8@17$</v>
      </c>
      <c r="P124" s="280"/>
      <c r="Q124" s="279" t="str">
        <f>IF(Q123&gt;$C$12,"$\phi"&amp;IF(VLOOKUP(VLOOKUP(Q123,tablas!$S$3:$U$66,2,TRUE)&amp;VLOOKUP(Q123,tablas!$S$3:$U$66,3,TRUE),tablas!$R$3:$S$66,2,FALSE)&lt;Q123,VLOOKUP(Q123+0.1,tablas!$S$3:$U$66,2,TRUE),VLOOKUP(Q123,tablas!$S$3:$U$66,2,TRUE))&amp;"@"&amp;IF(VLOOKUP(VLOOKUP(Q123,tablas!$S$3:$U$66,2,TRUE)&amp;VLOOKUP(Q123,tablas!$S$3:$U$66,3,TRUE),tablas!$R$3:$S$66,2,FALSE)&lt;Q123,VLOOKUP(Q123+0.1,tablas!$S$3:$U$66,3,TRUE)&amp;"$",VLOOKUP(Q123,tablas!$S$3:$U$66,3,TRUE)&amp;"$"),$C$13)</f>
        <v>$\phi8@17$</v>
      </c>
      <c r="R124" s="280"/>
      <c r="S124" s="279" t="str">
        <f>IF(S123&gt;$C$12,"$\phi"&amp;IF(VLOOKUP(VLOOKUP(S123,tablas!$S$3:$U$66,2,TRUE)&amp;VLOOKUP(S123,tablas!$S$3:$U$66,3,TRUE),tablas!$R$3:$S$66,2,FALSE)&lt;S123,VLOOKUP(S123+0.1,tablas!$S$3:$U$66,2,TRUE),VLOOKUP(S123,tablas!$S$3:$U$66,2,TRUE))&amp;"@"&amp;IF(VLOOKUP(VLOOKUP(S123,tablas!$S$3:$U$66,2,TRUE)&amp;VLOOKUP(S123,tablas!$S$3:$U$66,3,TRUE),tablas!$R$3:$S$66,2,FALSE)&lt;S123,VLOOKUP(S123+0.1,tablas!$S$3:$U$66,3,TRUE)&amp;"$",VLOOKUP(S123,tablas!$S$3:$U$66,3,TRUE)&amp;"$"),$C$13)</f>
        <v>$\phi8@17$</v>
      </c>
      <c r="T124" s="280"/>
      <c r="U124" s="279" t="str">
        <f>IF(U123&gt;$C$12,"$\phi"&amp;IF(VLOOKUP(VLOOKUP(U123,tablas!$S$3:$U$66,2,TRUE)&amp;VLOOKUP(U123,tablas!$S$3:$U$66,3,TRUE),tablas!$R$3:$S$66,2,FALSE)&lt;U123,VLOOKUP(U123+0.1,tablas!$S$3:$U$66,2,TRUE),VLOOKUP(U123,tablas!$S$3:$U$66,2,TRUE))&amp;"@"&amp;IF(VLOOKUP(VLOOKUP(U123,tablas!$S$3:$U$66,2,TRUE)&amp;VLOOKUP(U123,tablas!$S$3:$U$66,3,TRUE),tablas!$R$3:$S$66,2,FALSE)&lt;U123,VLOOKUP(U123+0.1,tablas!$S$3:$U$66,3,TRUE)&amp;"$",VLOOKUP(U123,tablas!$S$3:$U$66,3,TRUE)&amp;"$"),$C$13)</f>
        <v>$\phi8@17$</v>
      </c>
      <c r="V124" s="280"/>
    </row>
  </sheetData>
  <mergeCells count="208">
    <mergeCell ref="E4:F4"/>
    <mergeCell ref="H4:I4"/>
    <mergeCell ref="K4:L4"/>
    <mergeCell ref="C98:D98"/>
    <mergeCell ref="E98:F98"/>
    <mergeCell ref="G98:H98"/>
    <mergeCell ref="I98:J98"/>
    <mergeCell ref="K98:L98"/>
    <mergeCell ref="B92:C92"/>
    <mergeCell ref="C97:D97"/>
    <mergeCell ref="E97:F97"/>
    <mergeCell ref="G97:H97"/>
    <mergeCell ref="I97:J97"/>
    <mergeCell ref="K97:L97"/>
    <mergeCell ref="M98:N98"/>
    <mergeCell ref="O98:P98"/>
    <mergeCell ref="Q98:R98"/>
    <mergeCell ref="S98:T98"/>
    <mergeCell ref="U98:V98"/>
    <mergeCell ref="W98:X98"/>
    <mergeCell ref="S97:T97"/>
    <mergeCell ref="U97:V97"/>
    <mergeCell ref="W97:X97"/>
    <mergeCell ref="M97:N97"/>
    <mergeCell ref="O97:P97"/>
    <mergeCell ref="Q97:R97"/>
    <mergeCell ref="S100:T100"/>
    <mergeCell ref="U100:V100"/>
    <mergeCell ref="W100:X100"/>
    <mergeCell ref="S99:T99"/>
    <mergeCell ref="U99:V99"/>
    <mergeCell ref="W99:X99"/>
    <mergeCell ref="C100:D100"/>
    <mergeCell ref="E100:F100"/>
    <mergeCell ref="G100:H100"/>
    <mergeCell ref="I100:J100"/>
    <mergeCell ref="K100:L100"/>
    <mergeCell ref="C99:D99"/>
    <mergeCell ref="E99:F99"/>
    <mergeCell ref="G99:H99"/>
    <mergeCell ref="I99:J99"/>
    <mergeCell ref="K99:L99"/>
    <mergeCell ref="M99:N99"/>
    <mergeCell ref="O99:P99"/>
    <mergeCell ref="Q99:R99"/>
    <mergeCell ref="C102:D102"/>
    <mergeCell ref="E102:F102"/>
    <mergeCell ref="G102:H102"/>
    <mergeCell ref="I102:J102"/>
    <mergeCell ref="K102:L102"/>
    <mergeCell ref="C101:D101"/>
    <mergeCell ref="E101:F101"/>
    <mergeCell ref="G101:H101"/>
    <mergeCell ref="I101:J101"/>
    <mergeCell ref="K101:L101"/>
    <mergeCell ref="Y98:Z98"/>
    <mergeCell ref="E109:F109"/>
    <mergeCell ref="G109:H109"/>
    <mergeCell ref="I109:J109"/>
    <mergeCell ref="K109:L109"/>
    <mergeCell ref="Y97:Z97"/>
    <mergeCell ref="E108:F108"/>
    <mergeCell ref="G108:H108"/>
    <mergeCell ref="I108:J108"/>
    <mergeCell ref="K108:L108"/>
    <mergeCell ref="M108:N108"/>
    <mergeCell ref="O108:P108"/>
    <mergeCell ref="Q108:R108"/>
    <mergeCell ref="M102:N102"/>
    <mergeCell ref="O102:P102"/>
    <mergeCell ref="Q102:R102"/>
    <mergeCell ref="S102:T102"/>
    <mergeCell ref="U102:V102"/>
    <mergeCell ref="W102:X102"/>
    <mergeCell ref="S101:T101"/>
    <mergeCell ref="U101:V101"/>
    <mergeCell ref="W101:X101"/>
    <mergeCell ref="M101:N101"/>
    <mergeCell ref="O101:P101"/>
    <mergeCell ref="Y100:Z100"/>
    <mergeCell ref="E111:F111"/>
    <mergeCell ref="G111:H111"/>
    <mergeCell ref="I111:J111"/>
    <mergeCell ref="K111:L111"/>
    <mergeCell ref="Y99:Z99"/>
    <mergeCell ref="E110:F110"/>
    <mergeCell ref="G110:H110"/>
    <mergeCell ref="I110:J110"/>
    <mergeCell ref="K110:L110"/>
    <mergeCell ref="M110:N110"/>
    <mergeCell ref="O110:P110"/>
    <mergeCell ref="Q110:R110"/>
    <mergeCell ref="M109:N109"/>
    <mergeCell ref="O109:P109"/>
    <mergeCell ref="Q109:R109"/>
    <mergeCell ref="S109:T109"/>
    <mergeCell ref="U109:V109"/>
    <mergeCell ref="S108:T108"/>
    <mergeCell ref="U108:V108"/>
    <mergeCell ref="Q101:R101"/>
    <mergeCell ref="M100:N100"/>
    <mergeCell ref="O100:P100"/>
    <mergeCell ref="Q100:R100"/>
    <mergeCell ref="Y102:Z102"/>
    <mergeCell ref="E113:F113"/>
    <mergeCell ref="G113:H113"/>
    <mergeCell ref="I113:J113"/>
    <mergeCell ref="K113:L113"/>
    <mergeCell ref="Y101:Z101"/>
    <mergeCell ref="E112:F112"/>
    <mergeCell ref="G112:H112"/>
    <mergeCell ref="I112:J112"/>
    <mergeCell ref="K112:L112"/>
    <mergeCell ref="M112:N112"/>
    <mergeCell ref="O112:P112"/>
    <mergeCell ref="Q112:R112"/>
    <mergeCell ref="M111:N111"/>
    <mergeCell ref="O111:P111"/>
    <mergeCell ref="Q111:R111"/>
    <mergeCell ref="S111:T111"/>
    <mergeCell ref="U111:V111"/>
    <mergeCell ref="S110:T110"/>
    <mergeCell ref="U110:V110"/>
    <mergeCell ref="Y109:Z109"/>
    <mergeCell ref="W109:X109"/>
    <mergeCell ref="W108:X108"/>
    <mergeCell ref="C120:D120"/>
    <mergeCell ref="E120:F120"/>
    <mergeCell ref="G120:H120"/>
    <mergeCell ref="I120:J120"/>
    <mergeCell ref="K120:L120"/>
    <mergeCell ref="M120:N120"/>
    <mergeCell ref="Y108:Z108"/>
    <mergeCell ref="C119:D119"/>
    <mergeCell ref="E119:F119"/>
    <mergeCell ref="G119:H119"/>
    <mergeCell ref="I119:J119"/>
    <mergeCell ref="K119:L119"/>
    <mergeCell ref="M119:N119"/>
    <mergeCell ref="O119:P119"/>
    <mergeCell ref="M113:N113"/>
    <mergeCell ref="O113:P113"/>
    <mergeCell ref="Q113:R113"/>
    <mergeCell ref="S113:T113"/>
    <mergeCell ref="U113:V113"/>
    <mergeCell ref="S112:T112"/>
    <mergeCell ref="U112:V112"/>
    <mergeCell ref="Y111:Z111"/>
    <mergeCell ref="C108:D108"/>
    <mergeCell ref="C109:D109"/>
    <mergeCell ref="C122:D122"/>
    <mergeCell ref="E122:F122"/>
    <mergeCell ref="G122:H122"/>
    <mergeCell ref="I122:J122"/>
    <mergeCell ref="O120:P120"/>
    <mergeCell ref="Q120:R120"/>
    <mergeCell ref="S120:T120"/>
    <mergeCell ref="Y110:Z110"/>
    <mergeCell ref="C121:D121"/>
    <mergeCell ref="E121:F121"/>
    <mergeCell ref="G121:H121"/>
    <mergeCell ref="I121:J121"/>
    <mergeCell ref="K121:L121"/>
    <mergeCell ref="Q119:R119"/>
    <mergeCell ref="S119:T119"/>
    <mergeCell ref="Y113:Z113"/>
    <mergeCell ref="C110:D110"/>
    <mergeCell ref="C111:D111"/>
    <mergeCell ref="W113:X113"/>
    <mergeCell ref="W112:X112"/>
    <mergeCell ref="W111:X111"/>
    <mergeCell ref="W110:X110"/>
    <mergeCell ref="U119:V119"/>
    <mergeCell ref="U120:V120"/>
    <mergeCell ref="C124:D124"/>
    <mergeCell ref="E124:F124"/>
    <mergeCell ref="G124:H124"/>
    <mergeCell ref="I124:J124"/>
    <mergeCell ref="Y112:Z112"/>
    <mergeCell ref="C123:D123"/>
    <mergeCell ref="E123:F123"/>
    <mergeCell ref="G123:H123"/>
    <mergeCell ref="I123:J123"/>
    <mergeCell ref="K123:L123"/>
    <mergeCell ref="K122:L122"/>
    <mergeCell ref="M122:N122"/>
    <mergeCell ref="O122:P122"/>
    <mergeCell ref="Q122:R122"/>
    <mergeCell ref="S122:T122"/>
    <mergeCell ref="M121:N121"/>
    <mergeCell ref="O121:P121"/>
    <mergeCell ref="Q121:R121"/>
    <mergeCell ref="S121:T121"/>
    <mergeCell ref="U122:V122"/>
    <mergeCell ref="U123:V123"/>
    <mergeCell ref="U124:V124"/>
    <mergeCell ref="C112:D112"/>
    <mergeCell ref="C113:D113"/>
    <mergeCell ref="U121:V121"/>
    <mergeCell ref="K124:L124"/>
    <mergeCell ref="M124:N124"/>
    <mergeCell ref="O124:P124"/>
    <mergeCell ref="Q124:R124"/>
    <mergeCell ref="S124:T124"/>
    <mergeCell ref="M123:N123"/>
    <mergeCell ref="O123:P123"/>
    <mergeCell ref="Q123:R123"/>
    <mergeCell ref="S123:T123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E930-E379-496E-990D-32FE668831FC}">
  <dimension ref="A2:AG124"/>
  <sheetViews>
    <sheetView showGridLines="0" topLeftCell="A81" zoomScale="70" zoomScaleNormal="70" zoomScaleSheetLayoutView="30" workbookViewId="0">
      <selection activeCell="C96" sqref="C96:D96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26" width="17.140625" customWidth="1"/>
  </cols>
  <sheetData>
    <row r="2" spans="2:21" ht="18.75" x14ac:dyDescent="0.3">
      <c r="B2" s="52" t="s">
        <v>162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1" t="s">
        <v>19</v>
      </c>
      <c r="C4" s="110">
        <v>16</v>
      </c>
      <c r="E4" s="297" t="s">
        <v>29</v>
      </c>
      <c r="F4" s="298"/>
      <c r="H4" s="297" t="s">
        <v>30</v>
      </c>
      <c r="I4" s="298"/>
      <c r="K4" s="297" t="s">
        <v>39</v>
      </c>
      <c r="L4" s="298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164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3.06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07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$\phi8@17$</v>
      </c>
      <c r="I13" s="39"/>
      <c r="J13" s="39"/>
      <c r="K13" s="39"/>
      <c r="L13" s="39"/>
      <c r="M13" s="39"/>
      <c r="N13" s="39"/>
      <c r="O13" s="39"/>
      <c r="P13" s="107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07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08"/>
      <c r="K15" s="108"/>
      <c r="L15" s="108"/>
      <c r="M15" s="108"/>
      <c r="N15" s="108"/>
      <c r="O15" s="108"/>
      <c r="P15" s="108"/>
      <c r="Q15" s="108"/>
      <c r="T15" s="40"/>
      <c r="U15" s="41"/>
    </row>
    <row r="16" spans="2:21" hidden="1" x14ac:dyDescent="0.25">
      <c r="B16" s="63" t="s">
        <v>163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164</v>
      </c>
      <c r="I16" s="7">
        <v>3.06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165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164</v>
      </c>
      <c r="I17" s="7">
        <v>3.06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25">
      <c r="B18" s="63" t="s">
        <v>166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164</v>
      </c>
      <c r="I18" s="7">
        <v>3.06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3" t="s">
        <v>167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164</v>
      </c>
      <c r="I19" s="7">
        <v>3.06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3" t="s">
        <v>168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164</v>
      </c>
      <c r="I20" s="7">
        <v>3.06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3" t="s">
        <v>169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164</v>
      </c>
      <c r="I21" s="7">
        <v>3.06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3" t="s">
        <v>170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164</v>
      </c>
      <c r="I22" s="7">
        <v>3.06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3" t="s">
        <v>171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164</v>
      </c>
      <c r="I23" s="7">
        <v>3.06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3" t="s">
        <v>172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164</v>
      </c>
      <c r="I24" s="7">
        <v>3.06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3" t="s">
        <v>173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164</v>
      </c>
      <c r="I25" s="7">
        <v>3.06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3" t="s">
        <v>174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164</v>
      </c>
      <c r="I26" s="7">
        <v>3.06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3" t="s">
        <v>175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164</v>
      </c>
      <c r="I27" s="7">
        <v>3.06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3" t="s">
        <v>176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164</v>
      </c>
      <c r="I28" s="7">
        <v>3.06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3" t="s">
        <v>177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164</v>
      </c>
      <c r="I29" s="7">
        <v>3.06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3" t="s">
        <v>178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164</v>
      </c>
      <c r="I30" s="7">
        <v>3.06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3" t="s">
        <v>179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164</v>
      </c>
      <c r="I31" s="7">
        <v>3.06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3" t="s">
        <v>180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164</v>
      </c>
      <c r="I32" s="7">
        <v>3.06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1:24" hidden="1" x14ac:dyDescent="0.25">
      <c r="B33" s="63" t="s">
        <v>181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164</v>
      </c>
      <c r="I33" s="7">
        <v>3.06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1:24" hidden="1" x14ac:dyDescent="0.25">
      <c r="B34" s="63" t="s">
        <v>182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164</v>
      </c>
      <c r="I34" s="7">
        <v>3.06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1:24" hidden="1" x14ac:dyDescent="0.25">
      <c r="B35" s="63" t="s">
        <v>183</v>
      </c>
      <c r="C35" s="6">
        <v>0.74</v>
      </c>
      <c r="D35" s="6">
        <v>3.83</v>
      </c>
      <c r="E35" s="6">
        <v>16</v>
      </c>
      <c r="F35" s="109" t="s">
        <v>8</v>
      </c>
      <c r="G35" s="6">
        <v>300</v>
      </c>
      <c r="H35" s="6" t="s">
        <v>164</v>
      </c>
      <c r="I35" s="7">
        <v>3.06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1:24" hidden="1" x14ac:dyDescent="0.25">
      <c r="B36" s="63" t="s">
        <v>184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164</v>
      </c>
      <c r="I36" s="7">
        <v>3.06</v>
      </c>
      <c r="J36" s="64"/>
      <c r="K36" s="6"/>
      <c r="L36" s="6"/>
      <c r="M36" s="6"/>
      <c r="N36" s="109"/>
      <c r="O36" s="6"/>
      <c r="P36" s="6"/>
      <c r="Q36" s="6"/>
      <c r="T36" s="40"/>
      <c r="U36" s="41"/>
    </row>
    <row r="37" spans="1:24" ht="15.75" hidden="1" thickBot="1" x14ac:dyDescent="0.3">
      <c r="B37" s="66" t="s">
        <v>185</v>
      </c>
      <c r="C37" s="9">
        <v>2.3199999999999998</v>
      </c>
      <c r="D37" s="9">
        <v>4.3</v>
      </c>
      <c r="E37" s="9">
        <v>16</v>
      </c>
      <c r="F37" s="106" t="s">
        <v>10</v>
      </c>
      <c r="G37" s="9">
        <v>400</v>
      </c>
      <c r="H37" s="9" t="s">
        <v>164</v>
      </c>
      <c r="I37" s="10">
        <v>3.06</v>
      </c>
      <c r="P37" s="40"/>
      <c r="T37" s="40"/>
      <c r="U37" s="41"/>
    </row>
    <row r="38" spans="1:24" hidden="1" x14ac:dyDescent="0.25">
      <c r="B38" s="64"/>
      <c r="C38" s="6"/>
      <c r="D38" s="6"/>
      <c r="E38" s="6"/>
      <c r="F38" s="109"/>
      <c r="G38" s="6"/>
      <c r="H38" s="6"/>
      <c r="I38" s="6"/>
      <c r="P38" s="40"/>
      <c r="T38" s="40"/>
      <c r="U38" s="41"/>
    </row>
    <row r="39" spans="1:24" hidden="1" x14ac:dyDescent="0.25">
      <c r="B39" s="64"/>
      <c r="C39" s="6"/>
      <c r="D39" s="6"/>
      <c r="E39" s="6"/>
      <c r="F39" s="109"/>
      <c r="G39" s="6"/>
      <c r="H39" s="6"/>
      <c r="I39" s="6"/>
      <c r="P39" s="40"/>
      <c r="T39" s="40"/>
      <c r="U39" s="41"/>
    </row>
    <row r="40" spans="1:24" hidden="1" x14ac:dyDescent="0.25">
      <c r="B40" s="64"/>
      <c r="C40" s="6"/>
      <c r="D40" s="6"/>
      <c r="E40" s="6"/>
      <c r="F40" s="109"/>
      <c r="G40" s="6"/>
      <c r="H40" s="6"/>
      <c r="I40" s="6"/>
      <c r="P40" s="40"/>
      <c r="T40" s="40"/>
      <c r="U40" s="41"/>
    </row>
    <row r="41" spans="1:24" hidden="1" x14ac:dyDescent="0.25">
      <c r="B41" s="64"/>
      <c r="C41" s="6"/>
      <c r="D41" s="6"/>
      <c r="E41" s="6"/>
      <c r="F41" s="109"/>
      <c r="G41" s="6"/>
      <c r="H41" s="6"/>
      <c r="I41" s="6"/>
      <c r="P41" s="40"/>
      <c r="T41" s="40"/>
      <c r="U41" s="41"/>
    </row>
    <row r="42" spans="1:24" hidden="1" x14ac:dyDescent="0.25">
      <c r="B42" s="64"/>
      <c r="C42" s="6"/>
      <c r="D42" s="6"/>
      <c r="E42" s="6"/>
      <c r="F42" s="109"/>
      <c r="G42" s="6"/>
      <c r="H42" s="6"/>
      <c r="I42" s="6"/>
      <c r="P42" s="40"/>
      <c r="T42" s="40"/>
      <c r="U42" s="41"/>
    </row>
    <row r="43" spans="1:24" hidden="1" x14ac:dyDescent="0.25">
      <c r="B43" s="64"/>
      <c r="C43" s="6"/>
      <c r="D43" s="6"/>
      <c r="E43" s="6"/>
      <c r="F43" s="109"/>
      <c r="G43" s="6"/>
      <c r="H43" s="6"/>
      <c r="I43" s="6"/>
      <c r="P43" s="40"/>
      <c r="T43" s="40"/>
      <c r="U43" s="41"/>
    </row>
    <row r="44" spans="1:24" hidden="1" x14ac:dyDescent="0.25">
      <c r="A44" s="39"/>
      <c r="B44" s="64"/>
      <c r="C44" s="6"/>
      <c r="D44" s="6"/>
      <c r="E44" s="6"/>
      <c r="F44" s="109"/>
      <c r="G44" s="6"/>
      <c r="H44" s="6"/>
      <c r="I44" s="6"/>
      <c r="P44" s="40"/>
      <c r="T44" s="40"/>
      <c r="U44" s="41"/>
    </row>
    <row r="45" spans="1:24" ht="15.75" thickBot="1" x14ac:dyDescent="0.3">
      <c r="A45" s="39"/>
      <c r="B45" s="64"/>
      <c r="C45" s="6"/>
      <c r="D45" s="6"/>
      <c r="E45" s="6"/>
      <c r="F45" s="109"/>
      <c r="G45" s="6"/>
      <c r="H45" s="6"/>
      <c r="I45" s="6"/>
      <c r="P45" s="40"/>
      <c r="T45" s="40"/>
      <c r="U45" s="41"/>
    </row>
    <row r="46" spans="1:24" ht="15.75" thickBot="1" x14ac:dyDescent="0.3">
      <c r="B46" s="73" t="s">
        <v>43</v>
      </c>
      <c r="C46" s="74" t="s">
        <v>163</v>
      </c>
      <c r="D46" s="74" t="s">
        <v>165</v>
      </c>
      <c r="E46" s="74" t="s">
        <v>166</v>
      </c>
      <c r="F46" s="74" t="s">
        <v>167</v>
      </c>
      <c r="G46" s="74" t="s">
        <v>168</v>
      </c>
      <c r="H46" s="74" t="s">
        <v>169</v>
      </c>
      <c r="I46" s="74" t="s">
        <v>170</v>
      </c>
      <c r="J46" s="74" t="s">
        <v>171</v>
      </c>
      <c r="K46" s="74" t="s">
        <v>172</v>
      </c>
      <c r="L46" s="74" t="s">
        <v>173</v>
      </c>
      <c r="M46" s="74" t="s">
        <v>174</v>
      </c>
      <c r="N46" s="74" t="s">
        <v>175</v>
      </c>
      <c r="O46" s="74" t="s">
        <v>176</v>
      </c>
      <c r="P46" s="74" t="s">
        <v>177</v>
      </c>
      <c r="Q46" s="74" t="s">
        <v>178</v>
      </c>
      <c r="R46" s="74" t="s">
        <v>179</v>
      </c>
      <c r="S46" s="74" t="s">
        <v>180</v>
      </c>
      <c r="T46" s="74" t="s">
        <v>181</v>
      </c>
      <c r="U46" s="74" t="s">
        <v>182</v>
      </c>
      <c r="V46" s="74" t="s">
        <v>183</v>
      </c>
      <c r="W46" s="74" t="s">
        <v>184</v>
      </c>
      <c r="X46" s="74" t="s">
        <v>185</v>
      </c>
    </row>
    <row r="47" spans="1:24" ht="15.75" thickBot="1" x14ac:dyDescent="0.3">
      <c r="B47" s="71" t="s">
        <v>95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72"/>
      <c r="X47" s="72"/>
    </row>
    <row r="48" spans="1:24" x14ac:dyDescent="0.25">
      <c r="B48" s="94" t="s">
        <v>81</v>
      </c>
      <c r="C48" s="76">
        <f>VLOOKUP(C$46,$B$16:$H$37,2)</f>
        <v>6.05</v>
      </c>
      <c r="D48" s="76">
        <f t="shared" ref="D48:X48" si="0">VLOOKUP(D$46,$B$16:$H$37,2)</f>
        <v>4.6500000000000004</v>
      </c>
      <c r="E48" s="76">
        <f t="shared" si="0"/>
        <v>4.6500000000000004</v>
      </c>
      <c r="F48" s="76">
        <f t="shared" si="0"/>
        <v>6.05</v>
      </c>
      <c r="G48" s="76">
        <f t="shared" si="0"/>
        <v>5.82</v>
      </c>
      <c r="H48" s="76">
        <f t="shared" si="0"/>
        <v>5</v>
      </c>
      <c r="I48" s="76">
        <f t="shared" si="0"/>
        <v>2.1</v>
      </c>
      <c r="J48" s="76">
        <f t="shared" si="0"/>
        <v>1.4</v>
      </c>
      <c r="K48" s="76">
        <f t="shared" si="0"/>
        <v>2.9</v>
      </c>
      <c r="L48" s="76">
        <f t="shared" si="0"/>
        <v>5</v>
      </c>
      <c r="M48" s="76">
        <f t="shared" si="0"/>
        <v>5.82</v>
      </c>
      <c r="N48" s="76">
        <f t="shared" si="0"/>
        <v>1.51</v>
      </c>
      <c r="O48" s="76">
        <f t="shared" si="0"/>
        <v>1.51</v>
      </c>
      <c r="P48" s="76">
        <f t="shared" si="0"/>
        <v>1.51</v>
      </c>
      <c r="Q48" s="76">
        <f t="shared" si="0"/>
        <v>1.51</v>
      </c>
      <c r="R48" s="76">
        <f t="shared" si="0"/>
        <v>1.04</v>
      </c>
      <c r="S48" s="76">
        <f t="shared" si="0"/>
        <v>1.04</v>
      </c>
      <c r="T48" s="76">
        <f t="shared" si="0"/>
        <v>1.34</v>
      </c>
      <c r="U48" s="76">
        <f t="shared" si="0"/>
        <v>1.34</v>
      </c>
      <c r="V48" s="76">
        <f t="shared" si="0"/>
        <v>0.74</v>
      </c>
      <c r="W48" s="76">
        <f t="shared" si="0"/>
        <v>0.7</v>
      </c>
      <c r="X48" s="76">
        <f t="shared" si="0"/>
        <v>2.3199999999999998</v>
      </c>
    </row>
    <row r="49" spans="2:33" x14ac:dyDescent="0.25">
      <c r="B49" s="94" t="s">
        <v>82</v>
      </c>
      <c r="C49" s="76">
        <f>VLOOKUP(C$46,$B$16:$H$37,3)</f>
        <v>10</v>
      </c>
      <c r="D49" s="76">
        <f t="shared" ref="D49:X49" si="1">VLOOKUP(D$46,$B$16:$H$37,3)</f>
        <v>5.6</v>
      </c>
      <c r="E49" s="76">
        <f t="shared" si="1"/>
        <v>5.6</v>
      </c>
      <c r="F49" s="76">
        <f t="shared" si="1"/>
        <v>7.89</v>
      </c>
      <c r="G49" s="76">
        <f t="shared" si="1"/>
        <v>6.96</v>
      </c>
      <c r="H49" s="76">
        <f t="shared" si="1"/>
        <v>5.0199999999999996</v>
      </c>
      <c r="I49" s="76">
        <f t="shared" si="1"/>
        <v>4.04</v>
      </c>
      <c r="J49" s="76">
        <f t="shared" si="1"/>
        <v>11.2</v>
      </c>
      <c r="K49" s="76">
        <f t="shared" si="1"/>
        <v>6.36</v>
      </c>
      <c r="L49" s="76">
        <f t="shared" si="1"/>
        <v>5.0199999999999996</v>
      </c>
      <c r="M49" s="76">
        <f t="shared" si="1"/>
        <v>6.49</v>
      </c>
      <c r="N49" s="76">
        <f t="shared" si="1"/>
        <v>5.33</v>
      </c>
      <c r="O49" s="76">
        <f t="shared" si="1"/>
        <v>5.6</v>
      </c>
      <c r="P49" s="76">
        <f t="shared" si="1"/>
        <v>5.6</v>
      </c>
      <c r="Q49" s="76">
        <f t="shared" si="1"/>
        <v>5.25</v>
      </c>
      <c r="R49" s="76">
        <f t="shared" si="1"/>
        <v>3.83</v>
      </c>
      <c r="S49" s="76">
        <f t="shared" si="1"/>
        <v>3.83</v>
      </c>
      <c r="T49" s="76">
        <f t="shared" si="1"/>
        <v>7.01</v>
      </c>
      <c r="U49" s="76">
        <f t="shared" si="1"/>
        <v>7.09</v>
      </c>
      <c r="V49" s="76">
        <f t="shared" si="1"/>
        <v>3.83</v>
      </c>
      <c r="W49" s="76">
        <f t="shared" si="1"/>
        <v>3.83</v>
      </c>
      <c r="X49" s="76">
        <f t="shared" si="1"/>
        <v>4.3</v>
      </c>
    </row>
    <row r="50" spans="2:33" x14ac:dyDescent="0.25">
      <c r="B50" s="97" t="s">
        <v>86</v>
      </c>
      <c r="C50" s="76">
        <f>ROUNDUP((C54*C48*100)/C55+$C$5,0)</f>
        <v>9</v>
      </c>
      <c r="D50" s="76">
        <f t="shared" ref="D50:X50" si="2">ROUNDUP((D54*D48*100)/D55+$C$5,0)</f>
        <v>10</v>
      </c>
      <c r="E50" s="76">
        <f t="shared" si="2"/>
        <v>10</v>
      </c>
      <c r="F50" s="76">
        <f t="shared" si="2"/>
        <v>12</v>
      </c>
      <c r="G50" s="76">
        <f t="shared" si="2"/>
        <v>12</v>
      </c>
      <c r="H50" s="76">
        <f t="shared" si="2"/>
        <v>10</v>
      </c>
      <c r="I50" s="76">
        <f t="shared" si="2"/>
        <v>7</v>
      </c>
      <c r="J50" s="76">
        <f t="shared" si="2"/>
        <v>5</v>
      </c>
      <c r="K50" s="76">
        <f t="shared" si="2"/>
        <v>7</v>
      </c>
      <c r="L50" s="76">
        <f t="shared" si="2"/>
        <v>10</v>
      </c>
      <c r="M50" s="76">
        <f t="shared" si="2"/>
        <v>12</v>
      </c>
      <c r="N50" s="76">
        <f t="shared" si="2"/>
        <v>6</v>
      </c>
      <c r="O50" s="76">
        <f t="shared" si="2"/>
        <v>6</v>
      </c>
      <c r="P50" s="76">
        <f t="shared" si="2"/>
        <v>6</v>
      </c>
      <c r="Q50" s="76">
        <f t="shared" si="2"/>
        <v>6</v>
      </c>
      <c r="R50" s="76">
        <f t="shared" si="2"/>
        <v>5</v>
      </c>
      <c r="S50" s="76">
        <f t="shared" si="2"/>
        <v>5</v>
      </c>
      <c r="T50" s="76">
        <f t="shared" si="2"/>
        <v>6</v>
      </c>
      <c r="U50" s="76">
        <f t="shared" si="2"/>
        <v>6</v>
      </c>
      <c r="V50" s="76">
        <f t="shared" si="2"/>
        <v>4</v>
      </c>
      <c r="W50" s="76">
        <f t="shared" si="2"/>
        <v>4</v>
      </c>
      <c r="X50" s="76">
        <f t="shared" si="2"/>
        <v>6</v>
      </c>
    </row>
    <row r="51" spans="2:33" ht="15.75" thickBot="1" x14ac:dyDescent="0.3">
      <c r="B51" s="98" t="s">
        <v>0</v>
      </c>
      <c r="C51" s="113">
        <f>VLOOKUP(C$46,$B$16:$I$37,5)</f>
        <v>6</v>
      </c>
      <c r="D51" s="113">
        <f t="shared" ref="D51:X51" si="3">VLOOKUP(D$46,$B$16:$I$37,5)</f>
        <v>6</v>
      </c>
      <c r="E51" s="113">
        <f t="shared" si="3"/>
        <v>6</v>
      </c>
      <c r="F51" s="113">
        <f t="shared" si="3"/>
        <v>6</v>
      </c>
      <c r="G51" s="113">
        <f t="shared" si="3"/>
        <v>6</v>
      </c>
      <c r="H51" s="113">
        <f t="shared" si="3"/>
        <v>6</v>
      </c>
      <c r="I51" s="113" t="str">
        <f t="shared" si="3"/>
        <v>5b</v>
      </c>
      <c r="J51" s="113">
        <f t="shared" si="3"/>
        <v>6</v>
      </c>
      <c r="K51" s="113">
        <f t="shared" si="3"/>
        <v>6</v>
      </c>
      <c r="L51" s="113">
        <f t="shared" si="3"/>
        <v>6</v>
      </c>
      <c r="M51" s="113">
        <f t="shared" si="3"/>
        <v>6</v>
      </c>
      <c r="N51" s="113" t="str">
        <f t="shared" si="3"/>
        <v>2a</v>
      </c>
      <c r="O51" s="113" t="str">
        <f t="shared" si="3"/>
        <v>5b</v>
      </c>
      <c r="P51" s="113" t="str">
        <f t="shared" si="3"/>
        <v>5b</v>
      </c>
      <c r="Q51" s="113" t="str">
        <f t="shared" si="3"/>
        <v>2a</v>
      </c>
      <c r="R51" s="113" t="str">
        <f t="shared" si="3"/>
        <v>2a</v>
      </c>
      <c r="S51" s="113" t="str">
        <f t="shared" si="3"/>
        <v>2a</v>
      </c>
      <c r="T51" s="113" t="str">
        <f t="shared" si="3"/>
        <v>2a</v>
      </c>
      <c r="U51" s="113" t="str">
        <f t="shared" si="3"/>
        <v>2a</v>
      </c>
      <c r="V51" s="113" t="str">
        <f t="shared" si="3"/>
        <v>2a</v>
      </c>
      <c r="W51" s="113" t="str">
        <f t="shared" si="3"/>
        <v>2a</v>
      </c>
      <c r="X51" s="113" t="str">
        <f t="shared" si="3"/>
        <v>5b</v>
      </c>
    </row>
    <row r="52" spans="2:33" ht="15.75" thickBot="1" x14ac:dyDescent="0.3">
      <c r="B52" s="71" t="s">
        <v>94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72"/>
      <c r="X52" s="72"/>
    </row>
    <row r="53" spans="2:33" x14ac:dyDescent="0.25">
      <c r="B53" s="97" t="s">
        <v>84</v>
      </c>
      <c r="C53" s="256">
        <f t="shared" ref="C53:X53" si="4">ROUNDUP(C49/C48,1)</f>
        <v>1.7000000000000002</v>
      </c>
      <c r="D53" s="80">
        <f t="shared" si="4"/>
        <v>1.3</v>
      </c>
      <c r="E53" s="80">
        <f t="shared" si="4"/>
        <v>1.3</v>
      </c>
      <c r="F53" s="80">
        <f t="shared" si="4"/>
        <v>1.4000000000000001</v>
      </c>
      <c r="G53" s="80">
        <f t="shared" si="4"/>
        <v>1.2000000000000002</v>
      </c>
      <c r="H53" s="80">
        <f t="shared" si="4"/>
        <v>1.1000000000000001</v>
      </c>
      <c r="I53" s="80">
        <f t="shared" si="4"/>
        <v>2</v>
      </c>
      <c r="J53" s="80">
        <f t="shared" si="4"/>
        <v>8</v>
      </c>
      <c r="K53" s="80">
        <f t="shared" si="4"/>
        <v>2.2000000000000002</v>
      </c>
      <c r="L53" s="80">
        <f t="shared" si="4"/>
        <v>1.1000000000000001</v>
      </c>
      <c r="M53" s="80">
        <f t="shared" si="4"/>
        <v>1.2000000000000002</v>
      </c>
      <c r="N53" s="80">
        <f t="shared" si="4"/>
        <v>3.6</v>
      </c>
      <c r="O53" s="80">
        <f t="shared" si="4"/>
        <v>3.8000000000000003</v>
      </c>
      <c r="P53" s="80">
        <f t="shared" si="4"/>
        <v>3.8000000000000003</v>
      </c>
      <c r="Q53" s="80">
        <f t="shared" si="4"/>
        <v>3.5</v>
      </c>
      <c r="R53" s="80">
        <f t="shared" si="4"/>
        <v>3.7</v>
      </c>
      <c r="S53" s="80">
        <f t="shared" si="4"/>
        <v>3.7</v>
      </c>
      <c r="T53" s="80">
        <f t="shared" si="4"/>
        <v>5.3</v>
      </c>
      <c r="U53" s="80">
        <f t="shared" si="4"/>
        <v>5.3</v>
      </c>
      <c r="V53" s="80">
        <f t="shared" si="4"/>
        <v>5.1999999999999993</v>
      </c>
      <c r="W53" s="80">
        <f t="shared" si="4"/>
        <v>5.5</v>
      </c>
      <c r="X53" s="256">
        <f t="shared" si="4"/>
        <v>1.9000000000000001</v>
      </c>
    </row>
    <row r="54" spans="2:33" x14ac:dyDescent="0.25">
      <c r="B54" s="97" t="s">
        <v>337</v>
      </c>
      <c r="C54" s="76">
        <f>IF(C53&gt;1.5,VLOOKUP(C51&amp;1.5,tablas!$M$3:$P$56,4,FALSE),VLOOKUP(C51&amp;C53,tablas!$M$3:$P$56,4,FALSE))</f>
        <v>0.57999999999999996</v>
      </c>
      <c r="D54" s="76">
        <f>IF(D53&gt;1.5,VLOOKUP(D51&amp;1.5,tablas!$M$3:$P$56,4,FALSE),VLOOKUP(D51&amp;D53,tablas!$M$3:$P$56,4,FALSE))</f>
        <v>0.56000000000000005</v>
      </c>
      <c r="E54" s="76">
        <f>IF(E53&gt;1.5,VLOOKUP(E51&amp;1.5,tablas!$M$3:$P$56,4,FALSE),VLOOKUP(E51&amp;E53,tablas!$M$3:$P$56,4,FALSE))</f>
        <v>0.56000000000000005</v>
      </c>
      <c r="F54" s="76">
        <f>IF(F53&gt;1.5,VLOOKUP(F51&amp;1.5,tablas!$M$3:$P$56,4,FALSE),VLOOKUP(F51&amp;F53,tablas!$M$3:$P$56,4,FALSE))</f>
        <v>0.56999999999999995</v>
      </c>
      <c r="G54" s="76">
        <f>IF(G53&gt;1.5,VLOOKUP(G51&amp;1.5,tablas!$M$3:$P$56,4,FALSE),VLOOKUP(G51&amp;G53,tablas!$M$3:$P$56,4,FALSE))</f>
        <v>0.56000000000000005</v>
      </c>
      <c r="H54" s="76">
        <f>IF(H53&gt;1.5,VLOOKUP(H51&amp;1.5,tablas!$M$3:$P$56,4,FALSE),VLOOKUP(H51&amp;H53,tablas!$M$3:$P$56,4,FALSE))</f>
        <v>0.55000000000000004</v>
      </c>
      <c r="I54" s="76">
        <f>IF(I53&gt;1.5,VLOOKUP(I51&amp;1.5,tablas!$M$3:$P$56,4,FALSE),VLOOKUP(I51&amp;I53,tablas!$M$3:$P$56,4,FALSE))</f>
        <v>0.75</v>
      </c>
      <c r="J54" s="76">
        <f>IF(J53&gt;1.5,VLOOKUP(J51&amp;1.5,tablas!$M$3:$P$56,4,FALSE),VLOOKUP(J51&amp;J53,tablas!$M$3:$P$56,4,FALSE))</f>
        <v>0.57999999999999996</v>
      </c>
      <c r="K54" s="76">
        <f>IF(K53&gt;1.5,VLOOKUP(K51&amp;1.5,tablas!$M$3:$P$56,4,FALSE),VLOOKUP(K51&amp;K53,tablas!$M$3:$P$56,4,FALSE))</f>
        <v>0.57999999999999996</v>
      </c>
      <c r="L54" s="76">
        <f>IF(L53&gt;1.5,VLOOKUP(L51&amp;1.5,tablas!$M$3:$P$56,4,FALSE),VLOOKUP(L51&amp;L53,tablas!$M$3:$P$56,4,FALSE))</f>
        <v>0.55000000000000004</v>
      </c>
      <c r="M54" s="76">
        <f>IF(M53&gt;1.5,VLOOKUP(M51&amp;1.5,tablas!$M$3:$P$56,4,FALSE),VLOOKUP(M51&amp;M53,tablas!$M$3:$P$56,4,FALSE))</f>
        <v>0.56000000000000005</v>
      </c>
      <c r="N54" s="76">
        <f>IF(N53&gt;1.5,VLOOKUP(N51&amp;1.5,tablas!$M$3:$P$56,4,FALSE),VLOOKUP(N51&amp;N53,tablas!$M$3:$P$56,4,FALSE))</f>
        <v>0.8</v>
      </c>
      <c r="O54" s="76">
        <f>IF(O53&gt;1.5,VLOOKUP(O51&amp;1.5,tablas!$M$3:$P$56,4,FALSE),VLOOKUP(O51&amp;O53,tablas!$M$3:$P$56,4,FALSE))</f>
        <v>0.75</v>
      </c>
      <c r="P54" s="76">
        <f>IF(P53&gt;1.5,VLOOKUP(P51&amp;1.5,tablas!$M$3:$P$56,4,FALSE),VLOOKUP(P51&amp;P53,tablas!$M$3:$P$56,4,FALSE))</f>
        <v>0.75</v>
      </c>
      <c r="Q54" s="76">
        <f>IF(Q53&gt;1.5,VLOOKUP(Q51&amp;1.5,tablas!$M$3:$P$56,4,FALSE),VLOOKUP(Q51&amp;Q53,tablas!$M$3:$P$56,4,FALSE))</f>
        <v>0.8</v>
      </c>
      <c r="R54" s="76">
        <f>IF(R53&gt;1.5,VLOOKUP(R51&amp;1.5,tablas!$M$3:$P$56,4,FALSE),VLOOKUP(R51&amp;R53,tablas!$M$3:$P$56,4,FALSE))</f>
        <v>0.8</v>
      </c>
      <c r="S54" s="76">
        <f>IF(S53&gt;1.5,VLOOKUP(S51&amp;1.5,tablas!$M$3:$P$56,4,FALSE),VLOOKUP(S51&amp;S53,tablas!$M$3:$P$56,4,FALSE))</f>
        <v>0.8</v>
      </c>
      <c r="T54" s="76">
        <f>IF(T53&gt;1.5,VLOOKUP(T51&amp;1.5,tablas!$M$3:$P$56,4,FALSE),VLOOKUP(T51&amp;T53,tablas!$M$3:$P$56,4,FALSE))</f>
        <v>0.8</v>
      </c>
      <c r="U54" s="76">
        <f>IF(U53&gt;1.5,VLOOKUP(U51&amp;1.5,tablas!$M$3:$P$56,4,FALSE),VLOOKUP(U51&amp;U53,tablas!$M$3:$P$56,4,FALSE))</f>
        <v>0.8</v>
      </c>
      <c r="V54" s="76">
        <f>IF(V53&gt;1.5,VLOOKUP(V51&amp;1.5,tablas!$M$3:$P$56,4,FALSE),VLOOKUP(V51&amp;V53,tablas!$M$3:$P$56,4,FALSE))</f>
        <v>0.8</v>
      </c>
      <c r="W54" s="76">
        <f>IF(W53&gt;1.5,VLOOKUP(W51&amp;1.5,tablas!$M$3:$P$56,4,FALSE),VLOOKUP(W51&amp;W53,tablas!$M$3:$P$56,4,FALSE))</f>
        <v>0.8</v>
      </c>
      <c r="X54" s="76">
        <f>IF(X53&gt;1.5,VLOOKUP(X51&amp;1.5,tablas!$M$3:$P$56,4,FALSE),VLOOKUP(X51&amp;X53,tablas!$M$3:$P$56,4,FALSE))</f>
        <v>0.75</v>
      </c>
      <c r="Y54" s="193"/>
      <c r="Z54" s="193"/>
      <c r="AA54" s="193"/>
      <c r="AB54" s="193"/>
      <c r="AC54" s="193"/>
      <c r="AD54" s="193"/>
      <c r="AE54" s="193"/>
      <c r="AF54" s="39"/>
      <c r="AG54" s="39"/>
    </row>
    <row r="55" spans="2:33" x14ac:dyDescent="0.25">
      <c r="B55" s="97" t="s">
        <v>85</v>
      </c>
      <c r="C55" s="76">
        <v>53</v>
      </c>
      <c r="D55" s="76">
        <v>35</v>
      </c>
      <c r="E55" s="76">
        <v>35</v>
      </c>
      <c r="F55" s="76">
        <v>35</v>
      </c>
      <c r="G55" s="76">
        <v>35</v>
      </c>
      <c r="H55" s="76">
        <v>35</v>
      </c>
      <c r="I55" s="76">
        <v>35</v>
      </c>
      <c r="J55" s="76">
        <v>35</v>
      </c>
      <c r="K55" s="76">
        <v>35</v>
      </c>
      <c r="L55" s="76">
        <v>35</v>
      </c>
      <c r="M55" s="76">
        <v>35</v>
      </c>
      <c r="N55" s="76">
        <v>35</v>
      </c>
      <c r="O55" s="76">
        <v>35</v>
      </c>
      <c r="P55" s="76">
        <v>35</v>
      </c>
      <c r="Q55" s="76">
        <v>35</v>
      </c>
      <c r="R55" s="76">
        <v>35</v>
      </c>
      <c r="S55" s="76">
        <v>35</v>
      </c>
      <c r="T55" s="76">
        <v>35</v>
      </c>
      <c r="U55" s="76">
        <v>35</v>
      </c>
      <c r="V55" s="76">
        <v>35</v>
      </c>
      <c r="W55" s="76">
        <v>35</v>
      </c>
      <c r="X55" s="76">
        <v>53</v>
      </c>
    </row>
    <row r="56" spans="2:33" x14ac:dyDescent="0.25">
      <c r="B56" s="97" t="s">
        <v>11</v>
      </c>
      <c r="C56" s="76">
        <f>IF(C53&lt;=2,VLOOKUP(C51&amp;C53-0.1,tablas!$B$3:$K$92,4,FALSE),"Franja de losa")</f>
        <v>1</v>
      </c>
      <c r="D56" s="76">
        <f>IF(D53&lt;=2,VLOOKUP(D51&amp;D53,tablas!$B$3:$K$92,4,FALSE),"Franja de losa")</f>
        <v>1</v>
      </c>
      <c r="E56" s="76">
        <f>IF(E53&lt;=2,VLOOKUP(E51&amp;E53,tablas!$B$3:$K$92,4,FALSE),"Franja de losa")</f>
        <v>1</v>
      </c>
      <c r="F56" s="76">
        <f>IF(F53&lt;=2,VLOOKUP(F51&amp;F53,tablas!$B$3:$K$92,4,FALSE),"Franja de losa")</f>
        <v>1</v>
      </c>
      <c r="G56" s="76">
        <f>IF(G53&lt;=2,VLOOKUP(G51&amp;G53,tablas!$B$3:$K$92,4,FALSE),"Franja de losa")</f>
        <v>1</v>
      </c>
      <c r="H56" s="76">
        <f>IF(H53&lt;=2,VLOOKUP(H51&amp;H53,tablas!$B$3:$K$92,4,FALSE),"Franja de losa")</f>
        <v>1</v>
      </c>
      <c r="I56" s="76">
        <f>IF(I53&lt;=2,VLOOKUP(I51&amp;I53,tablas!$B$3:$K$92,4,FALSE),"Franja de losa")</f>
        <v>1</v>
      </c>
      <c r="J56" s="76" t="str">
        <f>IF(J53&lt;=2,VLOOKUP(J51&amp;J53,tablas!$B$3:$K$92,4,FALSE),"Franja de losa")</f>
        <v>Franja de losa</v>
      </c>
      <c r="K56" s="76" t="str">
        <f>IF(K53&lt;=2,VLOOKUP(K51&amp;K53,tablas!$B$3:$K$92,4,FALSE),"Franja de losa")</f>
        <v>Franja de losa</v>
      </c>
      <c r="L56" s="76">
        <f>IF(L53&lt;=2,VLOOKUP(L51&amp;L53,tablas!$B$3:$K$92,4,FALSE),"Franja de losa")</f>
        <v>1</v>
      </c>
      <c r="M56" s="76">
        <f>IF(M53&lt;=2,VLOOKUP(M51&amp;M53,tablas!$B$3:$K$92,4,FALSE),"Franja de losa")</f>
        <v>1</v>
      </c>
      <c r="N56" s="76" t="str">
        <f>IF(N53&lt;=2,VLOOKUP(N51&amp;N53,tablas!$B$3:$K$92,4,FALSE),"Franja de losa")</f>
        <v>Franja de losa</v>
      </c>
      <c r="O56" s="76" t="str">
        <f>IF(O53&lt;=2,VLOOKUP(O51&amp;O53,tablas!$B$3:$K$92,4,FALSE),"Franja de losa")</f>
        <v>Franja de losa</v>
      </c>
      <c r="P56" s="76" t="str">
        <f>IF(P53&lt;=2,VLOOKUP(P51&amp;P53,tablas!$B$3:$K$92,4,FALSE),"Franja de losa")</f>
        <v>Franja de losa</v>
      </c>
      <c r="Q56" s="76" t="str">
        <f>IF(Q53&lt;=2,VLOOKUP(Q51&amp;Q53,tablas!$B$3:$K$92,4,FALSE),"Franja de losa")</f>
        <v>Franja de losa</v>
      </c>
      <c r="R56" s="76" t="str">
        <f>IF(R53&lt;=2,VLOOKUP(R51&amp;R53,tablas!$B$3:$K$92,4,FALSE),"Franja de losa")</f>
        <v>Franja de losa</v>
      </c>
      <c r="S56" s="76" t="str">
        <f>IF(S53&lt;=2,VLOOKUP(S51&amp;S53,tablas!$B$3:$K$92,4,FALSE),"Franja de losa")</f>
        <v>Franja de losa</v>
      </c>
      <c r="T56" s="76" t="str">
        <f>IF(T53&lt;=2,VLOOKUP(T51&amp;T53,tablas!$B$3:$K$92,4,FALSE),"Franja de losa")</f>
        <v>Franja de losa</v>
      </c>
      <c r="U56" s="76" t="str">
        <f>IF(U53&lt;=2,VLOOKUP(U51&amp;U53,tablas!$B$3:$K$92,4,FALSE),"Franja de losa")</f>
        <v>Franja de losa</v>
      </c>
      <c r="V56" s="76" t="str">
        <f>IF(V53&lt;=2,VLOOKUP(V51&amp;V53,tablas!$B$3:$K$92,4,FALSE),"Franja de losa")</f>
        <v>Franja de losa</v>
      </c>
      <c r="W56" s="76" t="str">
        <f>IF(W53&lt;=2,VLOOKUP(W51&amp;W53,tablas!$B$3:$K$92,4,FALSE),"Franja de losa")</f>
        <v>Franja de losa</v>
      </c>
      <c r="X56" s="76">
        <f>IF(X53&lt;=2,VLOOKUP(X51&amp;X53-0.1,tablas!$B$3:$K$92,4,FALSE),"Franja de losa")</f>
        <v>1</v>
      </c>
      <c r="Y56" s="193"/>
      <c r="Z56" s="193"/>
      <c r="AA56" s="193"/>
      <c r="AB56" s="193"/>
      <c r="AC56" s="193"/>
      <c r="AD56" s="193"/>
      <c r="AE56" s="193"/>
      <c r="AF56" s="39"/>
      <c r="AG56" s="39"/>
    </row>
    <row r="57" spans="2:33" x14ac:dyDescent="0.25">
      <c r="B57" s="94" t="s">
        <v>4</v>
      </c>
      <c r="C57" s="76">
        <f>IF(C53&lt;=2,VLOOKUP(C51&amp;C53-0.1,tablas!$B$3:$K$92,7,FALSE),"Franja de losa")</f>
        <v>46.1</v>
      </c>
      <c r="D57" s="76">
        <f>IF(D53&lt;=2,VLOOKUP(D51&amp;D53,tablas!$B$3:$K$92,7,FALSE),"Franja de losa")</f>
        <v>45.2</v>
      </c>
      <c r="E57" s="76">
        <f>IF(E53&lt;=2,VLOOKUP(E51&amp;E53,tablas!$B$3:$K$92,7,FALSE),"Franja de losa")</f>
        <v>45.2</v>
      </c>
      <c r="F57" s="76">
        <f>IF(F53&lt;=2,VLOOKUP(F51&amp;F53,tablas!$B$3:$K$92,7,FALSE),"Franja de losa")</f>
        <v>44.6</v>
      </c>
      <c r="G57" s="76">
        <f>IF(G53&lt;=2,VLOOKUP(G51&amp;G53,tablas!$B$3:$K$92,7,FALSE),"Franja de losa")</f>
        <v>47.2</v>
      </c>
      <c r="H57" s="76">
        <f>IF(H53&lt;=2,VLOOKUP(H51&amp;H53,tablas!$B$3:$K$92,7,FALSE),"Franja de losa")</f>
        <v>50.7</v>
      </c>
      <c r="I57" s="76">
        <f>IF(I53&lt;=2,VLOOKUP(I51&amp;I53,tablas!$B$3:$K$92,7,FALSE),"Franja de losa")</f>
        <v>37.5</v>
      </c>
      <c r="J57" s="76" t="str">
        <f>IF(J53&lt;=2,VLOOKUP(J51&amp;J53,tablas!$B$3:$K$92,7,FALSE),"Franja de losa")</f>
        <v>Franja de losa</v>
      </c>
      <c r="K57" s="76" t="str">
        <f>IF(K53&lt;=2,VLOOKUP(K51&amp;K53,tablas!$B$3:$K$92,7,FALSE),"Franja de losa")</f>
        <v>Franja de losa</v>
      </c>
      <c r="L57" s="76">
        <f>IF(L53&lt;=2,VLOOKUP(L51&amp;L53,tablas!$B$3:$K$92,7,FALSE),"Franja de losa")</f>
        <v>50.7</v>
      </c>
      <c r="M57" s="76">
        <f>IF(M53&lt;=2,VLOOKUP(M51&amp;M53,tablas!$B$3:$K$92,7,FALSE),"Franja de losa")</f>
        <v>47.2</v>
      </c>
      <c r="N57" s="76" t="str">
        <f>IF(N53&lt;=2,VLOOKUP(N51&amp;N53,tablas!$B$3:$K$92,7,FALSE),"Franja de losa")</f>
        <v>Franja de losa</v>
      </c>
      <c r="O57" s="76" t="str">
        <f>IF(O53&lt;=2,VLOOKUP(O51&amp;O53,tablas!$B$3:$K$92,7,FALSE),"Franja de losa")</f>
        <v>Franja de losa</v>
      </c>
      <c r="P57" s="76" t="str">
        <f>IF(P53&lt;=2,VLOOKUP(P51&amp;P53,tablas!$B$3:$K$92,7,FALSE),"Franja de losa")</f>
        <v>Franja de losa</v>
      </c>
      <c r="Q57" s="76" t="str">
        <f>IF(Q53&lt;=2,VLOOKUP(Q51&amp;Q53,tablas!$B$3:$K$92,7,FALSE),"Franja de losa")</f>
        <v>Franja de losa</v>
      </c>
      <c r="R57" s="76" t="str">
        <f>IF(R53&lt;=2,VLOOKUP(R51&amp;R53,tablas!$B$3:$K$92,7,FALSE),"Franja de losa")</f>
        <v>Franja de losa</v>
      </c>
      <c r="S57" s="76" t="str">
        <f>IF(S53&lt;=2,VLOOKUP(S51&amp;S53,tablas!$B$3:$K$92,7,FALSE),"Franja de losa")</f>
        <v>Franja de losa</v>
      </c>
      <c r="T57" s="76" t="str">
        <f>IF(T53&lt;=2,VLOOKUP(T51&amp;T53,tablas!$B$3:$K$92,7,FALSE),"Franja de losa")</f>
        <v>Franja de losa</v>
      </c>
      <c r="U57" s="76" t="str">
        <f>IF(U53&lt;=2,VLOOKUP(U51&amp;U53,tablas!$B$3:$K$92,7,FALSE),"Franja de losa")</f>
        <v>Franja de losa</v>
      </c>
      <c r="V57" s="76" t="str">
        <f>IF(V53&lt;=2,VLOOKUP(V51&amp;V53,tablas!$B$3:$K$92,7,FALSE),"Franja de losa")</f>
        <v>Franja de losa</v>
      </c>
      <c r="W57" s="76" t="str">
        <f>IF(W53&lt;=2,VLOOKUP(W51&amp;W53,tablas!$B$3:$K$92,7,FALSE),"Franja de losa")</f>
        <v>Franja de losa</v>
      </c>
      <c r="X57" s="76">
        <f>IF(X53&lt;=2,VLOOKUP(X51&amp;X53-0.1,tablas!$B$3:$K$92,7,FALSE),"Franja de losa")</f>
        <v>37.6</v>
      </c>
    </row>
    <row r="58" spans="2:33" x14ac:dyDescent="0.25">
      <c r="B58" s="94" t="s">
        <v>5</v>
      </c>
      <c r="C58" s="76">
        <f>IF(C53&lt;=2,VLOOKUP(C51&amp;C53-0.1,tablas!$B$3:$K$92,8,FALSE),"Franja de losa")</f>
        <v>163</v>
      </c>
      <c r="D58" s="76">
        <f>IF(D53&lt;=2,VLOOKUP(D51&amp;D53,tablas!$B$3:$K$92,8,FALSE),"Franja de losa")</f>
        <v>95.6</v>
      </c>
      <c r="E58" s="76">
        <f>IF(E53&lt;=2,VLOOKUP(E51&amp;E53,tablas!$B$3:$K$92,8,FALSE),"Franja de losa")</f>
        <v>95.6</v>
      </c>
      <c r="F58" s="76">
        <f>IF(F53&lt;=2,VLOOKUP(F51&amp;F53,tablas!$B$3:$K$92,8,FALSE),"Franja de losa")</f>
        <v>116.6</v>
      </c>
      <c r="G58" s="76">
        <f>IF(G53&lt;=2,VLOOKUP(G51&amp;G53,tablas!$B$3:$K$92,8,FALSE),"Franja de losa")</f>
        <v>78.900000000000006</v>
      </c>
      <c r="H58" s="76">
        <f>IF(H53&lt;=2,VLOOKUP(H51&amp;H53,tablas!$B$3:$K$92,8,FALSE),"Franja de losa")</f>
        <v>66.3</v>
      </c>
      <c r="I58" s="76">
        <f>IF(I53&lt;=2,VLOOKUP(I51&amp;I53,tablas!$B$3:$K$92,8,FALSE),"Franja de losa")</f>
        <v>202</v>
      </c>
      <c r="J58" s="76" t="str">
        <f>IF(J53&lt;=2,VLOOKUP(J51&amp;J53,tablas!$B$3:$K$92,8,FALSE),"Franja de losa")</f>
        <v>Franja de losa</v>
      </c>
      <c r="K58" s="76" t="str">
        <f>IF(K53&lt;=2,VLOOKUP(K51&amp;K53,tablas!$B$3:$K$92,8,FALSE),"Franja de losa")</f>
        <v>Franja de losa</v>
      </c>
      <c r="L58" s="76">
        <f>IF(L53&lt;=2,VLOOKUP(L51&amp;L53,tablas!$B$3:$K$92,8,FALSE),"Franja de losa")</f>
        <v>66.3</v>
      </c>
      <c r="M58" s="76">
        <f>IF(M53&lt;=2,VLOOKUP(M51&amp;M53,tablas!$B$3:$K$92,8,FALSE),"Franja de losa")</f>
        <v>78.900000000000006</v>
      </c>
      <c r="N58" s="76" t="str">
        <f>IF(N53&lt;=2,VLOOKUP(N51&amp;N53,tablas!$B$3:$K$92,8,FALSE),"Franja de losa")</f>
        <v>Franja de losa</v>
      </c>
      <c r="O58" s="76" t="str">
        <f>IF(O53&lt;=2,VLOOKUP(O51&amp;O53,tablas!$B$3:$K$92,8,FALSE),"Franja de losa")</f>
        <v>Franja de losa</v>
      </c>
      <c r="P58" s="76" t="str">
        <f>IF(P53&lt;=2,VLOOKUP(P51&amp;P53,tablas!$B$3:$K$92,8,FALSE),"Franja de losa")</f>
        <v>Franja de losa</v>
      </c>
      <c r="Q58" s="76" t="str">
        <f>IF(Q53&lt;=2,VLOOKUP(Q51&amp;Q53,tablas!$B$3:$K$92,8,FALSE),"Franja de losa")</f>
        <v>Franja de losa</v>
      </c>
      <c r="R58" s="76" t="str">
        <f>IF(R53&lt;=2,VLOOKUP(R51&amp;R53,tablas!$B$3:$K$92,8,FALSE),"Franja de losa")</f>
        <v>Franja de losa</v>
      </c>
      <c r="S58" s="76" t="str">
        <f>IF(S53&lt;=2,VLOOKUP(S51&amp;S53,tablas!$B$3:$K$92,8,FALSE),"Franja de losa")</f>
        <v>Franja de losa</v>
      </c>
      <c r="T58" s="76" t="str">
        <f>IF(T53&lt;=2,VLOOKUP(T51&amp;T53,tablas!$B$3:$K$92,8,FALSE),"Franja de losa")</f>
        <v>Franja de losa</v>
      </c>
      <c r="U58" s="76" t="str">
        <f>IF(U53&lt;=2,VLOOKUP(U51&amp;U53,tablas!$B$3:$K$92,8,FALSE),"Franja de losa")</f>
        <v>Franja de losa</v>
      </c>
      <c r="V58" s="76" t="str">
        <f>IF(V53&lt;=2,VLOOKUP(V51&amp;V53,tablas!$B$3:$K$92,8,FALSE),"Franja de losa")</f>
        <v>Franja de losa</v>
      </c>
      <c r="W58" s="76" t="str">
        <f>IF(W53&lt;=2,VLOOKUP(W51&amp;W53,tablas!$B$3:$K$92,8,FALSE),"Franja de losa")</f>
        <v>Franja de losa</v>
      </c>
      <c r="X58" s="76">
        <f>IF(X53&lt;=2,VLOOKUP(X51&amp;X53-0.1,tablas!$B$3:$K$92,8,FALSE),"Franja de losa")</f>
        <v>143</v>
      </c>
    </row>
    <row r="59" spans="2:33" x14ac:dyDescent="0.25">
      <c r="B59" s="94" t="s">
        <v>6</v>
      </c>
      <c r="C59" s="76">
        <f>IF(C53&lt;=2,VLOOKUP(C51&amp;C53-0.1,tablas!$B$3:$K$92,9,FALSE),"Franja de losa")</f>
        <v>20.5</v>
      </c>
      <c r="D59" s="76">
        <f>IF(D53&lt;=2,VLOOKUP(D51&amp;D53,tablas!$B$3:$K$92,9,FALSE),"Franja de losa")</f>
        <v>18.8</v>
      </c>
      <c r="E59" s="76">
        <f>IF(E53&lt;=2,VLOOKUP(E51&amp;E53,tablas!$B$3:$K$92,9,FALSE),"Franja de losa")</f>
        <v>18.8</v>
      </c>
      <c r="F59" s="76">
        <f>IF(F53&lt;=2,VLOOKUP(F51&amp;F53,tablas!$B$3:$K$92,9,FALSE),"Franja de losa")</f>
        <v>19.2</v>
      </c>
      <c r="G59" s="76">
        <f>IF(G53&lt;=2,VLOOKUP(G51&amp;G53,tablas!$B$3:$K$92,9,FALSE),"Franja de losa")</f>
        <v>18.600000000000001</v>
      </c>
      <c r="H59" s="76">
        <f>IF(H53&lt;=2,VLOOKUP(H51&amp;H53,tablas!$B$3:$K$92,9,FALSE),"Franja de losa")</f>
        <v>18.8</v>
      </c>
      <c r="I59" s="76">
        <f>IF(I53&lt;=2,VLOOKUP(I51&amp;I53,tablas!$B$3:$K$92,9,FALSE),"Franja de losa")</f>
        <v>17.600000000000001</v>
      </c>
      <c r="J59" s="76" t="str">
        <f>IF(J53&lt;=2,VLOOKUP(J51&amp;J53,tablas!$B$3:$K$92,9,FALSE),"Franja de losa")</f>
        <v>Franja de losa</v>
      </c>
      <c r="K59" s="76" t="str">
        <f>IF(K53&lt;=2,VLOOKUP(K51&amp;K53,tablas!$B$3:$K$92,9,FALSE),"Franja de losa")</f>
        <v>Franja de losa</v>
      </c>
      <c r="L59" s="76">
        <f>IF(L53&lt;=2,VLOOKUP(L51&amp;L53,tablas!$B$3:$K$92,9,FALSE),"Franja de losa")</f>
        <v>18.8</v>
      </c>
      <c r="M59" s="76">
        <f>IF(M53&lt;=2,VLOOKUP(M51&amp;M53,tablas!$B$3:$K$92,9,FALSE),"Franja de losa")</f>
        <v>18.600000000000001</v>
      </c>
      <c r="N59" s="76" t="str">
        <f>IF(N53&lt;=2,VLOOKUP(N51&amp;N53,tablas!$B$3:$K$92,9,FALSE),"Franja de losa")</f>
        <v>Franja de losa</v>
      </c>
      <c r="O59" s="76" t="str">
        <f>IF(O53&lt;=2,VLOOKUP(O51&amp;O53,tablas!$B$3:$K$92,9,FALSE),"Franja de losa")</f>
        <v>Franja de losa</v>
      </c>
      <c r="P59" s="76" t="str">
        <f>IF(P53&lt;=2,VLOOKUP(P51&amp;P53,tablas!$B$3:$K$92,9,FALSE),"Franja de losa")</f>
        <v>Franja de losa</v>
      </c>
      <c r="Q59" s="76" t="str">
        <f>IF(Q53&lt;=2,VLOOKUP(Q51&amp;Q53,tablas!$B$3:$K$92,9,FALSE),"Franja de losa")</f>
        <v>Franja de losa</v>
      </c>
      <c r="R59" s="76" t="str">
        <f>IF(R53&lt;=2,VLOOKUP(R51&amp;R53,tablas!$B$3:$K$92,9,FALSE),"Franja de losa")</f>
        <v>Franja de losa</v>
      </c>
      <c r="S59" s="76" t="str">
        <f>IF(S53&lt;=2,VLOOKUP(S51&amp;S53,tablas!$B$3:$K$92,9,FALSE),"Franja de losa")</f>
        <v>Franja de losa</v>
      </c>
      <c r="T59" s="76" t="str">
        <f>IF(T53&lt;=2,VLOOKUP(T51&amp;T53,tablas!$B$3:$K$92,9,FALSE),"Franja de losa")</f>
        <v>Franja de losa</v>
      </c>
      <c r="U59" s="76" t="str">
        <f>IF(U53&lt;=2,VLOOKUP(U51&amp;U53,tablas!$B$3:$K$92,9,FALSE),"Franja de losa")</f>
        <v>Franja de losa</v>
      </c>
      <c r="V59" s="76" t="str">
        <f>IF(V53&lt;=2,VLOOKUP(V51&amp;V53,tablas!$B$3:$K$92,9,FALSE),"Franja de losa")</f>
        <v>Franja de losa</v>
      </c>
      <c r="W59" s="76" t="str">
        <f>IF(W53&lt;=2,VLOOKUP(W51&amp;W53,tablas!$B$3:$K$92,9,FALSE),"Franja de losa")</f>
        <v>Franja de losa</v>
      </c>
      <c r="X59" s="76">
        <f>IF(X53&lt;=2,VLOOKUP(X51&amp;X53-0.1,tablas!$B$3:$K$92,9,FALSE),"Franja de losa")</f>
        <v>16.7</v>
      </c>
    </row>
    <row r="60" spans="2:33" x14ac:dyDescent="0.25">
      <c r="B60" s="94" t="s">
        <v>7</v>
      </c>
      <c r="C60" s="76">
        <f>IF(C53&lt;=2,VLOOKUP(C51&amp;C53-0.1,tablas!$B$3:$K$92,10,FALSE),"Franja de losa")</f>
        <v>27.9</v>
      </c>
      <c r="D60" s="76">
        <f>IF(D53&lt;=2,VLOOKUP(D51&amp;D53,tablas!$B$3:$K$92,10,FALSE),"Franja de losa")</f>
        <v>22.9</v>
      </c>
      <c r="E60" s="76">
        <f>IF(E53&lt;=2,VLOOKUP(E51&amp;E53,tablas!$B$3:$K$92,10,FALSE),"Franja de losa")</f>
        <v>22.9</v>
      </c>
      <c r="F60" s="76">
        <f>IF(F53&lt;=2,VLOOKUP(F51&amp;F53,tablas!$B$3:$K$92,10,FALSE),"Franja de losa")</f>
        <v>24.5</v>
      </c>
      <c r="G60" s="76">
        <f>IF(G53&lt;=2,VLOOKUP(G51&amp;G53,tablas!$B$3:$K$92,10,FALSE),"Franja de losa")</f>
        <v>21.5</v>
      </c>
      <c r="H60" s="76">
        <f>IF(H53&lt;=2,VLOOKUP(H51&amp;H53,tablas!$B$3:$K$92,10,FALSE),"Franja de losa")</f>
        <v>20.3</v>
      </c>
      <c r="I60" s="76">
        <f>IF(I53&lt;=2,VLOOKUP(I51&amp;I53,tablas!$B$3:$K$92,10,FALSE),"Franja de losa")</f>
        <v>24.6</v>
      </c>
      <c r="J60" s="76" t="str">
        <f>IF(J53&lt;=2,VLOOKUP(J51&amp;J53,tablas!$B$3:$K$92,10,FALSE),"Franja de losa")</f>
        <v>Franja de losa</v>
      </c>
      <c r="K60" s="76" t="str">
        <f>IF(K53&lt;=2,VLOOKUP(K51&amp;K53,tablas!$B$3:$K$92,10,FALSE),"Franja de losa")</f>
        <v>Franja de losa</v>
      </c>
      <c r="L60" s="76">
        <f>IF(L53&lt;=2,VLOOKUP(L51&amp;L53,tablas!$B$3:$K$92,10,FALSE),"Franja de losa")</f>
        <v>20.3</v>
      </c>
      <c r="M60" s="76">
        <f>IF(M53&lt;=2,VLOOKUP(M51&amp;M53,tablas!$B$3:$K$92,10,FALSE),"Franja de losa")</f>
        <v>21.5</v>
      </c>
      <c r="N60" s="76" t="str">
        <f>IF(N53&lt;=2,VLOOKUP(N51&amp;N53,tablas!$B$3:$K$92,10,FALSE),"Franja de losa")</f>
        <v>Franja de losa</v>
      </c>
      <c r="O60" s="76" t="str">
        <f>IF(O53&lt;=2,VLOOKUP(O51&amp;O53,tablas!$B$3:$K$92,10,FALSE),"Franja de losa")</f>
        <v>Franja de losa</v>
      </c>
      <c r="P60" s="76" t="str">
        <f>IF(P53&lt;=2,VLOOKUP(P51&amp;P53,tablas!$B$3:$K$92,10,FALSE),"Franja de losa")</f>
        <v>Franja de losa</v>
      </c>
      <c r="Q60" s="76" t="str">
        <f>IF(Q53&lt;=2,VLOOKUP(Q51&amp;Q53,tablas!$B$3:$K$92,10,FALSE),"Franja de losa")</f>
        <v>Franja de losa</v>
      </c>
      <c r="R60" s="76" t="str">
        <f>IF(R53&lt;=2,VLOOKUP(R51&amp;R53,tablas!$B$3:$K$92,10,FALSE),"Franja de losa")</f>
        <v>Franja de losa</v>
      </c>
      <c r="S60" s="76" t="str">
        <f>IF(S53&lt;=2,VLOOKUP(S51&amp;S53,tablas!$B$3:$K$92,10,FALSE),"Franja de losa")</f>
        <v>Franja de losa</v>
      </c>
      <c r="T60" s="76" t="str">
        <f>IF(T53&lt;=2,VLOOKUP(T51&amp;T53,tablas!$B$3:$K$92,10,FALSE),"Franja de losa")</f>
        <v>Franja de losa</v>
      </c>
      <c r="U60" s="76" t="str">
        <f>IF(U53&lt;=2,VLOOKUP(U51&amp;U53,tablas!$B$3:$K$92,10,FALSE),"Franja de losa")</f>
        <v>Franja de losa</v>
      </c>
      <c r="V60" s="76" t="str">
        <f>IF(V53&lt;=2,VLOOKUP(V51&amp;V53,tablas!$B$3:$K$92,10,FALSE),"Franja de losa")</f>
        <v>Franja de losa</v>
      </c>
      <c r="W60" s="76" t="str">
        <f>IF(W53&lt;=2,VLOOKUP(W51&amp;W53,tablas!$B$3:$K$92,10,FALSE),"Franja de losa")</f>
        <v>Franja de losa</v>
      </c>
      <c r="X60" s="76">
        <f>IF(X53&lt;=2,VLOOKUP(X51&amp;X53-0.1,tablas!$B$3:$K$92,10,FALSE),"Franja de losa")</f>
        <v>22.1</v>
      </c>
    </row>
    <row r="61" spans="2:33" x14ac:dyDescent="0.25">
      <c r="B61" s="97" t="s">
        <v>2</v>
      </c>
      <c r="C61" s="76">
        <f>IF(C53&lt;=2,VLOOKUP(C51&amp;C53-0.1,tablas!$B$3:$K$92,5,FALSE),"Franja de losa")</f>
        <v>1.39</v>
      </c>
      <c r="D61" s="76">
        <f>IF(D53&lt;=2,VLOOKUP(D51&amp;D53,tablas!$B$3:$K$92,5,FALSE),"Franja de losa")</f>
        <v>1.17</v>
      </c>
      <c r="E61" s="76">
        <f>IF(E53&lt;=2,VLOOKUP(E51&amp;E53,tablas!$B$3:$K$92,5,FALSE),"Franja de losa")</f>
        <v>1.17</v>
      </c>
      <c r="F61" s="76">
        <f>IF(F53&lt;=2,VLOOKUP(F51&amp;F53,tablas!$B$3:$K$92,5,FALSE),"Franja de losa")</f>
        <v>1.24</v>
      </c>
      <c r="G61" s="76">
        <f>IF(G53&lt;=2,VLOOKUP(G51&amp;G53,tablas!$B$3:$K$92,5,FALSE),"Franja de losa")</f>
        <v>1.1000000000000001</v>
      </c>
      <c r="H61" s="76">
        <f>IF(H53&lt;=2,VLOOKUP(H51&amp;H53,tablas!$B$3:$K$92,5,FALSE),"Franja de losa")</f>
        <v>1.05</v>
      </c>
      <c r="I61" s="76">
        <f>IF(I53&lt;=2,VLOOKUP(I51&amp;I53,tablas!$B$3:$K$92,5,FALSE),"Franja de losa")</f>
        <v>0.68</v>
      </c>
      <c r="J61" s="76" t="str">
        <f>IF(J53&lt;=2,VLOOKUP(J51&amp;J53,tablas!$B$3:$K$92,5,FALSE),"Franja de losa")</f>
        <v>Franja de losa</v>
      </c>
      <c r="K61" s="76" t="str">
        <f>IF(K53&lt;=2,VLOOKUP(K51&amp;K53,tablas!$B$3:$K$92,5,FALSE),"Franja de losa")</f>
        <v>Franja de losa</v>
      </c>
      <c r="L61" s="76">
        <f>IF(L53&lt;=2,VLOOKUP(L51&amp;L53,tablas!$B$3:$K$92,5,FALSE),"Franja de losa")</f>
        <v>1.05</v>
      </c>
      <c r="M61" s="76">
        <f>IF(M53&lt;=2,VLOOKUP(M51&amp;M53,tablas!$B$3:$K$92,5,FALSE),"Franja de losa")</f>
        <v>1.1000000000000001</v>
      </c>
      <c r="N61" s="76" t="str">
        <f>IF(N53&lt;=2,VLOOKUP(N51&amp;N53,tablas!$B$3:$K$92,5,FALSE),"Franja de losa")</f>
        <v>Franja de losa</v>
      </c>
      <c r="O61" s="76" t="str">
        <f>IF(O53&lt;=2,VLOOKUP(O51&amp;O53,tablas!$B$3:$K$92,5,FALSE),"Franja de losa")</f>
        <v>Franja de losa</v>
      </c>
      <c r="P61" s="76" t="str">
        <f>IF(P53&lt;=2,VLOOKUP(P51&amp;P53,tablas!$B$3:$K$92,5,FALSE),"Franja de losa")</f>
        <v>Franja de losa</v>
      </c>
      <c r="Q61" s="76" t="str">
        <f>IF(Q53&lt;=2,VLOOKUP(Q51&amp;Q53,tablas!$B$3:$K$92,5,FALSE),"Franja de losa")</f>
        <v>Franja de losa</v>
      </c>
      <c r="R61" s="76" t="str">
        <f>IF(R53&lt;=2,VLOOKUP(R51&amp;R53,tablas!$B$3:$K$92,5,FALSE),"Franja de losa")</f>
        <v>Franja de losa</v>
      </c>
      <c r="S61" s="76" t="str">
        <f>IF(S53&lt;=2,VLOOKUP(S51&amp;S53,tablas!$B$3:$K$92,5,FALSE),"Franja de losa")</f>
        <v>Franja de losa</v>
      </c>
      <c r="T61" s="76" t="str">
        <f>IF(T53&lt;=2,VLOOKUP(T51&amp;T53,tablas!$B$3:$K$92,5,FALSE),"Franja de losa")</f>
        <v>Franja de losa</v>
      </c>
      <c r="U61" s="76" t="str">
        <f>IF(U53&lt;=2,VLOOKUP(U51&amp;U53,tablas!$B$3:$K$92,5,FALSE),"Franja de losa")</f>
        <v>Franja de losa</v>
      </c>
      <c r="V61" s="76" t="str">
        <f>IF(V53&lt;=2,VLOOKUP(V51&amp;V53,tablas!$B$3:$K$92,5,FALSE),"Franja de losa")</f>
        <v>Franja de losa</v>
      </c>
      <c r="W61" s="76" t="str">
        <f>IF(W53&lt;=2,VLOOKUP(W51&amp;W53,tablas!$B$3:$K$92,5,FALSE),"Franja de losa")</f>
        <v>Franja de losa</v>
      </c>
      <c r="X61" s="76">
        <f>IF(X53&lt;=2,VLOOKUP(X51&amp;X53-0.1,tablas!$B$3:$K$92,5,FALSE),"Franja de losa")</f>
        <v>0.68</v>
      </c>
    </row>
    <row r="62" spans="2:33" ht="15.75" thickBot="1" x14ac:dyDescent="0.3">
      <c r="B62" s="98" t="s">
        <v>3</v>
      </c>
      <c r="C62" s="82">
        <f>IF(C53&lt;=2,VLOOKUP(C51&amp;C53-0.1,tablas!$B$3:$K$92,6,FALSE),"Franja de losa")</f>
        <v>1.39</v>
      </c>
      <c r="D62" s="82">
        <f>IF(D53&lt;=2,VLOOKUP(D51&amp;D53,tablas!$B$3:$K$92,6,FALSE),"Franja de losa")</f>
        <v>1.17</v>
      </c>
      <c r="E62" s="82">
        <f>IF(E53&lt;=2,VLOOKUP(E51&amp;E53,tablas!$B$3:$K$92,6,FALSE),"Franja de losa")</f>
        <v>1.17</v>
      </c>
      <c r="F62" s="82">
        <f>IF(F53&lt;=2,VLOOKUP(F51&amp;F53,tablas!$B$3:$K$92,6,FALSE),"Franja de losa")</f>
        <v>1.24</v>
      </c>
      <c r="G62" s="82">
        <f>IF(G53&lt;=2,VLOOKUP(G51&amp;G53,tablas!$B$3:$K$92,6,FALSE),"Franja de losa")</f>
        <v>1.1000000000000001</v>
      </c>
      <c r="H62" s="82">
        <f>IF(H53&lt;=2,VLOOKUP(H51&amp;H53,tablas!$B$3:$K$92,6,FALSE),"Franja de losa")</f>
        <v>1.05</v>
      </c>
      <c r="I62" s="82">
        <f>IF(I53&lt;=2,VLOOKUP(I51&amp;I53,tablas!$B$3:$K$92,6,FALSE),"Franja de losa")</f>
        <v>0.46</v>
      </c>
      <c r="J62" s="82" t="str">
        <f>IF(J53&lt;=2,VLOOKUP(J51&amp;J53,tablas!$B$3:$K$92,6,FALSE),"Franja de losa")</f>
        <v>Franja de losa</v>
      </c>
      <c r="K62" s="82" t="str">
        <f>IF(K53&lt;=2,VLOOKUP(K51&amp;K53,tablas!$B$3:$K$92,6,FALSE),"Franja de losa")</f>
        <v>Franja de losa</v>
      </c>
      <c r="L62" s="82">
        <f>IF(L53&lt;=2,VLOOKUP(L51&amp;L53,tablas!$B$3:$K$92,6,FALSE),"Franja de losa")</f>
        <v>1.05</v>
      </c>
      <c r="M62" s="82">
        <f>IF(M53&lt;=2,VLOOKUP(M51&amp;M53,tablas!$B$3:$K$92,6,FALSE),"Franja de losa")</f>
        <v>1.1000000000000001</v>
      </c>
      <c r="N62" s="82" t="str">
        <f>IF(N53&lt;=2,VLOOKUP(N51&amp;N53,tablas!$B$3:$K$92,6,FALSE),"Franja de losa")</f>
        <v>Franja de losa</v>
      </c>
      <c r="O62" s="82" t="str">
        <f>IF(O53&lt;=2,VLOOKUP(O51&amp;O53,tablas!$B$3:$K$92,6,FALSE),"Franja de losa")</f>
        <v>Franja de losa</v>
      </c>
      <c r="P62" s="82" t="str">
        <f>IF(P53&lt;=2,VLOOKUP(P51&amp;P53,tablas!$B$3:$K$92,6,FALSE),"Franja de losa")</f>
        <v>Franja de losa</v>
      </c>
      <c r="Q62" s="82" t="str">
        <f>IF(Q53&lt;=2,VLOOKUP(Q51&amp;Q53,tablas!$B$3:$K$92,6,FALSE),"Franja de losa")</f>
        <v>Franja de losa</v>
      </c>
      <c r="R62" s="82" t="str">
        <f>IF(R53&lt;=2,VLOOKUP(R51&amp;R53,tablas!$B$3:$K$92,6,FALSE),"Franja de losa")</f>
        <v>Franja de losa</v>
      </c>
      <c r="S62" s="82" t="str">
        <f>IF(S53&lt;=2,VLOOKUP(S51&amp;S53,tablas!$B$3:$K$92,6,FALSE),"Franja de losa")</f>
        <v>Franja de losa</v>
      </c>
      <c r="T62" s="82" t="str">
        <f>IF(T53&lt;=2,VLOOKUP(T51&amp;T53,tablas!$B$3:$K$92,6,FALSE),"Franja de losa")</f>
        <v>Franja de losa</v>
      </c>
      <c r="U62" s="82" t="str">
        <f>IF(U53&lt;=2,VLOOKUP(U51&amp;U53,tablas!$B$3:$K$92,6,FALSE),"Franja de losa")</f>
        <v>Franja de losa</v>
      </c>
      <c r="V62" s="82" t="str">
        <f>IF(V53&lt;=2,VLOOKUP(V51&amp;V53,tablas!$B$3:$K$92,6,FALSE),"Franja de losa")</f>
        <v>Franja de losa</v>
      </c>
      <c r="W62" s="82" t="str">
        <f>IF(W53&lt;=2,VLOOKUP(W51&amp;W53,tablas!$B$3:$K$92,6,FALSE),"Franja de losa")</f>
        <v>Franja de losa</v>
      </c>
      <c r="X62" s="82">
        <f>IF(X53&lt;=2,VLOOKUP(X51&amp;X53-0.1,tablas!$B$3:$K$92,6,FALSE),"Franja de losa")</f>
        <v>0.46</v>
      </c>
    </row>
    <row r="63" spans="2:33" ht="15.75" thickBot="1" x14ac:dyDescent="0.3">
      <c r="B63" s="71" t="s">
        <v>87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72"/>
      <c r="X63" s="72"/>
    </row>
    <row r="64" spans="2:33" x14ac:dyDescent="0.25">
      <c r="B64" s="94" t="s">
        <v>83</v>
      </c>
      <c r="C64" s="83">
        <f>VLOOKUP(C$46,$B$16:$H$35,6)</f>
        <v>200</v>
      </c>
      <c r="D64" s="83">
        <f t="shared" ref="D64:X64" si="5">VLOOKUP(D$46,$B$16:$H$35,6)</f>
        <v>200</v>
      </c>
      <c r="E64" s="83">
        <f t="shared" si="5"/>
        <v>200</v>
      </c>
      <c r="F64" s="83">
        <f t="shared" si="5"/>
        <v>200</v>
      </c>
      <c r="G64" s="83">
        <f t="shared" si="5"/>
        <v>200</v>
      </c>
      <c r="H64" s="83">
        <f t="shared" si="5"/>
        <v>200</v>
      </c>
      <c r="I64" s="83">
        <f t="shared" si="5"/>
        <v>400</v>
      </c>
      <c r="J64" s="83">
        <f t="shared" si="5"/>
        <v>400</v>
      </c>
      <c r="K64" s="83">
        <f t="shared" si="5"/>
        <v>400</v>
      </c>
      <c r="L64" s="83">
        <f t="shared" si="5"/>
        <v>200</v>
      </c>
      <c r="M64" s="83">
        <f t="shared" si="5"/>
        <v>200</v>
      </c>
      <c r="N64" s="83">
        <f t="shared" si="5"/>
        <v>300</v>
      </c>
      <c r="O64" s="83">
        <f t="shared" si="5"/>
        <v>300</v>
      </c>
      <c r="P64" s="83">
        <f t="shared" si="5"/>
        <v>300</v>
      </c>
      <c r="Q64" s="83">
        <f t="shared" si="5"/>
        <v>300</v>
      </c>
      <c r="R64" s="83">
        <f t="shared" si="5"/>
        <v>300</v>
      </c>
      <c r="S64" s="83">
        <f t="shared" si="5"/>
        <v>300</v>
      </c>
      <c r="T64" s="83">
        <f t="shared" si="5"/>
        <v>300</v>
      </c>
      <c r="U64" s="83">
        <f t="shared" si="5"/>
        <v>300</v>
      </c>
      <c r="V64" s="83">
        <f t="shared" si="5"/>
        <v>300</v>
      </c>
      <c r="W64" s="83">
        <f t="shared" si="5"/>
        <v>300</v>
      </c>
      <c r="X64" s="83">
        <f t="shared" si="5"/>
        <v>300</v>
      </c>
    </row>
    <row r="65" spans="2:24" x14ac:dyDescent="0.25">
      <c r="B65" s="94" t="s">
        <v>89</v>
      </c>
      <c r="C65" s="76">
        <f>$L$7*($C$4/100)</f>
        <v>400</v>
      </c>
      <c r="D65" s="77">
        <f>$L$7*($C$4/100)</f>
        <v>400</v>
      </c>
      <c r="E65" s="77">
        <f t="shared" ref="E65:X65" si="6">$L$7*($C$4/100)</f>
        <v>400</v>
      </c>
      <c r="F65" s="77">
        <f t="shared" si="6"/>
        <v>400</v>
      </c>
      <c r="G65" s="77">
        <f t="shared" si="6"/>
        <v>400</v>
      </c>
      <c r="H65" s="77">
        <f t="shared" si="6"/>
        <v>400</v>
      </c>
      <c r="I65" s="77">
        <f t="shared" si="6"/>
        <v>400</v>
      </c>
      <c r="J65" s="77">
        <f t="shared" si="6"/>
        <v>400</v>
      </c>
      <c r="K65" s="77">
        <f t="shared" si="6"/>
        <v>400</v>
      </c>
      <c r="L65" s="77">
        <f t="shared" si="6"/>
        <v>400</v>
      </c>
      <c r="M65" s="77">
        <f t="shared" si="6"/>
        <v>400</v>
      </c>
      <c r="N65" s="77">
        <f t="shared" si="6"/>
        <v>400</v>
      </c>
      <c r="O65" s="77">
        <f t="shared" si="6"/>
        <v>400</v>
      </c>
      <c r="P65" s="77">
        <f t="shared" si="6"/>
        <v>400</v>
      </c>
      <c r="Q65" s="77">
        <f t="shared" si="6"/>
        <v>400</v>
      </c>
      <c r="R65" s="77">
        <f t="shared" si="6"/>
        <v>400</v>
      </c>
      <c r="S65" s="77">
        <f t="shared" si="6"/>
        <v>400</v>
      </c>
      <c r="T65" s="77">
        <f t="shared" si="6"/>
        <v>400</v>
      </c>
      <c r="U65" s="77">
        <f t="shared" si="6"/>
        <v>400</v>
      </c>
      <c r="V65" s="77">
        <f t="shared" si="6"/>
        <v>400</v>
      </c>
      <c r="W65" s="77">
        <f t="shared" si="6"/>
        <v>400</v>
      </c>
      <c r="X65" s="77">
        <f t="shared" si="6"/>
        <v>400</v>
      </c>
    </row>
    <row r="66" spans="2:24" x14ac:dyDescent="0.25">
      <c r="B66" s="94" t="s">
        <v>90</v>
      </c>
      <c r="C66" s="76">
        <f>C65+$I$8</f>
        <v>625</v>
      </c>
      <c r="D66" s="77">
        <f>D65+$I$8</f>
        <v>625</v>
      </c>
      <c r="E66" s="77">
        <f t="shared" ref="E66:X66" si="7">E65+$I$8</f>
        <v>625</v>
      </c>
      <c r="F66" s="77">
        <f t="shared" si="7"/>
        <v>625</v>
      </c>
      <c r="G66" s="77">
        <f t="shared" si="7"/>
        <v>625</v>
      </c>
      <c r="H66" s="77">
        <f t="shared" si="7"/>
        <v>625</v>
      </c>
      <c r="I66" s="77">
        <f t="shared" si="7"/>
        <v>625</v>
      </c>
      <c r="J66" s="77">
        <f t="shared" si="7"/>
        <v>625</v>
      </c>
      <c r="K66" s="77">
        <f t="shared" si="7"/>
        <v>625</v>
      </c>
      <c r="L66" s="77">
        <f t="shared" si="7"/>
        <v>625</v>
      </c>
      <c r="M66" s="77">
        <f t="shared" si="7"/>
        <v>625</v>
      </c>
      <c r="N66" s="77">
        <f t="shared" si="7"/>
        <v>625</v>
      </c>
      <c r="O66" s="77">
        <f t="shared" si="7"/>
        <v>625</v>
      </c>
      <c r="P66" s="77">
        <f t="shared" si="7"/>
        <v>625</v>
      </c>
      <c r="Q66" s="77">
        <f t="shared" si="7"/>
        <v>625</v>
      </c>
      <c r="R66" s="77">
        <f t="shared" si="7"/>
        <v>625</v>
      </c>
      <c r="S66" s="77">
        <f t="shared" si="7"/>
        <v>625</v>
      </c>
      <c r="T66" s="77">
        <f t="shared" si="7"/>
        <v>625</v>
      </c>
      <c r="U66" s="77">
        <f t="shared" si="7"/>
        <v>625</v>
      </c>
      <c r="V66" s="77">
        <f t="shared" si="7"/>
        <v>625</v>
      </c>
      <c r="W66" s="77">
        <f t="shared" si="7"/>
        <v>625</v>
      </c>
      <c r="X66" s="77">
        <f t="shared" si="7"/>
        <v>625</v>
      </c>
    </row>
    <row r="67" spans="2:24" x14ac:dyDescent="0.25">
      <c r="B67" s="94" t="s">
        <v>91</v>
      </c>
      <c r="C67" s="76">
        <f>1.2*C66+1.6*C64</f>
        <v>1070</v>
      </c>
      <c r="D67" s="77">
        <f>1.2*D66+1.6*D64</f>
        <v>1070</v>
      </c>
      <c r="E67" s="77">
        <f t="shared" ref="E67:X67" si="8">1.2*E66+1.6*E64</f>
        <v>1070</v>
      </c>
      <c r="F67" s="77">
        <f t="shared" si="8"/>
        <v>1070</v>
      </c>
      <c r="G67" s="77">
        <f t="shared" si="8"/>
        <v>1070</v>
      </c>
      <c r="H67" s="77">
        <f t="shared" si="8"/>
        <v>1070</v>
      </c>
      <c r="I67" s="77">
        <f t="shared" si="8"/>
        <v>1390</v>
      </c>
      <c r="J67" s="77">
        <f t="shared" si="8"/>
        <v>1390</v>
      </c>
      <c r="K67" s="77">
        <f t="shared" si="8"/>
        <v>1390</v>
      </c>
      <c r="L67" s="77">
        <f t="shared" si="8"/>
        <v>1070</v>
      </c>
      <c r="M67" s="77">
        <f t="shared" si="8"/>
        <v>1070</v>
      </c>
      <c r="N67" s="77">
        <f t="shared" si="8"/>
        <v>1230</v>
      </c>
      <c r="O67" s="77">
        <f t="shared" si="8"/>
        <v>1230</v>
      </c>
      <c r="P67" s="77">
        <f t="shared" si="8"/>
        <v>1230</v>
      </c>
      <c r="Q67" s="77">
        <f t="shared" si="8"/>
        <v>1230</v>
      </c>
      <c r="R67" s="77">
        <f t="shared" si="8"/>
        <v>1230</v>
      </c>
      <c r="S67" s="77">
        <f t="shared" si="8"/>
        <v>1230</v>
      </c>
      <c r="T67" s="77">
        <f t="shared" si="8"/>
        <v>1230</v>
      </c>
      <c r="U67" s="77">
        <f t="shared" si="8"/>
        <v>1230</v>
      </c>
      <c r="V67" s="77">
        <f t="shared" si="8"/>
        <v>1230</v>
      </c>
      <c r="W67" s="77">
        <f t="shared" si="8"/>
        <v>1230</v>
      </c>
      <c r="X67" s="77">
        <f t="shared" si="8"/>
        <v>1230</v>
      </c>
    </row>
    <row r="68" spans="2:24" x14ac:dyDescent="0.25">
      <c r="B68" s="95" t="s">
        <v>92</v>
      </c>
      <c r="C68" s="84">
        <f>C67*C48*C49</f>
        <v>64735</v>
      </c>
      <c r="D68" s="85">
        <f>D67*D48*D49</f>
        <v>27862.799999999999</v>
      </c>
      <c r="E68" s="85">
        <f t="shared" ref="E68:X68" si="9">E67*E48*E49</f>
        <v>27862.799999999999</v>
      </c>
      <c r="F68" s="85">
        <f t="shared" si="9"/>
        <v>51075.915000000001</v>
      </c>
      <c r="G68" s="85">
        <f t="shared" si="9"/>
        <v>43342.704000000005</v>
      </c>
      <c r="H68" s="85">
        <f t="shared" si="9"/>
        <v>26856.999999999996</v>
      </c>
      <c r="I68" s="85">
        <f t="shared" si="9"/>
        <v>11792.76</v>
      </c>
      <c r="J68" s="85">
        <f t="shared" si="9"/>
        <v>21795.199999999997</v>
      </c>
      <c r="K68" s="85">
        <f t="shared" si="9"/>
        <v>25637.16</v>
      </c>
      <c r="L68" s="85">
        <f>L67*L48*L49</f>
        <v>26856.999999999996</v>
      </c>
      <c r="M68" s="85">
        <f t="shared" si="9"/>
        <v>40415.826000000008</v>
      </c>
      <c r="N68" s="85">
        <f t="shared" si="9"/>
        <v>9899.4089999999997</v>
      </c>
      <c r="O68" s="85">
        <f t="shared" si="9"/>
        <v>10400.879999999999</v>
      </c>
      <c r="P68" s="85">
        <f t="shared" si="9"/>
        <v>10400.879999999999</v>
      </c>
      <c r="Q68" s="85">
        <f t="shared" si="9"/>
        <v>9750.8249999999989</v>
      </c>
      <c r="R68" s="85">
        <f t="shared" si="9"/>
        <v>4899.3360000000002</v>
      </c>
      <c r="S68" s="85">
        <f t="shared" si="9"/>
        <v>4899.3360000000002</v>
      </c>
      <c r="T68" s="85">
        <f t="shared" si="9"/>
        <v>11553.882</v>
      </c>
      <c r="U68" s="85">
        <f t="shared" si="9"/>
        <v>11685.737999999999</v>
      </c>
      <c r="V68" s="85">
        <f t="shared" si="9"/>
        <v>3486.0660000000003</v>
      </c>
      <c r="W68" s="85">
        <f t="shared" si="9"/>
        <v>3297.63</v>
      </c>
      <c r="X68" s="85">
        <f t="shared" si="9"/>
        <v>12270.48</v>
      </c>
    </row>
    <row r="69" spans="2:24" ht="15.75" thickBot="1" x14ac:dyDescent="0.3">
      <c r="B69" s="96" t="s">
        <v>93</v>
      </c>
      <c r="C69" s="86">
        <f>C64/(2*C67)</f>
        <v>9.3457943925233641E-2</v>
      </c>
      <c r="D69" s="87">
        <f>D64/(2*D67)</f>
        <v>9.3457943925233641E-2</v>
      </c>
      <c r="E69" s="87">
        <f t="shared" ref="E69:X69" si="10">E64/(2*E67)</f>
        <v>9.3457943925233641E-2</v>
      </c>
      <c r="F69" s="87">
        <f t="shared" si="10"/>
        <v>9.3457943925233641E-2</v>
      </c>
      <c r="G69" s="87">
        <f t="shared" si="10"/>
        <v>9.3457943925233641E-2</v>
      </c>
      <c r="H69" s="87">
        <f t="shared" si="10"/>
        <v>9.3457943925233641E-2</v>
      </c>
      <c r="I69" s="87">
        <f t="shared" si="10"/>
        <v>0.14388489208633093</v>
      </c>
      <c r="J69" s="87">
        <f t="shared" si="10"/>
        <v>0.14388489208633093</v>
      </c>
      <c r="K69" s="87">
        <f t="shared" si="10"/>
        <v>0.14388489208633093</v>
      </c>
      <c r="L69" s="87">
        <f t="shared" si="10"/>
        <v>9.3457943925233641E-2</v>
      </c>
      <c r="M69" s="87">
        <f t="shared" si="10"/>
        <v>9.3457943925233641E-2</v>
      </c>
      <c r="N69" s="87">
        <f t="shared" si="10"/>
        <v>0.12195121951219512</v>
      </c>
      <c r="O69" s="87">
        <f t="shared" si="10"/>
        <v>0.12195121951219512</v>
      </c>
      <c r="P69" s="87">
        <f t="shared" si="10"/>
        <v>0.12195121951219512</v>
      </c>
      <c r="Q69" s="87">
        <f t="shared" si="10"/>
        <v>0.12195121951219512</v>
      </c>
      <c r="R69" s="87">
        <f t="shared" si="10"/>
        <v>0.12195121951219512</v>
      </c>
      <c r="S69" s="87">
        <f t="shared" si="10"/>
        <v>0.12195121951219512</v>
      </c>
      <c r="T69" s="87">
        <f t="shared" si="10"/>
        <v>0.12195121951219512</v>
      </c>
      <c r="U69" s="87">
        <f t="shared" si="10"/>
        <v>0.12195121951219512</v>
      </c>
      <c r="V69" s="87">
        <f t="shared" si="10"/>
        <v>0.12195121951219512</v>
      </c>
      <c r="W69" s="87">
        <f t="shared" si="10"/>
        <v>0.12195121951219512</v>
      </c>
      <c r="X69" s="87">
        <f t="shared" si="10"/>
        <v>0.12195121951219512</v>
      </c>
    </row>
    <row r="70" spans="2:24" ht="15.75" thickBot="1" x14ac:dyDescent="0.3">
      <c r="B70" s="71" t="s">
        <v>96</v>
      </c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72"/>
      <c r="X70" s="72"/>
    </row>
    <row r="71" spans="2:24" x14ac:dyDescent="0.25">
      <c r="B71" s="93" t="s">
        <v>97</v>
      </c>
      <c r="C71" s="88">
        <f t="shared" ref="C71:X71" si="11">IF(C53&lt;=2,C68/C57*(1+C69*C61)*C56,IF(OR(C51=6,C51="5a",C51="3a"),C67*C48^2/17,(IF(OR(C51="2a",C51=4,C51="5b"),C67*C48^2/12,IF(OR(C51=1,C51="2b",C51="3b"),C67*C48^2/8)))))</f>
        <v>1586.6485900216919</v>
      </c>
      <c r="D71" s="88">
        <f t="shared" si="11"/>
        <v>683.8380530973451</v>
      </c>
      <c r="E71" s="88">
        <f t="shared" si="11"/>
        <v>683.8380530973451</v>
      </c>
      <c r="F71" s="88">
        <f t="shared" si="11"/>
        <v>1277.9146412556054</v>
      </c>
      <c r="G71" s="88">
        <f t="shared" si="11"/>
        <v>1012.68</v>
      </c>
      <c r="H71" s="88">
        <f t="shared" si="11"/>
        <v>581.70611439842196</v>
      </c>
      <c r="I71" s="88">
        <f t="shared" si="11"/>
        <v>345.24224000000004</v>
      </c>
      <c r="J71" s="88">
        <f t="shared" si="11"/>
        <v>160.25882352941176</v>
      </c>
      <c r="K71" s="88">
        <f t="shared" si="11"/>
        <v>687.64117647058822</v>
      </c>
      <c r="L71" s="88">
        <f t="shared" si="11"/>
        <v>581.70611439842196</v>
      </c>
      <c r="M71" s="88">
        <f t="shared" si="11"/>
        <v>944.29500000000007</v>
      </c>
      <c r="N71" s="88">
        <f t="shared" si="11"/>
        <v>233.71025</v>
      </c>
      <c r="O71" s="88">
        <f t="shared" si="11"/>
        <v>233.71025</v>
      </c>
      <c r="P71" s="88">
        <f t="shared" si="11"/>
        <v>233.71025</v>
      </c>
      <c r="Q71" s="88">
        <f t="shared" si="11"/>
        <v>233.71025</v>
      </c>
      <c r="R71" s="88">
        <f t="shared" si="11"/>
        <v>110.86400000000002</v>
      </c>
      <c r="S71" s="88">
        <f t="shared" si="11"/>
        <v>110.86400000000002</v>
      </c>
      <c r="T71" s="88">
        <f t="shared" si="11"/>
        <v>184.04900000000001</v>
      </c>
      <c r="U71" s="88">
        <f t="shared" si="11"/>
        <v>184.04900000000001</v>
      </c>
      <c r="V71" s="88">
        <f t="shared" si="11"/>
        <v>56.128999999999998</v>
      </c>
      <c r="W71" s="88">
        <f t="shared" si="11"/>
        <v>50.224999999999994</v>
      </c>
      <c r="X71" s="88">
        <f t="shared" si="11"/>
        <v>353.40510638297872</v>
      </c>
    </row>
    <row r="72" spans="2:24" x14ac:dyDescent="0.25">
      <c r="B72" s="94" t="s">
        <v>15</v>
      </c>
      <c r="C72" s="89">
        <f t="shared" ref="C72:X72" si="12">C71/(0.9*(0.9*($C$7/100))*($L$9*1000))</f>
        <v>3.2690677900198031</v>
      </c>
      <c r="D72" s="89">
        <f t="shared" si="12"/>
        <v>1.4089527870439287</v>
      </c>
      <c r="E72" s="89">
        <f t="shared" si="12"/>
        <v>1.4089527870439287</v>
      </c>
      <c r="F72" s="89">
        <f t="shared" si="12"/>
        <v>2.6329646138382143</v>
      </c>
      <c r="G72" s="89">
        <f t="shared" si="12"/>
        <v>2.0864856846165249</v>
      </c>
      <c r="H72" s="89">
        <f t="shared" si="12"/>
        <v>1.1985241935717208</v>
      </c>
      <c r="I72" s="89">
        <f t="shared" si="12"/>
        <v>0.71132341063805227</v>
      </c>
      <c r="J72" s="89">
        <f t="shared" si="12"/>
        <v>0.33019092025872299</v>
      </c>
      <c r="K72" s="89">
        <f t="shared" si="12"/>
        <v>1.4167885915182961</v>
      </c>
      <c r="L72" s="89">
        <f t="shared" si="12"/>
        <v>1.1985241935717208</v>
      </c>
      <c r="M72" s="89">
        <f t="shared" si="12"/>
        <v>1.9455879444197197</v>
      </c>
      <c r="N72" s="89">
        <f t="shared" si="12"/>
        <v>0.48152732449850816</v>
      </c>
      <c r="O72" s="89">
        <f t="shared" si="12"/>
        <v>0.48152732449850816</v>
      </c>
      <c r="P72" s="89">
        <f t="shared" si="12"/>
        <v>0.48152732449850816</v>
      </c>
      <c r="Q72" s="89">
        <f t="shared" si="12"/>
        <v>0.48152732449850816</v>
      </c>
      <c r="R72" s="89">
        <f t="shared" si="12"/>
        <v>0.22841978605218477</v>
      </c>
      <c r="S72" s="89">
        <f t="shared" si="12"/>
        <v>0.22841978605218477</v>
      </c>
      <c r="T72" s="89">
        <f t="shared" si="12"/>
        <v>0.37920725576488806</v>
      </c>
      <c r="U72" s="89">
        <f t="shared" si="12"/>
        <v>0.37920725576488806</v>
      </c>
      <c r="V72" s="89">
        <f t="shared" si="12"/>
        <v>0.11564596416621335</v>
      </c>
      <c r="W72" s="89">
        <f t="shared" si="12"/>
        <v>0.10348159686165913</v>
      </c>
      <c r="X72" s="89">
        <f t="shared" si="12"/>
        <v>0.72814185659681763</v>
      </c>
    </row>
    <row r="73" spans="2:24" x14ac:dyDescent="0.25">
      <c r="B73" s="94" t="s">
        <v>98</v>
      </c>
      <c r="C73" s="91">
        <f t="shared" ref="C73:X73" si="13">(C72*($L$9))/(0.85*$L$6*100)</f>
        <v>5.3793195468222824E-2</v>
      </c>
      <c r="D73" s="91">
        <f t="shared" si="13"/>
        <v>2.3184613335440273E-2</v>
      </c>
      <c r="E73" s="91">
        <f t="shared" si="13"/>
        <v>2.3184613335440273E-2</v>
      </c>
      <c r="F73" s="91">
        <f t="shared" si="13"/>
        <v>4.3325984418406599E-2</v>
      </c>
      <c r="G73" s="91">
        <f t="shared" si="13"/>
        <v>3.4333559131713674E-2</v>
      </c>
      <c r="H73" s="91">
        <f t="shared" si="13"/>
        <v>1.9721966737743041E-2</v>
      </c>
      <c r="I73" s="91">
        <f t="shared" si="13"/>
        <v>1.1704975769053685E-2</v>
      </c>
      <c r="J73" s="91">
        <f t="shared" si="13"/>
        <v>5.4333607793438463E-3</v>
      </c>
      <c r="K73" s="91">
        <f t="shared" si="13"/>
        <v>2.3313553139939665E-2</v>
      </c>
      <c r="L73" s="91">
        <f t="shared" si="13"/>
        <v>1.9721966737743041E-2</v>
      </c>
      <c r="M73" s="91">
        <f t="shared" si="13"/>
        <v>3.201505729379623E-2</v>
      </c>
      <c r="N73" s="91">
        <f t="shared" si="13"/>
        <v>7.923633021351845E-3</v>
      </c>
      <c r="O73" s="91">
        <f t="shared" si="13"/>
        <v>7.923633021351845E-3</v>
      </c>
      <c r="P73" s="91">
        <f t="shared" si="13"/>
        <v>7.923633021351845E-3</v>
      </c>
      <c r="Q73" s="91">
        <f t="shared" si="13"/>
        <v>7.923633021351845E-3</v>
      </c>
      <c r="R73" s="91">
        <f t="shared" si="13"/>
        <v>3.7586954413815869E-3</v>
      </c>
      <c r="S73" s="91">
        <f t="shared" si="13"/>
        <v>3.7586954413815869E-3</v>
      </c>
      <c r="T73" s="91">
        <f t="shared" si="13"/>
        <v>6.2399348507255707E-3</v>
      </c>
      <c r="U73" s="91">
        <f t="shared" si="13"/>
        <v>6.2399348507255707E-3</v>
      </c>
      <c r="V73" s="91">
        <f t="shared" si="13"/>
        <v>1.902978572208355E-3</v>
      </c>
      <c r="W73" s="91">
        <f t="shared" si="13"/>
        <v>1.7028113593537141E-3</v>
      </c>
      <c r="X73" s="91">
        <f t="shared" si="13"/>
        <v>1.1981726821354784E-2</v>
      </c>
    </row>
    <row r="74" spans="2:24" ht="15.75" thickBot="1" x14ac:dyDescent="0.3">
      <c r="B74" s="94" t="s">
        <v>15</v>
      </c>
      <c r="C74" s="76">
        <f t="shared" ref="C74:X74" si="14">ROUNDUP(C71/(0.9*(($C$7-C73/2)/100)*($L$9*1000)),2)</f>
        <v>2.9499999999999997</v>
      </c>
      <c r="D74" s="76">
        <f t="shared" si="14"/>
        <v>1.27</v>
      </c>
      <c r="E74" s="76">
        <f t="shared" si="14"/>
        <v>1.27</v>
      </c>
      <c r="F74" s="76">
        <f t="shared" si="14"/>
        <v>2.38</v>
      </c>
      <c r="G74" s="76">
        <f t="shared" si="14"/>
        <v>1.89</v>
      </c>
      <c r="H74" s="76">
        <f t="shared" si="14"/>
        <v>1.08</v>
      </c>
      <c r="I74" s="76">
        <f t="shared" si="14"/>
        <v>0.65</v>
      </c>
      <c r="J74" s="76">
        <f t="shared" si="14"/>
        <v>0.3</v>
      </c>
      <c r="K74" s="76">
        <f t="shared" si="14"/>
        <v>1.28</v>
      </c>
      <c r="L74" s="76">
        <f t="shared" si="14"/>
        <v>1.08</v>
      </c>
      <c r="M74" s="76">
        <f t="shared" si="14"/>
        <v>1.76</v>
      </c>
      <c r="N74" s="76">
        <f t="shared" si="14"/>
        <v>0.44</v>
      </c>
      <c r="O74" s="76">
        <f t="shared" si="14"/>
        <v>0.44</v>
      </c>
      <c r="P74" s="76">
        <f t="shared" si="14"/>
        <v>0.44</v>
      </c>
      <c r="Q74" s="76">
        <f t="shared" si="14"/>
        <v>0.44</v>
      </c>
      <c r="R74" s="76">
        <f t="shared" si="14"/>
        <v>0.21000000000000002</v>
      </c>
      <c r="S74" s="76">
        <f t="shared" si="14"/>
        <v>0.21000000000000002</v>
      </c>
      <c r="T74" s="76">
        <f t="shared" si="14"/>
        <v>0.35000000000000003</v>
      </c>
      <c r="U74" s="76">
        <f t="shared" si="14"/>
        <v>0.35000000000000003</v>
      </c>
      <c r="V74" s="76">
        <f t="shared" si="14"/>
        <v>0.11</v>
      </c>
      <c r="W74" s="76">
        <f t="shared" si="14"/>
        <v>9.9999999999999992E-2</v>
      </c>
      <c r="X74" s="76">
        <f t="shared" si="14"/>
        <v>0.66</v>
      </c>
    </row>
    <row r="75" spans="2:24" ht="16.5" thickBot="1" x14ac:dyDescent="0.3">
      <c r="B75" s="61" t="s">
        <v>100</v>
      </c>
      <c r="C75" s="192" t="str">
        <f>IF(C74&gt;$C$12,"$\phi"&amp;IF(VLOOKUP(VLOOKUP(C74,tablas!$S$3:$U$66,2,TRUE)&amp;VLOOKUP(C74,tablas!$S$3:$U$66,3,TRUE),tablas!$R$3:$S$66,2,FALSE)&lt;C74,VLOOKUP(C74+0.1,tablas!$S$3:$U$66,2,TRUE),VLOOKUP(C74,tablas!$S$3:$U$66,2,TRUE))&amp;"@"&amp;IF(VLOOKUP(VLOOKUP(C74,tablas!$S$3:$U$66,2,TRUE)&amp;VLOOKUP(C74,tablas!$S$3:$U$66,3,TRUE),tablas!$R$3:$S$66,2,FALSE)&lt;C74,VLOOKUP(C74+0.1,tablas!$S$3:$U$66,3,TRUE),VLOOKUP(C74,tablas!$S$3:$U$66,3,TRUE))&amp;"$",$C$13)</f>
        <v>$\phi8@17$</v>
      </c>
      <c r="D75" s="192" t="str">
        <f>IF(D74&gt;$C$12,"$\phi"&amp;IF(VLOOKUP(VLOOKUP(D74,tablas!$S$3:$U$66,2,TRUE)&amp;VLOOKUP(D74,tablas!$S$3:$U$66,3,TRUE),tablas!$R$3:$S$66,2,FALSE)&lt;D74,VLOOKUP(D74+0.1,tablas!$S$3:$U$66,2,TRUE),VLOOKUP(D74,tablas!$S$3:$U$66,2,TRUE))&amp;"@"&amp;IF(VLOOKUP(VLOOKUP(D74,tablas!$S$3:$U$66,2,TRUE)&amp;VLOOKUP(D74,tablas!$S$3:$U$66,3,TRUE),tablas!$R$3:$S$66,2,FALSE)&lt;D74,VLOOKUP(D74+0.1,tablas!$S$3:$U$66,3,TRUE),VLOOKUP(D74,tablas!$S$3:$U$66,3,TRUE))&amp;"$",$C$13)</f>
        <v>$\phi8@17$</v>
      </c>
      <c r="E75" s="192" t="str">
        <f>IF(E74&gt;$C$12,"$\phi"&amp;IF(VLOOKUP(VLOOKUP(E74,tablas!$S$3:$U$66,2,TRUE)&amp;VLOOKUP(E74,tablas!$S$3:$U$66,3,TRUE),tablas!$R$3:$S$66,2,FALSE)&lt;E74,VLOOKUP(E74+0.1,tablas!$S$3:$U$66,2,TRUE),VLOOKUP(E74,tablas!$S$3:$U$66,2,TRUE))&amp;"@"&amp;IF(VLOOKUP(VLOOKUP(E74,tablas!$S$3:$U$66,2,TRUE)&amp;VLOOKUP(E74,tablas!$S$3:$U$66,3,TRUE),tablas!$R$3:$S$66,2,FALSE)&lt;E74,VLOOKUP(E74+0.1,tablas!$S$3:$U$66,3,TRUE),VLOOKUP(E74,tablas!$S$3:$U$66,3,TRUE))&amp;"$",$C$13)</f>
        <v>$\phi8@17$</v>
      </c>
      <c r="F75" s="192" t="str">
        <f>IF(F74&gt;$C$12,"$\phi"&amp;IF(VLOOKUP(VLOOKUP(F74,tablas!$S$3:$U$66,2,TRUE)&amp;VLOOKUP(F74,tablas!$S$3:$U$66,3,TRUE),tablas!$R$3:$S$66,2,FALSE)&lt;F74,VLOOKUP(F74+0.1,tablas!$S$3:$U$66,2,TRUE),VLOOKUP(F74,tablas!$S$3:$U$66,2,TRUE))&amp;"@"&amp;IF(VLOOKUP(VLOOKUP(F74,tablas!$S$3:$U$66,2,TRUE)&amp;VLOOKUP(F74,tablas!$S$3:$U$66,3,TRUE),tablas!$R$3:$S$66,2,FALSE)&lt;F74,VLOOKUP(F74+0.1,tablas!$S$3:$U$66,3,TRUE),VLOOKUP(F74,tablas!$S$3:$U$66,3,TRUE))&amp;"$",$C$13)</f>
        <v>$\phi8@17$</v>
      </c>
      <c r="G75" s="192" t="str">
        <f>IF(G74&gt;$C$12,"$\phi"&amp;IF(VLOOKUP(VLOOKUP(G74,tablas!$S$3:$U$66,2,TRUE)&amp;VLOOKUP(G74,tablas!$S$3:$U$66,3,TRUE),tablas!$R$3:$S$66,2,FALSE)&lt;G74,VLOOKUP(G74+0.1,tablas!$S$3:$U$66,2,TRUE),VLOOKUP(G74,tablas!$S$3:$U$66,2,TRUE))&amp;"@"&amp;IF(VLOOKUP(VLOOKUP(G74,tablas!$S$3:$U$66,2,TRUE)&amp;VLOOKUP(G74,tablas!$S$3:$U$66,3,TRUE),tablas!$R$3:$S$66,2,FALSE)&lt;G74,VLOOKUP(G74+0.1,tablas!$S$3:$U$66,3,TRUE),VLOOKUP(G74,tablas!$S$3:$U$66,3,TRUE))&amp;"$",$C$13)</f>
        <v>$\phi8@17$</v>
      </c>
      <c r="H75" s="192" t="str">
        <f>IF(H74&gt;$C$12,"$\phi"&amp;IF(VLOOKUP(VLOOKUP(H74,tablas!$S$3:$U$66,2,TRUE)&amp;VLOOKUP(H74,tablas!$S$3:$U$66,3,TRUE),tablas!$R$3:$S$66,2,FALSE)&lt;H74,VLOOKUP(H74+0.1,tablas!$S$3:$U$66,2,TRUE),VLOOKUP(H74,tablas!$S$3:$U$66,2,TRUE))&amp;"@"&amp;IF(VLOOKUP(VLOOKUP(H74,tablas!$S$3:$U$66,2,TRUE)&amp;VLOOKUP(H74,tablas!$S$3:$U$66,3,TRUE),tablas!$R$3:$S$66,2,FALSE)&lt;H74,VLOOKUP(H74+0.1,tablas!$S$3:$U$66,3,TRUE),VLOOKUP(H74,tablas!$S$3:$U$66,3,TRUE))&amp;"$",$C$13)</f>
        <v>$\phi8@17$</v>
      </c>
      <c r="I75" s="192" t="str">
        <f>IF(I74&gt;$C$12,"$\phi"&amp;IF(VLOOKUP(VLOOKUP(I74,tablas!$S$3:$U$66,2,TRUE)&amp;VLOOKUP(I74,tablas!$S$3:$U$66,3,TRUE),tablas!$R$3:$S$66,2,FALSE)&lt;I74,VLOOKUP(I74+0.1,tablas!$S$3:$U$66,2,TRUE),VLOOKUP(I74,tablas!$S$3:$U$66,2,TRUE))&amp;"@"&amp;IF(VLOOKUP(VLOOKUP(I74,tablas!$S$3:$U$66,2,TRUE)&amp;VLOOKUP(I74,tablas!$S$3:$U$66,3,TRUE),tablas!$R$3:$S$66,2,FALSE)&lt;I74,VLOOKUP(I74+0.1,tablas!$S$3:$U$66,3,TRUE),VLOOKUP(I74,tablas!$S$3:$U$66,3,TRUE))&amp;"$",$C$13)</f>
        <v>$\phi8@17$</v>
      </c>
      <c r="J75" s="192" t="str">
        <f>IF(J74&gt;$C$12,"$\phi"&amp;IF(VLOOKUP(VLOOKUP(J74,tablas!$S$3:$U$66,2,TRUE)&amp;VLOOKUP(J74,tablas!$S$3:$U$66,3,TRUE),tablas!$R$3:$S$66,2,FALSE)&lt;J74,VLOOKUP(J74+0.1,tablas!$S$3:$U$66,2,TRUE),VLOOKUP(J74,tablas!$S$3:$U$66,2,TRUE))&amp;"@"&amp;IF(VLOOKUP(VLOOKUP(J74,tablas!$S$3:$U$66,2,TRUE)&amp;VLOOKUP(J74,tablas!$S$3:$U$66,3,TRUE),tablas!$R$3:$S$66,2,FALSE)&lt;J74,VLOOKUP(J74+0.1,tablas!$S$3:$U$66,3,TRUE),VLOOKUP(J74,tablas!$S$3:$U$66,3,TRUE))&amp;"$",$C$13)</f>
        <v>$\phi8@17$</v>
      </c>
      <c r="K75" s="192" t="str">
        <f>IF(K74&gt;$C$12,"$\phi"&amp;IF(VLOOKUP(VLOOKUP(K74,tablas!$S$3:$U$66,2,TRUE)&amp;VLOOKUP(K74,tablas!$S$3:$U$66,3,TRUE),tablas!$R$3:$S$66,2,FALSE)&lt;K74,VLOOKUP(K74+0.1,tablas!$S$3:$U$66,2,TRUE),VLOOKUP(K74,tablas!$S$3:$U$66,2,TRUE))&amp;"@"&amp;IF(VLOOKUP(VLOOKUP(K74,tablas!$S$3:$U$66,2,TRUE)&amp;VLOOKUP(K74,tablas!$S$3:$U$66,3,TRUE),tablas!$R$3:$S$66,2,FALSE)&lt;K74,VLOOKUP(K74+0.1,tablas!$S$3:$U$66,3,TRUE),VLOOKUP(K74,tablas!$S$3:$U$66,3,TRUE))&amp;"$",$C$13)</f>
        <v>$\phi8@17$</v>
      </c>
      <c r="L75" s="192" t="str">
        <f>IF(L74&gt;$C$12,"$\phi"&amp;IF(VLOOKUP(VLOOKUP(L74,tablas!$S$3:$U$66,2,TRUE)&amp;VLOOKUP(L74,tablas!$S$3:$U$66,3,TRUE),tablas!$R$3:$S$66,2,FALSE)&lt;L74,VLOOKUP(L74+0.1,tablas!$S$3:$U$66,2,TRUE),VLOOKUP(L74,tablas!$S$3:$U$66,2,TRUE))&amp;"@"&amp;IF(VLOOKUP(VLOOKUP(L74,tablas!$S$3:$U$66,2,TRUE)&amp;VLOOKUP(L74,tablas!$S$3:$U$66,3,TRUE),tablas!$R$3:$S$66,2,FALSE)&lt;L74,VLOOKUP(L74+0.1,tablas!$S$3:$U$66,3,TRUE),VLOOKUP(L74,tablas!$S$3:$U$66,3,TRUE))&amp;"$",$C$13)</f>
        <v>$\phi8@17$</v>
      </c>
      <c r="M75" s="192" t="str">
        <f>IF(M74&gt;$C$12,"$\phi"&amp;IF(VLOOKUP(VLOOKUP(M74,tablas!$S$3:$U$66,2,TRUE)&amp;VLOOKUP(M74,tablas!$S$3:$U$66,3,TRUE),tablas!$R$3:$S$66,2,FALSE)&lt;M74,VLOOKUP(M74+0.1,tablas!$S$3:$U$66,2,TRUE),VLOOKUP(M74,tablas!$S$3:$U$66,2,TRUE))&amp;"@"&amp;IF(VLOOKUP(VLOOKUP(M74,tablas!$S$3:$U$66,2,TRUE)&amp;VLOOKUP(M74,tablas!$S$3:$U$66,3,TRUE),tablas!$R$3:$S$66,2,FALSE)&lt;M74,VLOOKUP(M74+0.1,tablas!$S$3:$U$66,3,TRUE),VLOOKUP(M74,tablas!$S$3:$U$66,3,TRUE))&amp;"$",$C$13)</f>
        <v>$\phi8@17$</v>
      </c>
      <c r="N75" s="192" t="str">
        <f>IF(N74&gt;$C$12,"$\phi"&amp;IF(VLOOKUP(VLOOKUP(N74,tablas!$S$3:$U$66,2,TRUE)&amp;VLOOKUP(N74,tablas!$S$3:$U$66,3,TRUE),tablas!$R$3:$S$66,2,FALSE)&lt;N74,VLOOKUP(N74+0.1,tablas!$S$3:$U$66,2,TRUE),VLOOKUP(N74,tablas!$S$3:$U$66,2,TRUE))&amp;"@"&amp;IF(VLOOKUP(VLOOKUP(N74,tablas!$S$3:$U$66,2,TRUE)&amp;VLOOKUP(N74,tablas!$S$3:$U$66,3,TRUE),tablas!$R$3:$S$66,2,FALSE)&lt;N74,VLOOKUP(N74+0.1,tablas!$S$3:$U$66,3,TRUE),VLOOKUP(N74,tablas!$S$3:$U$66,3,TRUE))&amp;"$",$C$13)</f>
        <v>$\phi8@17$</v>
      </c>
      <c r="O75" s="192" t="str">
        <f>IF(O74&gt;$C$12,"$\phi"&amp;IF(VLOOKUP(VLOOKUP(O74,tablas!$S$3:$U$66,2,TRUE)&amp;VLOOKUP(O74,tablas!$S$3:$U$66,3,TRUE),tablas!$R$3:$S$66,2,FALSE)&lt;O74,VLOOKUP(O74+0.1,tablas!$S$3:$U$66,2,TRUE),VLOOKUP(O74,tablas!$S$3:$U$66,2,TRUE))&amp;"@"&amp;IF(VLOOKUP(VLOOKUP(O74,tablas!$S$3:$U$66,2,TRUE)&amp;VLOOKUP(O74,tablas!$S$3:$U$66,3,TRUE),tablas!$R$3:$S$66,2,FALSE)&lt;O74,VLOOKUP(O74+0.1,tablas!$S$3:$U$66,3,TRUE),VLOOKUP(O74,tablas!$S$3:$U$66,3,TRUE))&amp;"$",$C$13)</f>
        <v>$\phi8@17$</v>
      </c>
      <c r="P75" s="192" t="str">
        <f>IF(P74&gt;$C$12,"$\phi"&amp;IF(VLOOKUP(VLOOKUP(P74,tablas!$S$3:$U$66,2,TRUE)&amp;VLOOKUP(P74,tablas!$S$3:$U$66,3,TRUE),tablas!$R$3:$S$66,2,FALSE)&lt;P74,VLOOKUP(P74+0.1,tablas!$S$3:$U$66,2,TRUE),VLOOKUP(P74,tablas!$S$3:$U$66,2,TRUE))&amp;"@"&amp;IF(VLOOKUP(VLOOKUP(P74,tablas!$S$3:$U$66,2,TRUE)&amp;VLOOKUP(P74,tablas!$S$3:$U$66,3,TRUE),tablas!$R$3:$S$66,2,FALSE)&lt;P74,VLOOKUP(P74+0.1,tablas!$S$3:$U$66,3,TRUE),VLOOKUP(P74,tablas!$S$3:$U$66,3,TRUE))&amp;"$",$C$13)</f>
        <v>$\phi8@17$</v>
      </c>
      <c r="Q75" s="192" t="str">
        <f>IF(Q74&gt;$C$12,"$\phi"&amp;IF(VLOOKUP(VLOOKUP(Q74,tablas!$S$3:$U$66,2,TRUE)&amp;VLOOKUP(Q74,tablas!$S$3:$U$66,3,TRUE),tablas!$R$3:$S$66,2,FALSE)&lt;Q74,VLOOKUP(Q74+0.1,tablas!$S$3:$U$66,2,TRUE),VLOOKUP(Q74,tablas!$S$3:$U$66,2,TRUE))&amp;"@"&amp;IF(VLOOKUP(VLOOKUP(Q74,tablas!$S$3:$U$66,2,TRUE)&amp;VLOOKUP(Q74,tablas!$S$3:$U$66,3,TRUE),tablas!$R$3:$S$66,2,FALSE)&lt;Q74,VLOOKUP(Q74+0.1,tablas!$S$3:$U$66,3,TRUE),VLOOKUP(Q74,tablas!$S$3:$U$66,3,TRUE))&amp;"$",$C$13)</f>
        <v>$\phi8@17$</v>
      </c>
      <c r="R75" s="192" t="str">
        <f>IF(R74&gt;$C$12,"$\phi"&amp;IF(VLOOKUP(VLOOKUP(R74,tablas!$S$3:$U$66,2,TRUE)&amp;VLOOKUP(R74,tablas!$S$3:$U$66,3,TRUE),tablas!$R$3:$S$66,2,FALSE)&lt;R74,VLOOKUP(R74+0.1,tablas!$S$3:$U$66,2,TRUE),VLOOKUP(R74,tablas!$S$3:$U$66,2,TRUE))&amp;"@"&amp;IF(VLOOKUP(VLOOKUP(R74,tablas!$S$3:$U$66,2,TRUE)&amp;VLOOKUP(R74,tablas!$S$3:$U$66,3,TRUE),tablas!$R$3:$S$66,2,FALSE)&lt;R74,VLOOKUP(R74+0.1,tablas!$S$3:$U$66,3,TRUE),VLOOKUP(R74,tablas!$S$3:$U$66,3,TRUE))&amp;"$",$C$13)</f>
        <v>$\phi8@17$</v>
      </c>
      <c r="S75" s="192" t="str">
        <f>IF(S74&gt;$C$12,"$\phi"&amp;IF(VLOOKUP(VLOOKUP(S74,tablas!$S$3:$U$66,2,TRUE)&amp;VLOOKUP(S74,tablas!$S$3:$U$66,3,TRUE),tablas!$R$3:$S$66,2,FALSE)&lt;S74,VLOOKUP(S74+0.1,tablas!$S$3:$U$66,2,TRUE),VLOOKUP(S74,tablas!$S$3:$U$66,2,TRUE))&amp;"@"&amp;IF(VLOOKUP(VLOOKUP(S74,tablas!$S$3:$U$66,2,TRUE)&amp;VLOOKUP(S74,tablas!$S$3:$U$66,3,TRUE),tablas!$R$3:$S$66,2,FALSE)&lt;S74,VLOOKUP(S74+0.1,tablas!$S$3:$U$66,3,TRUE),VLOOKUP(S74,tablas!$S$3:$U$66,3,TRUE))&amp;"$",$C$13)</f>
        <v>$\phi8@17$</v>
      </c>
      <c r="T75" s="192" t="str">
        <f>IF(T74&gt;$C$12,"$\phi"&amp;IF(VLOOKUP(VLOOKUP(T74,tablas!$S$3:$U$66,2,TRUE)&amp;VLOOKUP(T74,tablas!$S$3:$U$66,3,TRUE),tablas!$R$3:$S$66,2,FALSE)&lt;T74,VLOOKUP(T74+0.1,tablas!$S$3:$U$66,2,TRUE),VLOOKUP(T74,tablas!$S$3:$U$66,2,TRUE))&amp;"@"&amp;IF(VLOOKUP(VLOOKUP(T74,tablas!$S$3:$U$66,2,TRUE)&amp;VLOOKUP(T74,tablas!$S$3:$U$66,3,TRUE),tablas!$R$3:$S$66,2,FALSE)&lt;T74,VLOOKUP(T74+0.1,tablas!$S$3:$U$66,3,TRUE),VLOOKUP(T74,tablas!$S$3:$U$66,3,TRUE))&amp;"$",$C$13)</f>
        <v>$\phi8@17$</v>
      </c>
      <c r="U75" s="192" t="str">
        <f>IF(U74&gt;$C$12,"$\phi"&amp;IF(VLOOKUP(VLOOKUP(U74,tablas!$S$3:$U$66,2,TRUE)&amp;VLOOKUP(U74,tablas!$S$3:$U$66,3,TRUE),tablas!$R$3:$S$66,2,FALSE)&lt;U74,VLOOKUP(U74+0.1,tablas!$S$3:$U$66,2,TRUE),VLOOKUP(U74,tablas!$S$3:$U$66,2,TRUE))&amp;"@"&amp;IF(VLOOKUP(VLOOKUP(U74,tablas!$S$3:$U$66,2,TRUE)&amp;VLOOKUP(U74,tablas!$S$3:$U$66,3,TRUE),tablas!$R$3:$S$66,2,FALSE)&lt;U74,VLOOKUP(U74+0.1,tablas!$S$3:$U$66,3,TRUE),VLOOKUP(U74,tablas!$S$3:$U$66,3,TRUE))&amp;"$",$C$13)</f>
        <v>$\phi8@17$</v>
      </c>
      <c r="V75" s="192" t="str">
        <f>IF(V74&gt;$C$12,"$\phi"&amp;IF(VLOOKUP(VLOOKUP(V74,tablas!$S$3:$U$66,2,TRUE)&amp;VLOOKUP(V74,tablas!$S$3:$U$66,3,TRUE),tablas!$R$3:$S$66,2,FALSE)&lt;V74,VLOOKUP(V74+0.1,tablas!$S$3:$U$66,2,TRUE),VLOOKUP(V74,tablas!$S$3:$U$66,2,TRUE))&amp;"@"&amp;IF(VLOOKUP(VLOOKUP(V74,tablas!$S$3:$U$66,2,TRUE)&amp;VLOOKUP(V74,tablas!$S$3:$U$66,3,TRUE),tablas!$R$3:$S$66,2,FALSE)&lt;V74,VLOOKUP(V74+0.1,tablas!$S$3:$U$66,3,TRUE),VLOOKUP(V74,tablas!$S$3:$U$66,3,TRUE))&amp;"$",$C$13)</f>
        <v>$\phi8@17$</v>
      </c>
      <c r="W75" s="192" t="str">
        <f>IF(W74&gt;$C$12,"$\phi"&amp;IF(VLOOKUP(VLOOKUP(W74,tablas!$S$3:$U$66,2,TRUE)&amp;VLOOKUP(W74,tablas!$S$3:$U$66,3,TRUE),tablas!$R$3:$S$66,2,FALSE)&lt;W74,VLOOKUP(W74+0.1,tablas!$S$3:$U$66,2,TRUE),VLOOKUP(W74,tablas!$S$3:$U$66,2,TRUE))&amp;"@"&amp;IF(VLOOKUP(VLOOKUP(W74,tablas!$S$3:$U$66,2,TRUE)&amp;VLOOKUP(W74,tablas!$S$3:$U$66,3,TRUE),tablas!$R$3:$S$66,2,FALSE)&lt;W74,VLOOKUP(W74+0.1,tablas!$S$3:$U$66,3,TRUE),VLOOKUP(W74,tablas!$S$3:$U$66,3,TRUE))&amp;"$",$C$13)</f>
        <v>$\phi8@17$</v>
      </c>
      <c r="X75" s="192" t="str">
        <f>IF(X74&gt;$C$12,"$\phi"&amp;IF(VLOOKUP(VLOOKUP(X74,tablas!$S$3:$U$66,2,TRUE)&amp;VLOOKUP(X74,tablas!$S$3:$U$66,3,TRUE),tablas!$R$3:$S$66,2,FALSE)&lt;X74,VLOOKUP(X74+0.1,tablas!$S$3:$U$66,2,TRUE),VLOOKUP(X74,tablas!$S$3:$U$66,2,TRUE))&amp;"@"&amp;IF(VLOOKUP(VLOOKUP(X74,tablas!$S$3:$U$66,2,TRUE)&amp;VLOOKUP(X74,tablas!$S$3:$U$66,3,TRUE),tablas!$R$3:$S$66,2,FALSE)&lt;X74,VLOOKUP(X74+0.1,tablas!$S$3:$U$66,3,TRUE),VLOOKUP(X74,tablas!$S$3:$U$66,3,TRUE))&amp;"$",$C$13)</f>
        <v>$\phi8@17$</v>
      </c>
    </row>
    <row r="76" spans="2:24" x14ac:dyDescent="0.25">
      <c r="B76" s="93" t="s">
        <v>102</v>
      </c>
      <c r="C76" s="88">
        <f t="shared" ref="C76:X76" si="15">IF(C53&lt;=2,C68/C58*(1+C69*C62)*C56,"0")</f>
        <v>448.73926380368096</v>
      </c>
      <c r="D76" s="88">
        <f t="shared" si="15"/>
        <v>323.32092050209206</v>
      </c>
      <c r="E76" s="88">
        <f t="shared" si="15"/>
        <v>323.32092050209206</v>
      </c>
      <c r="F76" s="88">
        <f t="shared" si="15"/>
        <v>488.8078301886793</v>
      </c>
      <c r="G76" s="88">
        <f t="shared" si="15"/>
        <v>605.81110266159703</v>
      </c>
      <c r="H76" s="88">
        <f t="shared" si="15"/>
        <v>444.8340874811463</v>
      </c>
      <c r="I76" s="88">
        <f t="shared" si="15"/>
        <v>62.244</v>
      </c>
      <c r="J76" s="88" t="str">
        <f t="shared" si="15"/>
        <v>0</v>
      </c>
      <c r="K76" s="88" t="str">
        <f t="shared" si="15"/>
        <v>0</v>
      </c>
      <c r="L76" s="88">
        <f t="shared" si="15"/>
        <v>444.8340874811463</v>
      </c>
      <c r="M76" s="88">
        <f t="shared" si="15"/>
        <v>564.9014448669202</v>
      </c>
      <c r="N76" s="88" t="str">
        <f t="shared" si="15"/>
        <v>0</v>
      </c>
      <c r="O76" s="88" t="str">
        <f t="shared" si="15"/>
        <v>0</v>
      </c>
      <c r="P76" s="88" t="str">
        <f t="shared" si="15"/>
        <v>0</v>
      </c>
      <c r="Q76" s="88" t="str">
        <f t="shared" si="15"/>
        <v>0</v>
      </c>
      <c r="R76" s="88" t="str">
        <f t="shared" si="15"/>
        <v>0</v>
      </c>
      <c r="S76" s="88" t="str">
        <f t="shared" si="15"/>
        <v>0</v>
      </c>
      <c r="T76" s="88" t="str">
        <f t="shared" si="15"/>
        <v>0</v>
      </c>
      <c r="U76" s="88" t="str">
        <f t="shared" si="15"/>
        <v>0</v>
      </c>
      <c r="V76" s="88" t="str">
        <f t="shared" si="15"/>
        <v>0</v>
      </c>
      <c r="W76" s="88" t="str">
        <f t="shared" si="15"/>
        <v>0</v>
      </c>
      <c r="X76" s="88">
        <f t="shared" si="15"/>
        <v>90.621146853146854</v>
      </c>
    </row>
    <row r="77" spans="2:24" x14ac:dyDescent="0.25">
      <c r="B77" s="94" t="s">
        <v>15</v>
      </c>
      <c r="C77" s="84">
        <f t="shared" ref="C77:X77" si="16">C76/(0.9*(0.9*($C$7/100))*($L$9*1000))</f>
        <v>0.92456457128780933</v>
      </c>
      <c r="D77" s="84">
        <f t="shared" si="16"/>
        <v>0.66615759387432616</v>
      </c>
      <c r="E77" s="84">
        <f t="shared" si="16"/>
        <v>0.66615759387432616</v>
      </c>
      <c r="F77" s="84">
        <f t="shared" si="16"/>
        <v>1.0071202553789398</v>
      </c>
      <c r="G77" s="84">
        <f t="shared" si="16"/>
        <v>1.2481891548022814</v>
      </c>
      <c r="H77" s="84">
        <f t="shared" si="16"/>
        <v>0.91651850096661014</v>
      </c>
      <c r="I77" s="84">
        <f t="shared" si="16"/>
        <v>0.12824506749740391</v>
      </c>
      <c r="J77" s="84">
        <f t="shared" si="16"/>
        <v>0</v>
      </c>
      <c r="K77" s="84">
        <f t="shared" si="16"/>
        <v>0</v>
      </c>
      <c r="L77" s="84">
        <f t="shared" si="16"/>
        <v>0.91651850096661014</v>
      </c>
      <c r="M77" s="84">
        <f t="shared" si="16"/>
        <v>1.1639005193486789</v>
      </c>
      <c r="N77" s="84">
        <f t="shared" si="16"/>
        <v>0</v>
      </c>
      <c r="O77" s="84">
        <f t="shared" si="16"/>
        <v>0</v>
      </c>
      <c r="P77" s="84">
        <f t="shared" si="16"/>
        <v>0</v>
      </c>
      <c r="Q77" s="84">
        <f t="shared" si="16"/>
        <v>0</v>
      </c>
      <c r="R77" s="84">
        <f t="shared" si="16"/>
        <v>0</v>
      </c>
      <c r="S77" s="84">
        <f t="shared" si="16"/>
        <v>0</v>
      </c>
      <c r="T77" s="84">
        <f t="shared" si="16"/>
        <v>0</v>
      </c>
      <c r="U77" s="84">
        <f t="shared" si="16"/>
        <v>0</v>
      </c>
      <c r="V77" s="84">
        <f t="shared" si="16"/>
        <v>0</v>
      </c>
      <c r="W77" s="84">
        <f t="shared" si="16"/>
        <v>0</v>
      </c>
      <c r="X77" s="84">
        <f t="shared" si="16"/>
        <v>0.18671221474959787</v>
      </c>
    </row>
    <row r="78" spans="2:24" x14ac:dyDescent="0.25">
      <c r="B78" s="94" t="s">
        <v>98</v>
      </c>
      <c r="C78" s="84">
        <f t="shared" ref="C78:X78" si="17">(C77*($L$9))/(0.85*$L$6*100)</f>
        <v>1.5213903748988173E-2</v>
      </c>
      <c r="D78" s="84">
        <f t="shared" si="17"/>
        <v>1.0961762790396446E-2</v>
      </c>
      <c r="E78" s="84">
        <f t="shared" si="17"/>
        <v>1.0961762790396446E-2</v>
      </c>
      <c r="F78" s="84">
        <f t="shared" si="17"/>
        <v>1.6572374828996008E-2</v>
      </c>
      <c r="G78" s="84">
        <f t="shared" si="17"/>
        <v>2.0539214081329353E-2</v>
      </c>
      <c r="H78" s="84">
        <f t="shared" si="17"/>
        <v>1.5081503975921151E-2</v>
      </c>
      <c r="I78" s="84">
        <f t="shared" si="17"/>
        <v>2.1102994574736206E-3</v>
      </c>
      <c r="J78" s="84">
        <f t="shared" si="17"/>
        <v>0</v>
      </c>
      <c r="K78" s="84">
        <f t="shared" si="17"/>
        <v>0</v>
      </c>
      <c r="L78" s="84">
        <f t="shared" si="17"/>
        <v>1.5081503975921151E-2</v>
      </c>
      <c r="M78" s="84">
        <f t="shared" si="17"/>
        <v>1.9152226923538431E-2</v>
      </c>
      <c r="N78" s="84">
        <f t="shared" si="17"/>
        <v>0</v>
      </c>
      <c r="O78" s="84">
        <f t="shared" si="17"/>
        <v>0</v>
      </c>
      <c r="P78" s="84">
        <f t="shared" si="17"/>
        <v>0</v>
      </c>
      <c r="Q78" s="84">
        <f t="shared" si="17"/>
        <v>0</v>
      </c>
      <c r="R78" s="84">
        <f t="shared" si="17"/>
        <v>0</v>
      </c>
      <c r="S78" s="84">
        <f t="shared" si="17"/>
        <v>0</v>
      </c>
      <c r="T78" s="84">
        <f t="shared" si="17"/>
        <v>0</v>
      </c>
      <c r="U78" s="84">
        <f t="shared" si="17"/>
        <v>0</v>
      </c>
      <c r="V78" s="84">
        <f t="shared" si="17"/>
        <v>0</v>
      </c>
      <c r="W78" s="84">
        <f t="shared" si="17"/>
        <v>0</v>
      </c>
      <c r="X78" s="84">
        <f t="shared" si="17"/>
        <v>3.0723886164101453E-3</v>
      </c>
    </row>
    <row r="79" spans="2:24" ht="15.75" thickBot="1" x14ac:dyDescent="0.3">
      <c r="B79" s="94" t="s">
        <v>15</v>
      </c>
      <c r="C79" s="76">
        <f t="shared" ref="C79:X79" si="18">ROUNDUP(C76/(0.9*(($C$7-C78/2)/100)*($L$9*1000)),2)</f>
        <v>0.84</v>
      </c>
      <c r="D79" s="76">
        <f t="shared" si="18"/>
        <v>0.6</v>
      </c>
      <c r="E79" s="76">
        <f t="shared" si="18"/>
        <v>0.6</v>
      </c>
      <c r="F79" s="76">
        <f t="shared" si="18"/>
        <v>0.91</v>
      </c>
      <c r="G79" s="76">
        <f t="shared" si="18"/>
        <v>1.1300000000000001</v>
      </c>
      <c r="H79" s="76">
        <f t="shared" si="18"/>
        <v>0.83</v>
      </c>
      <c r="I79" s="76">
        <f t="shared" si="18"/>
        <v>0.12</v>
      </c>
      <c r="J79" s="76">
        <f t="shared" si="18"/>
        <v>0</v>
      </c>
      <c r="K79" s="76">
        <f t="shared" si="18"/>
        <v>0</v>
      </c>
      <c r="L79" s="76">
        <f t="shared" si="18"/>
        <v>0.83</v>
      </c>
      <c r="M79" s="76">
        <f t="shared" si="18"/>
        <v>1.05</v>
      </c>
      <c r="N79" s="76">
        <f t="shared" si="18"/>
        <v>0</v>
      </c>
      <c r="O79" s="76">
        <f t="shared" si="18"/>
        <v>0</v>
      </c>
      <c r="P79" s="76">
        <f t="shared" si="18"/>
        <v>0</v>
      </c>
      <c r="Q79" s="76">
        <f t="shared" si="18"/>
        <v>0</v>
      </c>
      <c r="R79" s="76">
        <f t="shared" si="18"/>
        <v>0</v>
      </c>
      <c r="S79" s="76">
        <f t="shared" si="18"/>
        <v>0</v>
      </c>
      <c r="T79" s="76">
        <f t="shared" si="18"/>
        <v>0</v>
      </c>
      <c r="U79" s="76">
        <f t="shared" si="18"/>
        <v>0</v>
      </c>
      <c r="V79" s="76">
        <f t="shared" si="18"/>
        <v>0</v>
      </c>
      <c r="W79" s="76">
        <f t="shared" si="18"/>
        <v>0</v>
      </c>
      <c r="X79" s="76">
        <f t="shared" si="18"/>
        <v>0.17</v>
      </c>
    </row>
    <row r="80" spans="2:24" ht="16.5" thickBot="1" x14ac:dyDescent="0.3">
      <c r="B80" s="61" t="s">
        <v>101</v>
      </c>
      <c r="C80" s="192" t="str">
        <f>IF(C79&gt;$C$12,"$\phi"&amp;IF(VLOOKUP(VLOOKUP(C79,tablas!$S$3:$U$66,2,TRUE)&amp;VLOOKUP(C79,tablas!$S$3:$U$66,3,TRUE),tablas!$R$3:$S$66,2,FALSE)&lt;C79,VLOOKUP(C79+0.1,tablas!$S$3:$U$66,2,TRUE),VLOOKUP(C79,tablas!$S$3:$U$66,2,TRUE))&amp;"@"&amp;IF(VLOOKUP(VLOOKUP(C79,tablas!$S$3:$U$66,2,TRUE)&amp;VLOOKUP(C79,tablas!$S$3:$U$66,3,TRUE),tablas!$R$3:$S$66,2,FALSE)&lt;C79,VLOOKUP(C79+0.1,tablas!$S$3:$U$66,3,TRUE),VLOOKUP(C79,tablas!$S$3:$U$66,3,TRUE))&amp;"$",$C$13)</f>
        <v>$\phi8@17$</v>
      </c>
      <c r="D80" s="192" t="str">
        <f>IF(D79&gt;$C$12,"$\phi"&amp;IF(VLOOKUP(VLOOKUP(D79,tablas!$S$3:$U$66,2,TRUE)&amp;VLOOKUP(D79,tablas!$S$3:$U$66,3,TRUE),tablas!$R$3:$S$66,2,FALSE)&lt;D79,VLOOKUP(D79+0.1,tablas!$S$3:$U$66,2,TRUE),VLOOKUP(D79,tablas!$S$3:$U$66,2,TRUE))&amp;"@"&amp;IF(VLOOKUP(VLOOKUP(D79,tablas!$S$3:$U$66,2,TRUE)&amp;VLOOKUP(D79,tablas!$S$3:$U$66,3,TRUE),tablas!$R$3:$S$66,2,FALSE)&lt;D79,VLOOKUP(D79+0.1,tablas!$S$3:$U$66,3,TRUE),VLOOKUP(D79,tablas!$S$3:$U$66,3,TRUE))&amp;"$",$C$13)</f>
        <v>$\phi8@17$</v>
      </c>
      <c r="E80" s="192" t="str">
        <f>IF(E79&gt;$C$12,"$\phi"&amp;IF(VLOOKUP(VLOOKUP(E79,tablas!$S$3:$U$66,2,TRUE)&amp;VLOOKUP(E79,tablas!$S$3:$U$66,3,TRUE),tablas!$R$3:$S$66,2,FALSE)&lt;E79,VLOOKUP(E79+0.1,tablas!$S$3:$U$66,2,TRUE),VLOOKUP(E79,tablas!$S$3:$U$66,2,TRUE))&amp;"@"&amp;IF(VLOOKUP(VLOOKUP(E79,tablas!$S$3:$U$66,2,TRUE)&amp;VLOOKUP(E79,tablas!$S$3:$U$66,3,TRUE),tablas!$R$3:$S$66,2,FALSE)&lt;E79,VLOOKUP(E79+0.1,tablas!$S$3:$U$66,3,TRUE),VLOOKUP(E79,tablas!$S$3:$U$66,3,TRUE))&amp;"$",$C$13)</f>
        <v>$\phi8@17$</v>
      </c>
      <c r="F80" s="192" t="str">
        <f>IF(F79&gt;$C$12,"$\phi"&amp;IF(VLOOKUP(VLOOKUP(F79,tablas!$S$3:$U$66,2,TRUE)&amp;VLOOKUP(F79,tablas!$S$3:$U$66,3,TRUE),tablas!$R$3:$S$66,2,FALSE)&lt;F79,VLOOKUP(F79+0.1,tablas!$S$3:$U$66,2,TRUE),VLOOKUP(F79,tablas!$S$3:$U$66,2,TRUE))&amp;"@"&amp;IF(VLOOKUP(VLOOKUP(F79,tablas!$S$3:$U$66,2,TRUE)&amp;VLOOKUP(F79,tablas!$S$3:$U$66,3,TRUE),tablas!$R$3:$S$66,2,FALSE)&lt;F79,VLOOKUP(F79+0.1,tablas!$S$3:$U$66,3,TRUE),VLOOKUP(F79,tablas!$S$3:$U$66,3,TRUE))&amp;"$",$C$13)</f>
        <v>$\phi8@17$</v>
      </c>
      <c r="G80" s="192" t="str">
        <f>IF(G79&gt;$C$12,"$\phi"&amp;IF(VLOOKUP(VLOOKUP(G79,tablas!$S$3:$U$66,2,TRUE)&amp;VLOOKUP(G79,tablas!$S$3:$U$66,3,TRUE),tablas!$R$3:$S$66,2,FALSE)&lt;G79,VLOOKUP(G79+0.1,tablas!$S$3:$U$66,2,TRUE),VLOOKUP(G79,tablas!$S$3:$U$66,2,TRUE))&amp;"@"&amp;IF(VLOOKUP(VLOOKUP(G79,tablas!$S$3:$U$66,2,TRUE)&amp;VLOOKUP(G79,tablas!$S$3:$U$66,3,TRUE),tablas!$R$3:$S$66,2,FALSE)&lt;G79,VLOOKUP(G79+0.1,tablas!$S$3:$U$66,3,TRUE),VLOOKUP(G79,tablas!$S$3:$U$66,3,TRUE))&amp;"$",$C$13)</f>
        <v>$\phi8@17$</v>
      </c>
      <c r="H80" s="192" t="str">
        <f>IF(H79&gt;$C$12,"$\phi"&amp;IF(VLOOKUP(VLOOKUP(H79,tablas!$S$3:$U$66,2,TRUE)&amp;VLOOKUP(H79,tablas!$S$3:$U$66,3,TRUE),tablas!$R$3:$S$66,2,FALSE)&lt;H79,VLOOKUP(H79+0.1,tablas!$S$3:$U$66,2,TRUE),VLOOKUP(H79,tablas!$S$3:$U$66,2,TRUE))&amp;"@"&amp;IF(VLOOKUP(VLOOKUP(H79,tablas!$S$3:$U$66,2,TRUE)&amp;VLOOKUP(H79,tablas!$S$3:$U$66,3,TRUE),tablas!$R$3:$S$66,2,FALSE)&lt;H79,VLOOKUP(H79+0.1,tablas!$S$3:$U$66,3,TRUE),VLOOKUP(H79,tablas!$S$3:$U$66,3,TRUE))&amp;"$",$C$13)</f>
        <v>$\phi8@17$</v>
      </c>
      <c r="I80" s="192" t="str">
        <f>IF(I79&gt;$C$12,"$\phi"&amp;IF(VLOOKUP(VLOOKUP(I79,tablas!$S$3:$U$66,2,TRUE)&amp;VLOOKUP(I79,tablas!$S$3:$U$66,3,TRUE),tablas!$R$3:$S$66,2,FALSE)&lt;I79,VLOOKUP(I79+0.1,tablas!$S$3:$U$66,2,TRUE),VLOOKUP(I79,tablas!$S$3:$U$66,2,TRUE))&amp;"@"&amp;IF(VLOOKUP(VLOOKUP(I79,tablas!$S$3:$U$66,2,TRUE)&amp;VLOOKUP(I79,tablas!$S$3:$U$66,3,TRUE),tablas!$R$3:$S$66,2,FALSE)&lt;I79,VLOOKUP(I79+0.1,tablas!$S$3:$U$66,3,TRUE),VLOOKUP(I79,tablas!$S$3:$U$66,3,TRUE))&amp;"$",$C$13)</f>
        <v>$\phi8@17$</v>
      </c>
      <c r="J80" s="192" t="str">
        <f>IF(J79&gt;$C$12,"$\phi"&amp;IF(VLOOKUP(VLOOKUP(J79,tablas!$S$3:$U$66,2,TRUE)&amp;VLOOKUP(J79,tablas!$S$3:$U$66,3,TRUE),tablas!$R$3:$S$66,2,FALSE)&lt;J79,VLOOKUP(J79+0.1,tablas!$S$3:$U$66,2,TRUE),VLOOKUP(J79,tablas!$S$3:$U$66,2,TRUE))&amp;"@"&amp;IF(VLOOKUP(VLOOKUP(J79,tablas!$S$3:$U$66,2,TRUE)&amp;VLOOKUP(J79,tablas!$S$3:$U$66,3,TRUE),tablas!$R$3:$S$66,2,FALSE)&lt;J79,VLOOKUP(J79+0.1,tablas!$S$3:$U$66,3,TRUE),VLOOKUP(J79,tablas!$S$3:$U$66,3,TRUE))&amp;"$",$C$13)</f>
        <v>$\phi8@17$</v>
      </c>
      <c r="K80" s="192" t="str">
        <f>IF(K79&gt;$C$12,"$\phi"&amp;IF(VLOOKUP(VLOOKUP(K79,tablas!$S$3:$U$66,2,TRUE)&amp;VLOOKUP(K79,tablas!$S$3:$U$66,3,TRUE),tablas!$R$3:$S$66,2,FALSE)&lt;K79,VLOOKUP(K79+0.1,tablas!$S$3:$U$66,2,TRUE),VLOOKUP(K79,tablas!$S$3:$U$66,2,TRUE))&amp;"@"&amp;IF(VLOOKUP(VLOOKUP(K79,tablas!$S$3:$U$66,2,TRUE)&amp;VLOOKUP(K79,tablas!$S$3:$U$66,3,TRUE),tablas!$R$3:$S$66,2,FALSE)&lt;K79,VLOOKUP(K79+0.1,tablas!$S$3:$U$66,3,TRUE),VLOOKUP(K79,tablas!$S$3:$U$66,3,TRUE))&amp;"$",$C$13)</f>
        <v>$\phi8@17$</v>
      </c>
      <c r="L80" s="192" t="str">
        <f>IF(L79&gt;$C$12,"$\phi"&amp;IF(VLOOKUP(VLOOKUP(L79,tablas!$S$3:$U$66,2,TRUE)&amp;VLOOKUP(L79,tablas!$S$3:$U$66,3,TRUE),tablas!$R$3:$S$66,2,FALSE)&lt;L79,VLOOKUP(L79+0.1,tablas!$S$3:$U$66,2,TRUE),VLOOKUP(L79,tablas!$S$3:$U$66,2,TRUE))&amp;"@"&amp;IF(VLOOKUP(VLOOKUP(L79,tablas!$S$3:$U$66,2,TRUE)&amp;VLOOKUP(L79,tablas!$S$3:$U$66,3,TRUE),tablas!$R$3:$S$66,2,FALSE)&lt;L79,VLOOKUP(L79+0.1,tablas!$S$3:$U$66,3,TRUE),VLOOKUP(L79,tablas!$S$3:$U$66,3,TRUE))&amp;"$",$C$13)</f>
        <v>$\phi8@17$</v>
      </c>
      <c r="M80" s="192" t="str">
        <f>IF(M79&gt;$C$12,"$\phi"&amp;IF(VLOOKUP(VLOOKUP(M79,tablas!$S$3:$U$66,2,TRUE)&amp;VLOOKUP(M79,tablas!$S$3:$U$66,3,TRUE),tablas!$R$3:$S$66,2,FALSE)&lt;M79,VLOOKUP(M79+0.1,tablas!$S$3:$U$66,2,TRUE),VLOOKUP(M79,tablas!$S$3:$U$66,2,TRUE))&amp;"@"&amp;IF(VLOOKUP(VLOOKUP(M79,tablas!$S$3:$U$66,2,TRUE)&amp;VLOOKUP(M79,tablas!$S$3:$U$66,3,TRUE),tablas!$R$3:$S$66,2,FALSE)&lt;M79,VLOOKUP(M79+0.1,tablas!$S$3:$U$66,3,TRUE),VLOOKUP(M79,tablas!$S$3:$U$66,3,TRUE))&amp;"$",$C$13)</f>
        <v>$\phi8@17$</v>
      </c>
      <c r="N80" s="192" t="str">
        <f>IF(N79&gt;$C$12,"$\phi"&amp;IF(VLOOKUP(VLOOKUP(N79,tablas!$S$3:$U$66,2,TRUE)&amp;VLOOKUP(N79,tablas!$S$3:$U$66,3,TRUE),tablas!$R$3:$S$66,2,FALSE)&lt;N79,VLOOKUP(N79+0.1,tablas!$S$3:$U$66,2,TRUE),VLOOKUP(N79,tablas!$S$3:$U$66,2,TRUE))&amp;"@"&amp;IF(VLOOKUP(VLOOKUP(N79,tablas!$S$3:$U$66,2,TRUE)&amp;VLOOKUP(N79,tablas!$S$3:$U$66,3,TRUE),tablas!$R$3:$S$66,2,FALSE)&lt;N79,VLOOKUP(N79+0.1,tablas!$S$3:$U$66,3,TRUE),VLOOKUP(N79,tablas!$S$3:$U$66,3,TRUE))&amp;"$",$C$13)</f>
        <v>$\phi8@17$</v>
      </c>
      <c r="O80" s="192" t="str">
        <f>IF(O79&gt;$C$12,"$\phi"&amp;IF(VLOOKUP(VLOOKUP(O79,tablas!$S$3:$U$66,2,TRUE)&amp;VLOOKUP(O79,tablas!$S$3:$U$66,3,TRUE),tablas!$R$3:$S$66,2,FALSE)&lt;O79,VLOOKUP(O79+0.1,tablas!$S$3:$U$66,2,TRUE),VLOOKUP(O79,tablas!$S$3:$U$66,2,TRUE))&amp;"@"&amp;IF(VLOOKUP(VLOOKUP(O79,tablas!$S$3:$U$66,2,TRUE)&amp;VLOOKUP(O79,tablas!$S$3:$U$66,3,TRUE),tablas!$R$3:$S$66,2,FALSE)&lt;O79,VLOOKUP(O79+0.1,tablas!$S$3:$U$66,3,TRUE),VLOOKUP(O79,tablas!$S$3:$U$66,3,TRUE))&amp;"$",$C$13)</f>
        <v>$\phi8@17$</v>
      </c>
      <c r="P80" s="192" t="str">
        <f>IF(P79&gt;$C$12,"$\phi"&amp;IF(VLOOKUP(VLOOKUP(P79,tablas!$S$3:$U$66,2,TRUE)&amp;VLOOKUP(P79,tablas!$S$3:$U$66,3,TRUE),tablas!$R$3:$S$66,2,FALSE)&lt;P79,VLOOKUP(P79+0.1,tablas!$S$3:$U$66,2,TRUE),VLOOKUP(P79,tablas!$S$3:$U$66,2,TRUE))&amp;"@"&amp;IF(VLOOKUP(VLOOKUP(P79,tablas!$S$3:$U$66,2,TRUE)&amp;VLOOKUP(P79,tablas!$S$3:$U$66,3,TRUE),tablas!$R$3:$S$66,2,FALSE)&lt;P79,VLOOKUP(P79+0.1,tablas!$S$3:$U$66,3,TRUE),VLOOKUP(P79,tablas!$S$3:$U$66,3,TRUE))&amp;"$",$C$13)</f>
        <v>$\phi8@17$</v>
      </c>
      <c r="Q80" s="192" t="str">
        <f>IF(Q79&gt;$C$12,"$\phi"&amp;IF(VLOOKUP(VLOOKUP(Q79,tablas!$S$3:$U$66,2,TRUE)&amp;VLOOKUP(Q79,tablas!$S$3:$U$66,3,TRUE),tablas!$R$3:$S$66,2,FALSE)&lt;Q79,VLOOKUP(Q79+0.1,tablas!$S$3:$U$66,2,TRUE),VLOOKUP(Q79,tablas!$S$3:$U$66,2,TRUE))&amp;"@"&amp;IF(VLOOKUP(VLOOKUP(Q79,tablas!$S$3:$U$66,2,TRUE)&amp;VLOOKUP(Q79,tablas!$S$3:$U$66,3,TRUE),tablas!$R$3:$S$66,2,FALSE)&lt;Q79,VLOOKUP(Q79+0.1,tablas!$S$3:$U$66,3,TRUE),VLOOKUP(Q79,tablas!$S$3:$U$66,3,TRUE))&amp;"$",$C$13)</f>
        <v>$\phi8@17$</v>
      </c>
      <c r="R80" s="192" t="str">
        <f>IF(R79&gt;$C$12,"$\phi"&amp;IF(VLOOKUP(VLOOKUP(R79,tablas!$S$3:$U$66,2,TRUE)&amp;VLOOKUP(R79,tablas!$S$3:$U$66,3,TRUE),tablas!$R$3:$S$66,2,FALSE)&lt;R79,VLOOKUP(R79+0.1,tablas!$S$3:$U$66,2,TRUE),VLOOKUP(R79,tablas!$S$3:$U$66,2,TRUE))&amp;"@"&amp;IF(VLOOKUP(VLOOKUP(R79,tablas!$S$3:$U$66,2,TRUE)&amp;VLOOKUP(R79,tablas!$S$3:$U$66,3,TRUE),tablas!$R$3:$S$66,2,FALSE)&lt;R79,VLOOKUP(R79+0.1,tablas!$S$3:$U$66,3,TRUE),VLOOKUP(R79,tablas!$S$3:$U$66,3,TRUE))&amp;"$",$C$13)</f>
        <v>$\phi8@17$</v>
      </c>
      <c r="S80" s="192" t="str">
        <f>IF(S79&gt;$C$12,"$\phi"&amp;IF(VLOOKUP(VLOOKUP(S79,tablas!$S$3:$U$66,2,TRUE)&amp;VLOOKUP(S79,tablas!$S$3:$U$66,3,TRUE),tablas!$R$3:$S$66,2,FALSE)&lt;S79,VLOOKUP(S79+0.1,tablas!$S$3:$U$66,2,TRUE),VLOOKUP(S79,tablas!$S$3:$U$66,2,TRUE))&amp;"@"&amp;IF(VLOOKUP(VLOOKUP(S79,tablas!$S$3:$U$66,2,TRUE)&amp;VLOOKUP(S79,tablas!$S$3:$U$66,3,TRUE),tablas!$R$3:$S$66,2,FALSE)&lt;S79,VLOOKUP(S79+0.1,tablas!$S$3:$U$66,3,TRUE),VLOOKUP(S79,tablas!$S$3:$U$66,3,TRUE))&amp;"$",$C$13)</f>
        <v>$\phi8@17$</v>
      </c>
      <c r="T80" s="192" t="str">
        <f>IF(T79&gt;$C$12,"$\phi"&amp;IF(VLOOKUP(VLOOKUP(T79,tablas!$S$3:$U$66,2,TRUE)&amp;VLOOKUP(T79,tablas!$S$3:$U$66,3,TRUE),tablas!$R$3:$S$66,2,FALSE)&lt;T79,VLOOKUP(T79+0.1,tablas!$S$3:$U$66,2,TRUE),VLOOKUP(T79,tablas!$S$3:$U$66,2,TRUE))&amp;"@"&amp;IF(VLOOKUP(VLOOKUP(T79,tablas!$S$3:$U$66,2,TRUE)&amp;VLOOKUP(T79,tablas!$S$3:$U$66,3,TRUE),tablas!$R$3:$S$66,2,FALSE)&lt;T79,VLOOKUP(T79+0.1,tablas!$S$3:$U$66,3,TRUE),VLOOKUP(T79,tablas!$S$3:$U$66,3,TRUE))&amp;"$",$C$13)</f>
        <v>$\phi8@17$</v>
      </c>
      <c r="U80" s="192" t="str">
        <f>IF(U79&gt;$C$12,"$\phi"&amp;IF(VLOOKUP(VLOOKUP(U79,tablas!$S$3:$U$66,2,TRUE)&amp;VLOOKUP(U79,tablas!$S$3:$U$66,3,TRUE),tablas!$R$3:$S$66,2,FALSE)&lt;U79,VLOOKUP(U79+0.1,tablas!$S$3:$U$66,2,TRUE),VLOOKUP(U79,tablas!$S$3:$U$66,2,TRUE))&amp;"@"&amp;IF(VLOOKUP(VLOOKUP(U79,tablas!$S$3:$U$66,2,TRUE)&amp;VLOOKUP(U79,tablas!$S$3:$U$66,3,TRUE),tablas!$R$3:$S$66,2,FALSE)&lt;U79,VLOOKUP(U79+0.1,tablas!$S$3:$U$66,3,TRUE),VLOOKUP(U79,tablas!$S$3:$U$66,3,TRUE))&amp;"$",$C$13)</f>
        <v>$\phi8@17$</v>
      </c>
      <c r="V80" s="192" t="str">
        <f>IF(V79&gt;$C$12,"$\phi"&amp;IF(VLOOKUP(VLOOKUP(V79,tablas!$S$3:$U$66,2,TRUE)&amp;VLOOKUP(V79,tablas!$S$3:$U$66,3,TRUE),tablas!$R$3:$S$66,2,FALSE)&lt;V79,VLOOKUP(V79+0.1,tablas!$S$3:$U$66,2,TRUE),VLOOKUP(V79,tablas!$S$3:$U$66,2,TRUE))&amp;"@"&amp;IF(VLOOKUP(VLOOKUP(V79,tablas!$S$3:$U$66,2,TRUE)&amp;VLOOKUP(V79,tablas!$S$3:$U$66,3,TRUE),tablas!$R$3:$S$66,2,FALSE)&lt;V79,VLOOKUP(V79+0.1,tablas!$S$3:$U$66,3,TRUE),VLOOKUP(V79,tablas!$S$3:$U$66,3,TRUE))&amp;"$",$C$13)</f>
        <v>$\phi8@17$</v>
      </c>
      <c r="W80" s="192" t="str">
        <f>IF(W79&gt;$C$12,"$\phi"&amp;IF(VLOOKUP(VLOOKUP(W79,tablas!$S$3:$U$66,2,TRUE)&amp;VLOOKUP(W79,tablas!$S$3:$U$66,3,TRUE),tablas!$R$3:$S$66,2,FALSE)&lt;W79,VLOOKUP(W79+0.1,tablas!$S$3:$U$66,2,TRUE),VLOOKUP(W79,tablas!$S$3:$U$66,2,TRUE))&amp;"@"&amp;IF(VLOOKUP(VLOOKUP(W79,tablas!$S$3:$U$66,2,TRUE)&amp;VLOOKUP(W79,tablas!$S$3:$U$66,3,TRUE),tablas!$R$3:$S$66,2,FALSE)&lt;W79,VLOOKUP(W79+0.1,tablas!$S$3:$U$66,3,TRUE),VLOOKUP(W79,tablas!$S$3:$U$66,3,TRUE))&amp;"$",$C$13)</f>
        <v>$\phi8@17$</v>
      </c>
      <c r="X80" s="192" t="str">
        <f>IF(X79&gt;$C$12,"$\phi"&amp;IF(VLOOKUP(VLOOKUP(X79,tablas!$S$3:$U$66,2,TRUE)&amp;VLOOKUP(X79,tablas!$S$3:$U$66,3,TRUE),tablas!$R$3:$S$66,2,FALSE)&lt;X79,VLOOKUP(X79+0.1,tablas!$S$3:$U$66,2,TRUE),VLOOKUP(X79,tablas!$S$3:$U$66,2,TRUE))&amp;"@"&amp;IF(VLOOKUP(VLOOKUP(X79,tablas!$S$3:$U$66,2,TRUE)&amp;VLOOKUP(X79,tablas!$S$3:$U$66,3,TRUE),tablas!$R$3:$S$66,2,FALSE)&lt;X79,VLOOKUP(X79+0.1,tablas!$S$3:$U$66,3,TRUE),VLOOKUP(X79,tablas!$S$3:$U$66,3,TRUE))&amp;"$",$C$13)</f>
        <v>$\phi8@17$</v>
      </c>
    </row>
    <row r="81" spans="2:26" x14ac:dyDescent="0.25">
      <c r="B81" s="93" t="s">
        <v>103</v>
      </c>
      <c r="C81" s="88">
        <f t="shared" ref="C81:X81" si="19">IF(C53&lt;=2,C68/C59,IF(OR(C51=6,C51="5a",C51="3a"),C67*C48^2/12,(IF(OR(C51="2a",C51=4,C51="5b"),C67*C48^2/8,"-"))))</f>
        <v>3157.8048780487807</v>
      </c>
      <c r="D81" s="88">
        <f t="shared" si="19"/>
        <v>1482.063829787234</v>
      </c>
      <c r="E81" s="88">
        <f t="shared" si="19"/>
        <v>1482.063829787234</v>
      </c>
      <c r="F81" s="88">
        <f t="shared" si="19"/>
        <v>2660.2039062500003</v>
      </c>
      <c r="G81" s="88">
        <f t="shared" si="19"/>
        <v>2330.2529032258067</v>
      </c>
      <c r="H81" s="88">
        <f t="shared" si="19"/>
        <v>1428.5638297872338</v>
      </c>
      <c r="I81" s="88">
        <f t="shared" si="19"/>
        <v>670.04318181818178</v>
      </c>
      <c r="J81" s="88">
        <f t="shared" si="19"/>
        <v>227.0333333333333</v>
      </c>
      <c r="K81" s="88">
        <f t="shared" si="19"/>
        <v>974.1583333333333</v>
      </c>
      <c r="L81" s="88">
        <f t="shared" si="19"/>
        <v>1428.5638297872338</v>
      </c>
      <c r="M81" s="88">
        <f t="shared" si="19"/>
        <v>2172.8938709677423</v>
      </c>
      <c r="N81" s="88">
        <f t="shared" si="19"/>
        <v>350.56537500000002</v>
      </c>
      <c r="O81" s="88">
        <f t="shared" si="19"/>
        <v>350.56537500000002</v>
      </c>
      <c r="P81" s="88">
        <f t="shared" si="19"/>
        <v>350.56537500000002</v>
      </c>
      <c r="Q81" s="88">
        <f t="shared" si="19"/>
        <v>350.56537500000002</v>
      </c>
      <c r="R81" s="88">
        <f t="shared" si="19"/>
        <v>166.29600000000002</v>
      </c>
      <c r="S81" s="88">
        <f t="shared" si="19"/>
        <v>166.29600000000002</v>
      </c>
      <c r="T81" s="88">
        <f t="shared" si="19"/>
        <v>276.07350000000002</v>
      </c>
      <c r="U81" s="88">
        <f t="shared" si="19"/>
        <v>276.07350000000002</v>
      </c>
      <c r="V81" s="88">
        <f t="shared" si="19"/>
        <v>84.1935</v>
      </c>
      <c r="W81" s="88">
        <f t="shared" si="19"/>
        <v>75.337499999999991</v>
      </c>
      <c r="X81" s="88">
        <f t="shared" si="19"/>
        <v>734.75928143712576</v>
      </c>
    </row>
    <row r="82" spans="2:26" x14ac:dyDescent="0.25">
      <c r="B82" s="94" t="s">
        <v>15</v>
      </c>
      <c r="C82" s="89">
        <f t="shared" ref="C82:X82" si="20">C81/(0.9*(0.9*($C$7/100))*($L$9*1000))</f>
        <v>6.5062158558093506</v>
      </c>
      <c r="D82" s="89">
        <f t="shared" si="20"/>
        <v>3.0535855003940102</v>
      </c>
      <c r="E82" s="89">
        <f t="shared" si="20"/>
        <v>3.0535855003940102</v>
      </c>
      <c r="F82" s="89">
        <f t="shared" si="20"/>
        <v>5.4809785604056422</v>
      </c>
      <c r="G82" s="89">
        <f t="shared" si="20"/>
        <v>4.8011606076122195</v>
      </c>
      <c r="H82" s="89">
        <f t="shared" si="20"/>
        <v>2.9433562234980659</v>
      </c>
      <c r="I82" s="89">
        <f t="shared" si="20"/>
        <v>1.3805303816986054</v>
      </c>
      <c r="J82" s="89">
        <f t="shared" si="20"/>
        <v>0.46777047036652414</v>
      </c>
      <c r="K82" s="89">
        <f t="shared" si="20"/>
        <v>2.0071171713175859</v>
      </c>
      <c r="L82" s="89">
        <f t="shared" si="20"/>
        <v>2.9433562234980659</v>
      </c>
      <c r="M82" s="89">
        <f t="shared" si="20"/>
        <v>4.476944302213119</v>
      </c>
      <c r="N82" s="89">
        <f t="shared" si="20"/>
        <v>0.72229098674776226</v>
      </c>
      <c r="O82" s="89">
        <f t="shared" si="20"/>
        <v>0.72229098674776226</v>
      </c>
      <c r="P82" s="89">
        <f t="shared" si="20"/>
        <v>0.72229098674776226</v>
      </c>
      <c r="Q82" s="89">
        <f t="shared" si="20"/>
        <v>0.72229098674776226</v>
      </c>
      <c r="R82" s="89">
        <f t="shared" si="20"/>
        <v>0.34262967907827713</v>
      </c>
      <c r="S82" s="89">
        <f t="shared" si="20"/>
        <v>0.34262967907827713</v>
      </c>
      <c r="T82" s="89">
        <f t="shared" si="20"/>
        <v>0.56881088364733212</v>
      </c>
      <c r="U82" s="89">
        <f t="shared" si="20"/>
        <v>0.56881088364733212</v>
      </c>
      <c r="V82" s="89">
        <f t="shared" si="20"/>
        <v>0.17346894624932002</v>
      </c>
      <c r="W82" s="89">
        <f t="shared" si="20"/>
        <v>0.15522239529248869</v>
      </c>
      <c r="X82" s="89">
        <f t="shared" si="20"/>
        <v>1.5138688651476155</v>
      </c>
    </row>
    <row r="83" spans="2:26" x14ac:dyDescent="0.25">
      <c r="B83" s="94" t="s">
        <v>98</v>
      </c>
      <c r="C83" s="91">
        <f t="shared" ref="C83:X83" si="21">(C82*($L$9))/(0.85*$L$6*100)</f>
        <v>0.10706114518594394</v>
      </c>
      <c r="D83" s="91">
        <f t="shared" si="21"/>
        <v>5.0247389241393173E-2</v>
      </c>
      <c r="E83" s="91">
        <f t="shared" si="21"/>
        <v>5.0247389241393173E-2</v>
      </c>
      <c r="F83" s="91">
        <f t="shared" si="21"/>
        <v>9.019065066719012E-2</v>
      </c>
      <c r="G83" s="91">
        <f t="shared" si="21"/>
        <v>7.9004103808459444E-2</v>
      </c>
      <c r="H83" s="91">
        <f t="shared" si="21"/>
        <v>4.843354339320155E-2</v>
      </c>
      <c r="I83" s="91">
        <f t="shared" si="21"/>
        <v>2.2716916700000121E-2</v>
      </c>
      <c r="J83" s="91">
        <f t="shared" si="21"/>
        <v>7.6972611040704471E-3</v>
      </c>
      <c r="K83" s="91">
        <f t="shared" si="21"/>
        <v>3.302753361491452E-2</v>
      </c>
      <c r="L83" s="91">
        <f t="shared" si="21"/>
        <v>4.843354339320155E-2</v>
      </c>
      <c r="M83" s="91">
        <f t="shared" si="21"/>
        <v>7.3669056568520366E-2</v>
      </c>
      <c r="N83" s="91">
        <f t="shared" si="21"/>
        <v>1.1885449532027768E-2</v>
      </c>
      <c r="O83" s="91">
        <f t="shared" si="21"/>
        <v>1.1885449532027768E-2</v>
      </c>
      <c r="P83" s="91">
        <f t="shared" si="21"/>
        <v>1.1885449532027768E-2</v>
      </c>
      <c r="Q83" s="91">
        <f t="shared" si="21"/>
        <v>1.1885449532027768E-2</v>
      </c>
      <c r="R83" s="91">
        <f t="shared" si="21"/>
        <v>5.6380431620723804E-3</v>
      </c>
      <c r="S83" s="91">
        <f t="shared" si="21"/>
        <v>5.6380431620723804E-3</v>
      </c>
      <c r="T83" s="91">
        <f t="shared" si="21"/>
        <v>9.3599022760883551E-3</v>
      </c>
      <c r="U83" s="91">
        <f t="shared" si="21"/>
        <v>9.3599022760883551E-3</v>
      </c>
      <c r="V83" s="91">
        <f t="shared" si="21"/>
        <v>2.8544678583125324E-3</v>
      </c>
      <c r="W83" s="91">
        <f t="shared" si="21"/>
        <v>2.5542170390305714E-3</v>
      </c>
      <c r="X83" s="91">
        <f t="shared" si="21"/>
        <v>2.4911029384205283E-2</v>
      </c>
    </row>
    <row r="84" spans="2:26" ht="15.75" thickBot="1" x14ac:dyDescent="0.3">
      <c r="B84" s="94" t="s">
        <v>15</v>
      </c>
      <c r="C84" s="76">
        <f t="shared" ref="C84:X84" si="22">ROUNDUP(C81/(0.9*(($C$7-C83/2)/100)*($L$9*1000)),2)</f>
        <v>5.88</v>
      </c>
      <c r="D84" s="76">
        <f t="shared" si="22"/>
        <v>2.76</v>
      </c>
      <c r="E84" s="76">
        <f t="shared" si="22"/>
        <v>2.76</v>
      </c>
      <c r="F84" s="76">
        <f t="shared" si="22"/>
        <v>4.95</v>
      </c>
      <c r="G84" s="76">
        <f t="shared" si="22"/>
        <v>4.34</v>
      </c>
      <c r="H84" s="76">
        <f t="shared" si="22"/>
        <v>2.6599999999999997</v>
      </c>
      <c r="I84" s="76">
        <f t="shared" si="22"/>
        <v>1.25</v>
      </c>
      <c r="J84" s="76">
        <f t="shared" si="22"/>
        <v>0.43</v>
      </c>
      <c r="K84" s="76">
        <f t="shared" si="22"/>
        <v>1.81</v>
      </c>
      <c r="L84" s="76">
        <f t="shared" si="22"/>
        <v>2.6599999999999997</v>
      </c>
      <c r="M84" s="76">
        <f t="shared" si="22"/>
        <v>4.04</v>
      </c>
      <c r="N84" s="76">
        <f t="shared" si="22"/>
        <v>0.66</v>
      </c>
      <c r="O84" s="76">
        <f t="shared" si="22"/>
        <v>0.66</v>
      </c>
      <c r="P84" s="76">
        <f t="shared" si="22"/>
        <v>0.66</v>
      </c>
      <c r="Q84" s="76">
        <f t="shared" si="22"/>
        <v>0.66</v>
      </c>
      <c r="R84" s="76">
        <f t="shared" si="22"/>
        <v>0.31</v>
      </c>
      <c r="S84" s="76">
        <f t="shared" si="22"/>
        <v>0.31</v>
      </c>
      <c r="T84" s="76">
        <f t="shared" si="22"/>
        <v>0.52</v>
      </c>
      <c r="U84" s="76">
        <f t="shared" si="22"/>
        <v>0.52</v>
      </c>
      <c r="V84" s="76">
        <f t="shared" si="22"/>
        <v>0.16</v>
      </c>
      <c r="W84" s="76">
        <f t="shared" si="22"/>
        <v>0.14000000000000001</v>
      </c>
      <c r="X84" s="76">
        <f t="shared" si="22"/>
        <v>1.37</v>
      </c>
    </row>
    <row r="85" spans="2:26" ht="16.5" thickBot="1" x14ac:dyDescent="0.3">
      <c r="B85" s="61" t="s">
        <v>105</v>
      </c>
      <c r="C85" s="192" t="str">
        <f>IF(C84&gt;$C$12,"$\phi"&amp;IF(VLOOKUP(VLOOKUP(C84,tablas!$S$3:$U$66,2,TRUE)&amp;VLOOKUP(C84,tablas!$S$3:$U$66,3,TRUE),tablas!$R$3:$S$66,2,FALSE)&lt;C84,VLOOKUP(C84+0.1,tablas!$S$3:$U$66,2,TRUE),VLOOKUP(C84,tablas!$S$3:$U$66,2,TRUE))&amp;"@"&amp;IF(VLOOKUP(VLOOKUP(C84,tablas!$S$3:$U$66,2,TRUE)&amp;VLOOKUP(C84,tablas!$S$3:$U$66,3,TRUE),tablas!$R$3:$S$66,2,FALSE)&lt;C84,VLOOKUP(C84+0.1,tablas!$S$3:$U$66,3,TRUE),VLOOKUP(C84,tablas!$S$3:$U$66,3,TRUE))&amp;"$",$C$13)</f>
        <v>$\phi12@19$</v>
      </c>
      <c r="D85" s="192" t="str">
        <f>IF(D84&gt;$C$12,"$\phi"&amp;IF(VLOOKUP(VLOOKUP(D84,tablas!$S$3:$U$66,2,TRUE)&amp;VLOOKUP(D84,tablas!$S$3:$U$66,3,TRUE),tablas!$R$3:$S$66,2,FALSE)&lt;D84,VLOOKUP(D84+0.1,tablas!$S$3:$U$66,2,TRUE),VLOOKUP(D84,tablas!$S$3:$U$66,2,TRUE))&amp;"@"&amp;IF(VLOOKUP(VLOOKUP(D84,tablas!$S$3:$U$66,2,TRUE)&amp;VLOOKUP(D84,tablas!$S$3:$U$66,3,TRUE),tablas!$R$3:$S$66,2,FALSE)&lt;D84,VLOOKUP(D84+0.1,tablas!$S$3:$U$66,3,TRUE),VLOOKUP(D84,tablas!$S$3:$U$66,3,TRUE))&amp;"$",$C$13)</f>
        <v>$\phi8@17$</v>
      </c>
      <c r="E85" s="192" t="str">
        <f>IF(E84&gt;$C$12,"$\phi"&amp;IF(VLOOKUP(VLOOKUP(E84,tablas!$S$3:$U$66,2,TRUE)&amp;VLOOKUP(E84,tablas!$S$3:$U$66,3,TRUE),tablas!$R$3:$S$66,2,FALSE)&lt;E84,VLOOKUP(E84+0.1,tablas!$S$3:$U$66,2,TRUE),VLOOKUP(E84,tablas!$S$3:$U$66,2,TRUE))&amp;"@"&amp;IF(VLOOKUP(VLOOKUP(E84,tablas!$S$3:$U$66,2,TRUE)&amp;VLOOKUP(E84,tablas!$S$3:$U$66,3,TRUE),tablas!$R$3:$S$66,2,FALSE)&lt;E84,VLOOKUP(E84+0.1,tablas!$S$3:$U$66,3,TRUE),VLOOKUP(E84,tablas!$S$3:$U$66,3,TRUE))&amp;"$",$C$13)</f>
        <v>$\phi8@17$</v>
      </c>
      <c r="F85" s="192" t="str">
        <f>IF(F84&gt;$C$12,"$\phi"&amp;IF(VLOOKUP(VLOOKUP(F84,tablas!$S$3:$U$66,2,TRUE)&amp;VLOOKUP(F84,tablas!$S$3:$U$66,3,TRUE),tablas!$R$3:$S$66,2,FALSE)&lt;F84,VLOOKUP(F84+0.1,tablas!$S$3:$U$66,2,TRUE),VLOOKUP(F84,tablas!$S$3:$U$66,2,TRUE))&amp;"@"&amp;IF(VLOOKUP(VLOOKUP(F84,tablas!$S$3:$U$66,2,TRUE)&amp;VLOOKUP(F84,tablas!$S$3:$U$66,3,TRUE),tablas!$R$3:$S$66,2,FALSE)&lt;F84,VLOOKUP(F84+0.1,tablas!$S$3:$U$66,3,TRUE),VLOOKUP(F84,tablas!$S$3:$U$66,3,TRUE))&amp;"$",$C$13)</f>
        <v>$\phi8@10$</v>
      </c>
      <c r="G85" s="192" t="str">
        <f>IF(G84&gt;$C$12,"$\phi"&amp;IF(VLOOKUP(VLOOKUP(G84,tablas!$S$3:$U$66,2,TRUE)&amp;VLOOKUP(G84,tablas!$S$3:$U$66,3,TRUE),tablas!$R$3:$S$66,2,FALSE)&lt;G84,VLOOKUP(G84+0.1,tablas!$S$3:$U$66,2,TRUE),VLOOKUP(G84,tablas!$S$3:$U$66,2,TRUE))&amp;"@"&amp;IF(VLOOKUP(VLOOKUP(G84,tablas!$S$3:$U$66,2,TRUE)&amp;VLOOKUP(G84,tablas!$S$3:$U$66,3,TRUE),tablas!$R$3:$S$66,2,FALSE)&lt;G84,VLOOKUP(G84+0.1,tablas!$S$3:$U$66,3,TRUE),VLOOKUP(G84,tablas!$S$3:$U$66,3,TRUE))&amp;"$",$C$13)</f>
        <v>$\phi10@18$</v>
      </c>
      <c r="H85" s="192" t="str">
        <f>IF(H84&gt;$C$12,"$\phi"&amp;IF(VLOOKUP(VLOOKUP(H84,tablas!$S$3:$U$66,2,TRUE)&amp;VLOOKUP(H84,tablas!$S$3:$U$66,3,TRUE),tablas!$R$3:$S$66,2,FALSE)&lt;H84,VLOOKUP(H84+0.1,tablas!$S$3:$U$66,2,TRUE),VLOOKUP(H84,tablas!$S$3:$U$66,2,TRUE))&amp;"@"&amp;IF(VLOOKUP(VLOOKUP(H84,tablas!$S$3:$U$66,2,TRUE)&amp;VLOOKUP(H84,tablas!$S$3:$U$66,3,TRUE),tablas!$R$3:$S$66,2,FALSE)&lt;H84,VLOOKUP(H84+0.1,tablas!$S$3:$U$66,3,TRUE),VLOOKUP(H84,tablas!$S$3:$U$66,3,TRUE))&amp;"$",$C$13)</f>
        <v>$\phi8@17$</v>
      </c>
      <c r="I85" s="192" t="str">
        <f>IF(I84&gt;$C$12,"$\phi"&amp;IF(VLOOKUP(VLOOKUP(I84,tablas!$S$3:$U$66,2,TRUE)&amp;VLOOKUP(I84,tablas!$S$3:$U$66,3,TRUE),tablas!$R$3:$S$66,2,FALSE)&lt;I84,VLOOKUP(I84+0.1,tablas!$S$3:$U$66,2,TRUE),VLOOKUP(I84,tablas!$S$3:$U$66,2,TRUE))&amp;"@"&amp;IF(VLOOKUP(VLOOKUP(I84,tablas!$S$3:$U$66,2,TRUE)&amp;VLOOKUP(I84,tablas!$S$3:$U$66,3,TRUE),tablas!$R$3:$S$66,2,FALSE)&lt;I84,VLOOKUP(I84+0.1,tablas!$S$3:$U$66,3,TRUE),VLOOKUP(I84,tablas!$S$3:$U$66,3,TRUE))&amp;"$",$C$13)</f>
        <v>$\phi8@17$</v>
      </c>
      <c r="J85" s="192" t="str">
        <f>IF(J84&gt;$C$12,"$\phi"&amp;IF(VLOOKUP(VLOOKUP(J84,tablas!$S$3:$U$66,2,TRUE)&amp;VLOOKUP(J84,tablas!$S$3:$U$66,3,TRUE),tablas!$R$3:$S$66,2,FALSE)&lt;J84,VLOOKUP(J84+0.1,tablas!$S$3:$U$66,2,TRUE),VLOOKUP(J84,tablas!$S$3:$U$66,2,TRUE))&amp;"@"&amp;IF(VLOOKUP(VLOOKUP(J84,tablas!$S$3:$U$66,2,TRUE)&amp;VLOOKUP(J84,tablas!$S$3:$U$66,3,TRUE),tablas!$R$3:$S$66,2,FALSE)&lt;J84,VLOOKUP(J84+0.1,tablas!$S$3:$U$66,3,TRUE),VLOOKUP(J84,tablas!$S$3:$U$66,3,TRUE))&amp;"$",$C$13)</f>
        <v>$\phi8@17$</v>
      </c>
      <c r="K85" s="192" t="str">
        <f>IF(K84&gt;$C$12,"$\phi"&amp;IF(VLOOKUP(VLOOKUP(K84,tablas!$S$3:$U$66,2,TRUE)&amp;VLOOKUP(K84,tablas!$S$3:$U$66,3,TRUE),tablas!$R$3:$S$66,2,FALSE)&lt;K84,VLOOKUP(K84+0.1,tablas!$S$3:$U$66,2,TRUE),VLOOKUP(K84,tablas!$S$3:$U$66,2,TRUE))&amp;"@"&amp;IF(VLOOKUP(VLOOKUP(K84,tablas!$S$3:$U$66,2,TRUE)&amp;VLOOKUP(K84,tablas!$S$3:$U$66,3,TRUE),tablas!$R$3:$S$66,2,FALSE)&lt;K84,VLOOKUP(K84+0.1,tablas!$S$3:$U$66,3,TRUE),VLOOKUP(K84,tablas!$S$3:$U$66,3,TRUE))&amp;"$",$C$13)</f>
        <v>$\phi8@17$</v>
      </c>
      <c r="L85" s="192" t="str">
        <f>IF(L84&gt;$C$12,"$\phi"&amp;IF(VLOOKUP(VLOOKUP(L84,tablas!$S$3:$U$66,2,TRUE)&amp;VLOOKUP(L84,tablas!$S$3:$U$66,3,TRUE),tablas!$R$3:$S$66,2,FALSE)&lt;L84,VLOOKUP(L84+0.1,tablas!$S$3:$U$66,2,TRUE),VLOOKUP(L84,tablas!$S$3:$U$66,2,TRUE))&amp;"@"&amp;IF(VLOOKUP(VLOOKUP(L84,tablas!$S$3:$U$66,2,TRUE)&amp;VLOOKUP(L84,tablas!$S$3:$U$66,3,TRUE),tablas!$R$3:$S$66,2,FALSE)&lt;L84,VLOOKUP(L84+0.1,tablas!$S$3:$U$66,3,TRUE),VLOOKUP(L84,tablas!$S$3:$U$66,3,TRUE))&amp;"$",$C$13)</f>
        <v>$\phi8@17$</v>
      </c>
      <c r="M85" s="192" t="str">
        <f>IF(M84&gt;$C$12,"$\phi"&amp;IF(VLOOKUP(VLOOKUP(M84,tablas!$S$3:$U$66,2,TRUE)&amp;VLOOKUP(M84,tablas!$S$3:$U$66,3,TRUE),tablas!$R$3:$S$66,2,FALSE)&lt;M84,VLOOKUP(M84+0.1,tablas!$S$3:$U$66,2,TRUE),VLOOKUP(M84,tablas!$S$3:$U$66,2,TRUE))&amp;"@"&amp;IF(VLOOKUP(VLOOKUP(M84,tablas!$S$3:$U$66,2,TRUE)&amp;VLOOKUP(M84,tablas!$S$3:$U$66,3,TRUE),tablas!$R$3:$S$66,2,FALSE)&lt;M84,VLOOKUP(M84+0.1,tablas!$S$3:$U$66,3,TRUE),VLOOKUP(M84,tablas!$S$3:$U$66,3,TRUE))&amp;"$",$C$13)</f>
        <v>$\phi10@19$</v>
      </c>
      <c r="N85" s="192" t="str">
        <f>IF(N84&gt;$C$12,"$\phi"&amp;IF(VLOOKUP(VLOOKUP(N84,tablas!$S$3:$U$66,2,TRUE)&amp;VLOOKUP(N84,tablas!$S$3:$U$66,3,TRUE),tablas!$R$3:$S$66,2,FALSE)&lt;N84,VLOOKUP(N84+0.1,tablas!$S$3:$U$66,2,TRUE),VLOOKUP(N84,tablas!$S$3:$U$66,2,TRUE))&amp;"@"&amp;IF(VLOOKUP(VLOOKUP(N84,tablas!$S$3:$U$66,2,TRUE)&amp;VLOOKUP(N84,tablas!$S$3:$U$66,3,TRUE),tablas!$R$3:$S$66,2,FALSE)&lt;N84,VLOOKUP(N84+0.1,tablas!$S$3:$U$66,3,TRUE),VLOOKUP(N84,tablas!$S$3:$U$66,3,TRUE))&amp;"$",$C$13)</f>
        <v>$\phi8@17$</v>
      </c>
      <c r="O85" s="192" t="str">
        <f>IF(O84&gt;$C$12,"$\phi"&amp;IF(VLOOKUP(VLOOKUP(O84,tablas!$S$3:$U$66,2,TRUE)&amp;VLOOKUP(O84,tablas!$S$3:$U$66,3,TRUE),tablas!$R$3:$S$66,2,FALSE)&lt;O84,VLOOKUP(O84+0.1,tablas!$S$3:$U$66,2,TRUE),VLOOKUP(O84,tablas!$S$3:$U$66,2,TRUE))&amp;"@"&amp;IF(VLOOKUP(VLOOKUP(O84,tablas!$S$3:$U$66,2,TRUE)&amp;VLOOKUP(O84,tablas!$S$3:$U$66,3,TRUE),tablas!$R$3:$S$66,2,FALSE)&lt;O84,VLOOKUP(O84+0.1,tablas!$S$3:$U$66,3,TRUE),VLOOKUP(O84,tablas!$S$3:$U$66,3,TRUE))&amp;"$",$C$13)</f>
        <v>$\phi8@17$</v>
      </c>
      <c r="P85" s="192" t="str">
        <f>IF(P84&gt;$C$12,"$\phi"&amp;IF(VLOOKUP(VLOOKUP(P84,tablas!$S$3:$U$66,2,TRUE)&amp;VLOOKUP(P84,tablas!$S$3:$U$66,3,TRUE),tablas!$R$3:$S$66,2,FALSE)&lt;P84,VLOOKUP(P84+0.1,tablas!$S$3:$U$66,2,TRUE),VLOOKUP(P84,tablas!$S$3:$U$66,2,TRUE))&amp;"@"&amp;IF(VLOOKUP(VLOOKUP(P84,tablas!$S$3:$U$66,2,TRUE)&amp;VLOOKUP(P84,tablas!$S$3:$U$66,3,TRUE),tablas!$R$3:$S$66,2,FALSE)&lt;P84,VLOOKUP(P84+0.1,tablas!$S$3:$U$66,3,TRUE),VLOOKUP(P84,tablas!$S$3:$U$66,3,TRUE))&amp;"$",$C$13)</f>
        <v>$\phi8@17$</v>
      </c>
      <c r="Q85" s="192" t="str">
        <f>IF(Q84&gt;$C$12,"$\phi"&amp;IF(VLOOKUP(VLOOKUP(Q84,tablas!$S$3:$U$66,2,TRUE)&amp;VLOOKUP(Q84,tablas!$S$3:$U$66,3,TRUE),tablas!$R$3:$S$66,2,FALSE)&lt;Q84,VLOOKUP(Q84+0.1,tablas!$S$3:$U$66,2,TRUE),VLOOKUP(Q84,tablas!$S$3:$U$66,2,TRUE))&amp;"@"&amp;IF(VLOOKUP(VLOOKUP(Q84,tablas!$S$3:$U$66,2,TRUE)&amp;VLOOKUP(Q84,tablas!$S$3:$U$66,3,TRUE),tablas!$R$3:$S$66,2,FALSE)&lt;Q84,VLOOKUP(Q84+0.1,tablas!$S$3:$U$66,3,TRUE),VLOOKUP(Q84,tablas!$S$3:$U$66,3,TRUE))&amp;"$",$C$13)</f>
        <v>$\phi8@17$</v>
      </c>
      <c r="R85" s="192" t="str">
        <f>IF(R84&gt;$C$12,"$\phi"&amp;IF(VLOOKUP(VLOOKUP(R84,tablas!$S$3:$U$66,2,TRUE)&amp;VLOOKUP(R84,tablas!$S$3:$U$66,3,TRUE),tablas!$R$3:$S$66,2,FALSE)&lt;R84,VLOOKUP(R84+0.1,tablas!$S$3:$U$66,2,TRUE),VLOOKUP(R84,tablas!$S$3:$U$66,2,TRUE))&amp;"@"&amp;IF(VLOOKUP(VLOOKUP(R84,tablas!$S$3:$U$66,2,TRUE)&amp;VLOOKUP(R84,tablas!$S$3:$U$66,3,TRUE),tablas!$R$3:$S$66,2,FALSE)&lt;R84,VLOOKUP(R84+0.1,tablas!$S$3:$U$66,3,TRUE),VLOOKUP(R84,tablas!$S$3:$U$66,3,TRUE))&amp;"$",$C$13)</f>
        <v>$\phi8@17$</v>
      </c>
      <c r="S85" s="192" t="str">
        <f>IF(S84&gt;$C$12,"$\phi"&amp;IF(VLOOKUP(VLOOKUP(S84,tablas!$S$3:$U$66,2,TRUE)&amp;VLOOKUP(S84,tablas!$S$3:$U$66,3,TRUE),tablas!$R$3:$S$66,2,FALSE)&lt;S84,VLOOKUP(S84+0.1,tablas!$S$3:$U$66,2,TRUE),VLOOKUP(S84,tablas!$S$3:$U$66,2,TRUE))&amp;"@"&amp;IF(VLOOKUP(VLOOKUP(S84,tablas!$S$3:$U$66,2,TRUE)&amp;VLOOKUP(S84,tablas!$S$3:$U$66,3,TRUE),tablas!$R$3:$S$66,2,FALSE)&lt;S84,VLOOKUP(S84+0.1,tablas!$S$3:$U$66,3,TRUE),VLOOKUP(S84,tablas!$S$3:$U$66,3,TRUE))&amp;"$",$C$13)</f>
        <v>$\phi8@17$</v>
      </c>
      <c r="T85" s="192" t="str">
        <f>IF(T84&gt;$C$12,"$\phi"&amp;IF(VLOOKUP(VLOOKUP(T84,tablas!$S$3:$U$66,2,TRUE)&amp;VLOOKUP(T84,tablas!$S$3:$U$66,3,TRUE),tablas!$R$3:$S$66,2,FALSE)&lt;T84,VLOOKUP(T84+0.1,tablas!$S$3:$U$66,2,TRUE),VLOOKUP(T84,tablas!$S$3:$U$66,2,TRUE))&amp;"@"&amp;IF(VLOOKUP(VLOOKUP(T84,tablas!$S$3:$U$66,2,TRUE)&amp;VLOOKUP(T84,tablas!$S$3:$U$66,3,TRUE),tablas!$R$3:$S$66,2,FALSE)&lt;T84,VLOOKUP(T84+0.1,tablas!$S$3:$U$66,3,TRUE),VLOOKUP(T84,tablas!$S$3:$U$66,3,TRUE))&amp;"$",$C$13)</f>
        <v>$\phi8@17$</v>
      </c>
      <c r="U85" s="192" t="str">
        <f>IF(U84&gt;$C$12,"$\phi"&amp;IF(VLOOKUP(VLOOKUP(U84,tablas!$S$3:$U$66,2,TRUE)&amp;VLOOKUP(U84,tablas!$S$3:$U$66,3,TRUE),tablas!$R$3:$S$66,2,FALSE)&lt;U84,VLOOKUP(U84+0.1,tablas!$S$3:$U$66,2,TRUE),VLOOKUP(U84,tablas!$S$3:$U$66,2,TRUE))&amp;"@"&amp;IF(VLOOKUP(VLOOKUP(U84,tablas!$S$3:$U$66,2,TRUE)&amp;VLOOKUP(U84,tablas!$S$3:$U$66,3,TRUE),tablas!$R$3:$S$66,2,FALSE)&lt;U84,VLOOKUP(U84+0.1,tablas!$S$3:$U$66,3,TRUE),VLOOKUP(U84,tablas!$S$3:$U$66,3,TRUE))&amp;"$",$C$13)</f>
        <v>$\phi8@17$</v>
      </c>
      <c r="V85" s="192" t="str">
        <f>IF(V84&gt;$C$12,"$\phi"&amp;IF(VLOOKUP(VLOOKUP(V84,tablas!$S$3:$U$66,2,TRUE)&amp;VLOOKUP(V84,tablas!$S$3:$U$66,3,TRUE),tablas!$R$3:$S$66,2,FALSE)&lt;V84,VLOOKUP(V84+0.1,tablas!$S$3:$U$66,2,TRUE),VLOOKUP(V84,tablas!$S$3:$U$66,2,TRUE))&amp;"@"&amp;IF(VLOOKUP(VLOOKUP(V84,tablas!$S$3:$U$66,2,TRUE)&amp;VLOOKUP(V84,tablas!$S$3:$U$66,3,TRUE),tablas!$R$3:$S$66,2,FALSE)&lt;V84,VLOOKUP(V84+0.1,tablas!$S$3:$U$66,3,TRUE),VLOOKUP(V84,tablas!$S$3:$U$66,3,TRUE))&amp;"$",$C$13)</f>
        <v>$\phi8@17$</v>
      </c>
      <c r="W85" s="192" t="str">
        <f>IF(W84&gt;$C$12,"$\phi"&amp;IF(VLOOKUP(VLOOKUP(W84,tablas!$S$3:$U$66,2,TRUE)&amp;VLOOKUP(W84,tablas!$S$3:$U$66,3,TRUE),tablas!$R$3:$S$66,2,FALSE)&lt;W84,VLOOKUP(W84+0.1,tablas!$S$3:$U$66,2,TRUE),VLOOKUP(W84,tablas!$S$3:$U$66,2,TRUE))&amp;"@"&amp;IF(VLOOKUP(VLOOKUP(W84,tablas!$S$3:$U$66,2,TRUE)&amp;VLOOKUP(W84,tablas!$S$3:$U$66,3,TRUE),tablas!$R$3:$S$66,2,FALSE)&lt;W84,VLOOKUP(W84+0.1,tablas!$S$3:$U$66,3,TRUE),VLOOKUP(W84,tablas!$S$3:$U$66,3,TRUE))&amp;"$",$C$13)</f>
        <v>$\phi8@17$</v>
      </c>
      <c r="X85" s="192" t="str">
        <f>IF(X84&gt;$C$12,"$\phi"&amp;IF(VLOOKUP(VLOOKUP(X84,tablas!$S$3:$U$66,2,TRUE)&amp;VLOOKUP(X84,tablas!$S$3:$U$66,3,TRUE),tablas!$R$3:$S$66,2,FALSE)&lt;X84,VLOOKUP(X84+0.1,tablas!$S$3:$U$66,2,TRUE),VLOOKUP(X84,tablas!$S$3:$U$66,2,TRUE))&amp;"@"&amp;IF(VLOOKUP(VLOOKUP(X84,tablas!$S$3:$U$66,2,TRUE)&amp;VLOOKUP(X84,tablas!$S$3:$U$66,3,TRUE),tablas!$R$3:$S$66,2,FALSE)&lt;X84,VLOOKUP(X84+0.1,tablas!$S$3:$U$66,3,TRUE),VLOOKUP(X84,tablas!$S$3:$U$66,3,TRUE))&amp;"$",$C$13)</f>
        <v>$\phi8@17$</v>
      </c>
    </row>
    <row r="86" spans="2:26" x14ac:dyDescent="0.25">
      <c r="B86" s="93" t="s">
        <v>104</v>
      </c>
      <c r="C86" s="88">
        <f t="shared" ref="C86:X86" si="23">IF(C53&lt;=2,C68/C60,IF(OR(C51=6,C51="5a",C51="3a"),C67*C48^2/17.5,(IF(OR(C51="2a",C51=4,C51="5b"),C67*C48^2/11.25,IF(OR(C51=1,C51="2b",C51="3b"),C67*C48^2/8)))))</f>
        <v>2320.2508960573477</v>
      </c>
      <c r="D86" s="88">
        <f t="shared" si="23"/>
        <v>1216.7161572052403</v>
      </c>
      <c r="E86" s="88">
        <f t="shared" si="23"/>
        <v>1216.7161572052403</v>
      </c>
      <c r="F86" s="88">
        <f t="shared" si="23"/>
        <v>2084.7312244897957</v>
      </c>
      <c r="G86" s="88">
        <f t="shared" si="23"/>
        <v>2015.9397209302329</v>
      </c>
      <c r="H86" s="88">
        <f t="shared" si="23"/>
        <v>1323.0049261083741</v>
      </c>
      <c r="I86" s="88">
        <f t="shared" si="23"/>
        <v>479.38048780487804</v>
      </c>
      <c r="J86" s="88">
        <f t="shared" si="23"/>
        <v>155.67999999999998</v>
      </c>
      <c r="K86" s="88">
        <f t="shared" si="23"/>
        <v>667.99428571428564</v>
      </c>
      <c r="L86" s="88">
        <f t="shared" si="23"/>
        <v>1323.0049261083741</v>
      </c>
      <c r="M86" s="88">
        <f t="shared" si="23"/>
        <v>1879.8058604651167</v>
      </c>
      <c r="N86" s="88">
        <f t="shared" si="23"/>
        <v>249.29093333333336</v>
      </c>
      <c r="O86" s="88">
        <f t="shared" si="23"/>
        <v>249.29093333333336</v>
      </c>
      <c r="P86" s="88">
        <f t="shared" si="23"/>
        <v>249.29093333333336</v>
      </c>
      <c r="Q86" s="88">
        <f t="shared" si="23"/>
        <v>249.29093333333336</v>
      </c>
      <c r="R86" s="88">
        <f t="shared" si="23"/>
        <v>118.25493333333335</v>
      </c>
      <c r="S86" s="88">
        <f t="shared" si="23"/>
        <v>118.25493333333335</v>
      </c>
      <c r="T86" s="88">
        <f t="shared" si="23"/>
        <v>196.31893333333335</v>
      </c>
      <c r="U86" s="88">
        <f t="shared" si="23"/>
        <v>196.31893333333335</v>
      </c>
      <c r="V86" s="88">
        <f t="shared" si="23"/>
        <v>59.870933333333333</v>
      </c>
      <c r="W86" s="88">
        <f t="shared" si="23"/>
        <v>53.573333333333331</v>
      </c>
      <c r="X86" s="88">
        <f t="shared" si="23"/>
        <v>555.22533936651575</v>
      </c>
    </row>
    <row r="87" spans="2:26" x14ac:dyDescent="0.25">
      <c r="B87" s="94" t="s">
        <v>15</v>
      </c>
      <c r="C87" s="89">
        <f t="shared" ref="C87:X87" si="24">C86/(0.9*(0.9*($C$7/100))*($L$9*1000))</f>
        <v>4.7805528689638592</v>
      </c>
      <c r="D87" s="89">
        <f t="shared" si="24"/>
        <v>2.5068736859129865</v>
      </c>
      <c r="E87" s="89">
        <f t="shared" si="24"/>
        <v>2.5068736859129865</v>
      </c>
      <c r="F87" s="89">
        <f t="shared" si="24"/>
        <v>4.2952974840729929</v>
      </c>
      <c r="G87" s="89">
        <f t="shared" si="24"/>
        <v>4.1535622000738277</v>
      </c>
      <c r="H87" s="89">
        <f t="shared" si="24"/>
        <v>2.7258668473775192</v>
      </c>
      <c r="I87" s="89">
        <f t="shared" si="24"/>
        <v>0.98769653324778284</v>
      </c>
      <c r="J87" s="89">
        <f t="shared" si="24"/>
        <v>0.32075689396561657</v>
      </c>
      <c r="K87" s="89">
        <f t="shared" si="24"/>
        <v>1.3763089174749159</v>
      </c>
      <c r="L87" s="89">
        <f t="shared" si="24"/>
        <v>2.7258668473775192</v>
      </c>
      <c r="M87" s="89">
        <f t="shared" si="24"/>
        <v>3.8730773963332101</v>
      </c>
      <c r="N87" s="89">
        <f t="shared" si="24"/>
        <v>0.51362914613174204</v>
      </c>
      <c r="O87" s="89">
        <f t="shared" si="24"/>
        <v>0.51362914613174204</v>
      </c>
      <c r="P87" s="89">
        <f t="shared" si="24"/>
        <v>0.51362914613174204</v>
      </c>
      <c r="Q87" s="89">
        <f t="shared" si="24"/>
        <v>0.51362914613174204</v>
      </c>
      <c r="R87" s="89">
        <f t="shared" si="24"/>
        <v>0.2436477717889971</v>
      </c>
      <c r="S87" s="89">
        <f t="shared" si="24"/>
        <v>0.2436477717889971</v>
      </c>
      <c r="T87" s="89">
        <f t="shared" si="24"/>
        <v>0.40448773948254729</v>
      </c>
      <c r="U87" s="89">
        <f t="shared" si="24"/>
        <v>0.40448773948254729</v>
      </c>
      <c r="V87" s="89">
        <f t="shared" si="24"/>
        <v>0.12335569511062758</v>
      </c>
      <c r="W87" s="89">
        <f t="shared" si="24"/>
        <v>0.11038036998576974</v>
      </c>
      <c r="X87" s="89">
        <f t="shared" si="24"/>
        <v>1.1439642555640352</v>
      </c>
    </row>
    <row r="88" spans="2:26" x14ac:dyDescent="0.25">
      <c r="B88" s="94" t="s">
        <v>98</v>
      </c>
      <c r="C88" s="91">
        <f t="shared" ref="C88:X88" si="25">(C87*($L$9))/(0.85*$L$6*100)</f>
        <v>7.8664999150962395E-2</v>
      </c>
      <c r="D88" s="91">
        <f t="shared" si="25"/>
        <v>4.125113177896033E-2</v>
      </c>
      <c r="E88" s="91">
        <f t="shared" si="25"/>
        <v>4.125113177896033E-2</v>
      </c>
      <c r="F88" s="91">
        <f t="shared" si="25"/>
        <v>7.0680020114695916E-2</v>
      </c>
      <c r="G88" s="91">
        <f t="shared" si="25"/>
        <v>6.8347736318016078E-2</v>
      </c>
      <c r="H88" s="91">
        <f t="shared" si="25"/>
        <v>4.4854710137546258E-2</v>
      </c>
      <c r="I88" s="91">
        <f t="shared" si="25"/>
        <v>1.6252753411382201E-2</v>
      </c>
      <c r="J88" s="91">
        <f t="shared" si="25"/>
        <v>5.2781218999340216E-3</v>
      </c>
      <c r="K88" s="91">
        <f t="shared" si="25"/>
        <v>2.264745162165567E-2</v>
      </c>
      <c r="L88" s="91">
        <f t="shared" si="25"/>
        <v>4.4854710137546258E-2</v>
      </c>
      <c r="M88" s="91">
        <f t="shared" si="25"/>
        <v>6.3732300101138561E-2</v>
      </c>
      <c r="N88" s="91">
        <f t="shared" si="25"/>
        <v>8.451875222775301E-3</v>
      </c>
      <c r="O88" s="91">
        <f t="shared" si="25"/>
        <v>8.451875222775301E-3</v>
      </c>
      <c r="P88" s="91">
        <f t="shared" si="25"/>
        <v>8.451875222775301E-3</v>
      </c>
      <c r="Q88" s="91">
        <f t="shared" si="25"/>
        <v>8.451875222775301E-3</v>
      </c>
      <c r="R88" s="91">
        <f t="shared" si="25"/>
        <v>4.0092751374736927E-3</v>
      </c>
      <c r="S88" s="91">
        <f t="shared" si="25"/>
        <v>4.0092751374736927E-3</v>
      </c>
      <c r="T88" s="91">
        <f t="shared" si="25"/>
        <v>6.6559305074406086E-3</v>
      </c>
      <c r="U88" s="91">
        <f t="shared" si="25"/>
        <v>6.6559305074406086E-3</v>
      </c>
      <c r="V88" s="91">
        <f t="shared" si="25"/>
        <v>2.029843810355579E-3</v>
      </c>
      <c r="W88" s="91">
        <f t="shared" si="25"/>
        <v>1.8163321166439618E-3</v>
      </c>
      <c r="X88" s="91">
        <f t="shared" si="25"/>
        <v>1.8824171525621186E-2</v>
      </c>
    </row>
    <row r="89" spans="2:26" ht="15.75" thickBot="1" x14ac:dyDescent="0.3">
      <c r="B89" s="94" t="s">
        <v>15</v>
      </c>
      <c r="C89" s="76">
        <f t="shared" ref="C89:X89" si="26">ROUNDUP(C86/(0.9*(($C$7-C88/2)/100)*($L$9*1000)),2)</f>
        <v>4.3199999999999994</v>
      </c>
      <c r="D89" s="76">
        <f t="shared" si="26"/>
        <v>2.2599999999999998</v>
      </c>
      <c r="E89" s="76">
        <f t="shared" si="26"/>
        <v>2.2599999999999998</v>
      </c>
      <c r="F89" s="76">
        <f t="shared" si="26"/>
        <v>3.88</v>
      </c>
      <c r="G89" s="76">
        <f t="shared" si="26"/>
        <v>3.75</v>
      </c>
      <c r="H89" s="76">
        <f t="shared" si="26"/>
        <v>2.46</v>
      </c>
      <c r="I89" s="76">
        <f t="shared" si="26"/>
        <v>0.89</v>
      </c>
      <c r="J89" s="76">
        <f t="shared" si="26"/>
        <v>0.29000000000000004</v>
      </c>
      <c r="K89" s="76">
        <f t="shared" si="26"/>
        <v>1.24</v>
      </c>
      <c r="L89" s="76">
        <f t="shared" si="26"/>
        <v>2.46</v>
      </c>
      <c r="M89" s="76">
        <f t="shared" si="26"/>
        <v>3.5</v>
      </c>
      <c r="N89" s="76">
        <f t="shared" si="26"/>
        <v>0.47000000000000003</v>
      </c>
      <c r="O89" s="76">
        <f t="shared" si="26"/>
        <v>0.47000000000000003</v>
      </c>
      <c r="P89" s="76">
        <f t="shared" si="26"/>
        <v>0.47000000000000003</v>
      </c>
      <c r="Q89" s="76">
        <f t="shared" si="26"/>
        <v>0.47000000000000003</v>
      </c>
      <c r="R89" s="76">
        <f t="shared" si="26"/>
        <v>0.22</v>
      </c>
      <c r="S89" s="76">
        <f t="shared" si="26"/>
        <v>0.22</v>
      </c>
      <c r="T89" s="76">
        <f t="shared" si="26"/>
        <v>0.37</v>
      </c>
      <c r="U89" s="76">
        <f t="shared" si="26"/>
        <v>0.37</v>
      </c>
      <c r="V89" s="76">
        <f t="shared" si="26"/>
        <v>0.12</v>
      </c>
      <c r="W89" s="76">
        <f t="shared" si="26"/>
        <v>9.9999999999999992E-2</v>
      </c>
      <c r="X89" s="76">
        <f t="shared" si="26"/>
        <v>1.04</v>
      </c>
    </row>
    <row r="90" spans="2:26" ht="16.5" thickBot="1" x14ac:dyDescent="0.3">
      <c r="B90" s="61" t="s">
        <v>106</v>
      </c>
      <c r="C90" s="192" t="str">
        <f>IF(C89&gt;$C$12,"$\phi"&amp;IF(VLOOKUP(VLOOKUP(C89,tablas!$S$3:$U$66,2,TRUE)&amp;VLOOKUP(C89,tablas!$S$3:$U$66,3,TRUE),tablas!$R$3:$S$66,2,FALSE)&lt;C89,VLOOKUP(C89+0.1,tablas!$S$3:$U$66,2,TRUE),VLOOKUP(C89,tablas!$S$3:$U$66,2,TRUE))&amp;"@"&amp;IF(VLOOKUP(VLOOKUP(C89,tablas!$S$3:$U$66,2,TRUE)&amp;VLOOKUP(C89,tablas!$S$3:$U$66,3,TRUE),tablas!$R$3:$S$66,2,FALSE)&lt;C89,VLOOKUP(C89+0.1,tablas!$S$3:$U$66,3,TRUE),VLOOKUP(C89,tablas!$S$3:$U$66,3,TRUE))&amp;"$",$C$13)</f>
        <v>$\phi10@18$</v>
      </c>
      <c r="D90" s="192" t="str">
        <f>IF(D89&gt;$C$12,"$\phi"&amp;IF(VLOOKUP(VLOOKUP(D89,tablas!$S$3:$U$66,2,TRUE)&amp;VLOOKUP(D89,tablas!$S$3:$U$66,3,TRUE),tablas!$R$3:$S$66,2,FALSE)&lt;D89,VLOOKUP(D89+0.1,tablas!$S$3:$U$66,2,TRUE),VLOOKUP(D89,tablas!$S$3:$U$66,2,TRUE))&amp;"@"&amp;IF(VLOOKUP(VLOOKUP(D89,tablas!$S$3:$U$66,2,TRUE)&amp;VLOOKUP(D89,tablas!$S$3:$U$66,3,TRUE),tablas!$R$3:$S$66,2,FALSE)&lt;D89,VLOOKUP(D89+0.1,tablas!$S$3:$U$66,3,TRUE),VLOOKUP(D89,tablas!$S$3:$U$66,3,TRUE))&amp;"$",$C$13)</f>
        <v>$\phi8@17$</v>
      </c>
      <c r="E90" s="192" t="str">
        <f>IF(E89&gt;$C$12,"$\phi"&amp;IF(VLOOKUP(VLOOKUP(E89,tablas!$S$3:$U$66,2,TRUE)&amp;VLOOKUP(E89,tablas!$S$3:$U$66,3,TRUE),tablas!$R$3:$S$66,2,FALSE)&lt;E89,VLOOKUP(E89+0.1,tablas!$S$3:$U$66,2,TRUE),VLOOKUP(E89,tablas!$S$3:$U$66,2,TRUE))&amp;"@"&amp;IF(VLOOKUP(VLOOKUP(E89,tablas!$S$3:$U$66,2,TRUE)&amp;VLOOKUP(E89,tablas!$S$3:$U$66,3,TRUE),tablas!$R$3:$S$66,2,FALSE)&lt;E89,VLOOKUP(E89+0.1,tablas!$S$3:$U$66,3,TRUE),VLOOKUP(E89,tablas!$S$3:$U$66,3,TRUE))&amp;"$",$C$13)</f>
        <v>$\phi8@17$</v>
      </c>
      <c r="F90" s="192" t="str">
        <f>IF(F89&gt;$C$12,"$\phi"&amp;IF(VLOOKUP(VLOOKUP(F89,tablas!$S$3:$U$66,2,TRUE)&amp;VLOOKUP(F89,tablas!$S$3:$U$66,3,TRUE),tablas!$R$3:$S$66,2,FALSE)&lt;F89,VLOOKUP(F89+0.1,tablas!$S$3:$U$66,2,TRUE),VLOOKUP(F89,tablas!$S$3:$U$66,2,TRUE))&amp;"@"&amp;IF(VLOOKUP(VLOOKUP(F89,tablas!$S$3:$U$66,2,TRUE)&amp;VLOOKUP(F89,tablas!$S$3:$U$66,3,TRUE),tablas!$R$3:$S$66,2,FALSE)&lt;F89,VLOOKUP(F89+0.1,tablas!$S$3:$U$66,3,TRUE),VLOOKUP(F89,tablas!$S$3:$U$66,3,TRUE))&amp;"$",$C$13)</f>
        <v>$\phi10@20$</v>
      </c>
      <c r="G90" s="192" t="str">
        <f>IF(G89&gt;$C$12,"$\phi"&amp;IF(VLOOKUP(VLOOKUP(G89,tablas!$S$3:$U$66,2,TRUE)&amp;VLOOKUP(G89,tablas!$S$3:$U$66,3,TRUE),tablas!$R$3:$S$66,2,FALSE)&lt;G89,VLOOKUP(G89+0.1,tablas!$S$3:$U$66,2,TRUE),VLOOKUP(G89,tablas!$S$3:$U$66,2,TRUE))&amp;"@"&amp;IF(VLOOKUP(VLOOKUP(G89,tablas!$S$3:$U$66,2,TRUE)&amp;VLOOKUP(G89,tablas!$S$3:$U$66,3,TRUE),tablas!$R$3:$S$66,2,FALSE)&lt;G89,VLOOKUP(G89+0.1,tablas!$S$3:$U$66,3,TRUE),VLOOKUP(G89,tablas!$S$3:$U$66,3,TRUE))&amp;"$",$C$13)</f>
        <v>$\phi10@21$</v>
      </c>
      <c r="H90" s="192" t="str">
        <f>IF(H89&gt;$C$12,"$\phi"&amp;IF(VLOOKUP(VLOOKUP(H89,tablas!$S$3:$U$66,2,TRUE)&amp;VLOOKUP(H89,tablas!$S$3:$U$66,3,TRUE),tablas!$R$3:$S$66,2,FALSE)&lt;H89,VLOOKUP(H89+0.1,tablas!$S$3:$U$66,2,TRUE),VLOOKUP(H89,tablas!$S$3:$U$66,2,TRUE))&amp;"@"&amp;IF(VLOOKUP(VLOOKUP(H89,tablas!$S$3:$U$66,2,TRUE)&amp;VLOOKUP(H89,tablas!$S$3:$U$66,3,TRUE),tablas!$R$3:$S$66,2,FALSE)&lt;H89,VLOOKUP(H89+0.1,tablas!$S$3:$U$66,3,TRUE),VLOOKUP(H89,tablas!$S$3:$U$66,3,TRUE))&amp;"$",$C$13)</f>
        <v>$\phi8@17$</v>
      </c>
      <c r="I90" s="192" t="str">
        <f>IF(I89&gt;$C$12,"$\phi"&amp;IF(VLOOKUP(VLOOKUP(I89,tablas!$S$3:$U$66,2,TRUE)&amp;VLOOKUP(I89,tablas!$S$3:$U$66,3,TRUE),tablas!$R$3:$S$66,2,FALSE)&lt;I89,VLOOKUP(I89+0.1,tablas!$S$3:$U$66,2,TRUE),VLOOKUP(I89,tablas!$S$3:$U$66,2,TRUE))&amp;"@"&amp;IF(VLOOKUP(VLOOKUP(I89,tablas!$S$3:$U$66,2,TRUE)&amp;VLOOKUP(I89,tablas!$S$3:$U$66,3,TRUE),tablas!$R$3:$S$66,2,FALSE)&lt;I89,VLOOKUP(I89+0.1,tablas!$S$3:$U$66,3,TRUE),VLOOKUP(I89,tablas!$S$3:$U$66,3,TRUE))&amp;"$",$C$13)</f>
        <v>$\phi8@17$</v>
      </c>
      <c r="J90" s="192" t="str">
        <f>IF(J89&gt;$C$12,"$\phi"&amp;IF(VLOOKUP(VLOOKUP(J89,tablas!$S$3:$U$66,2,TRUE)&amp;VLOOKUP(J89,tablas!$S$3:$U$66,3,TRUE),tablas!$R$3:$S$66,2,FALSE)&lt;J89,VLOOKUP(J89+0.1,tablas!$S$3:$U$66,2,TRUE),VLOOKUP(J89,tablas!$S$3:$U$66,2,TRUE))&amp;"@"&amp;IF(VLOOKUP(VLOOKUP(J89,tablas!$S$3:$U$66,2,TRUE)&amp;VLOOKUP(J89,tablas!$S$3:$U$66,3,TRUE),tablas!$R$3:$S$66,2,FALSE)&lt;J89,VLOOKUP(J89+0.1,tablas!$S$3:$U$66,3,TRUE),VLOOKUP(J89,tablas!$S$3:$U$66,3,TRUE))&amp;"$",$C$13)</f>
        <v>$\phi8@17$</v>
      </c>
      <c r="K90" s="192" t="str">
        <f>IF(K89&gt;$C$12,"$\phi"&amp;IF(VLOOKUP(VLOOKUP(K89,tablas!$S$3:$U$66,2,TRUE)&amp;VLOOKUP(K89,tablas!$S$3:$U$66,3,TRUE),tablas!$R$3:$S$66,2,FALSE)&lt;K89,VLOOKUP(K89+0.1,tablas!$S$3:$U$66,2,TRUE),VLOOKUP(K89,tablas!$S$3:$U$66,2,TRUE))&amp;"@"&amp;IF(VLOOKUP(VLOOKUP(K89,tablas!$S$3:$U$66,2,TRUE)&amp;VLOOKUP(K89,tablas!$S$3:$U$66,3,TRUE),tablas!$R$3:$S$66,2,FALSE)&lt;K89,VLOOKUP(K89+0.1,tablas!$S$3:$U$66,3,TRUE),VLOOKUP(K89,tablas!$S$3:$U$66,3,TRUE))&amp;"$",$C$13)</f>
        <v>$\phi8@17$</v>
      </c>
      <c r="L90" s="192" t="str">
        <f>IF(L89&gt;$C$12,"$\phi"&amp;IF(VLOOKUP(VLOOKUP(L89,tablas!$S$3:$U$66,2,TRUE)&amp;VLOOKUP(L89,tablas!$S$3:$U$66,3,TRUE),tablas!$R$3:$S$66,2,FALSE)&lt;L89,VLOOKUP(L89+0.1,tablas!$S$3:$U$66,2,TRUE),VLOOKUP(L89,tablas!$S$3:$U$66,2,TRUE))&amp;"@"&amp;IF(VLOOKUP(VLOOKUP(L89,tablas!$S$3:$U$66,2,TRUE)&amp;VLOOKUP(L89,tablas!$S$3:$U$66,3,TRUE),tablas!$R$3:$S$66,2,FALSE)&lt;L89,VLOOKUP(L89+0.1,tablas!$S$3:$U$66,3,TRUE),VLOOKUP(L89,tablas!$S$3:$U$66,3,TRUE))&amp;"$",$C$13)</f>
        <v>$\phi8@17$</v>
      </c>
      <c r="M90" s="192" t="str">
        <f>IF(M89&gt;$C$12,"$\phi"&amp;IF(VLOOKUP(VLOOKUP(M89,tablas!$S$3:$U$66,2,TRUE)&amp;VLOOKUP(M89,tablas!$S$3:$U$66,3,TRUE),tablas!$R$3:$S$66,2,FALSE)&lt;M89,VLOOKUP(M89+0.1,tablas!$S$3:$U$66,2,TRUE),VLOOKUP(M89,tablas!$S$3:$U$66,2,TRUE))&amp;"@"&amp;IF(VLOOKUP(VLOOKUP(M89,tablas!$S$3:$U$66,2,TRUE)&amp;VLOOKUP(M89,tablas!$S$3:$U$66,3,TRUE),tablas!$R$3:$S$66,2,FALSE)&lt;M89,VLOOKUP(M89+0.1,tablas!$S$3:$U$66,3,TRUE),VLOOKUP(M89,tablas!$S$3:$U$66,3,TRUE))&amp;"$",$C$13)</f>
        <v>$\phi8@14$</v>
      </c>
      <c r="N90" s="192" t="str">
        <f>IF(N89&gt;$C$12,"$\phi"&amp;IF(VLOOKUP(VLOOKUP(N89,tablas!$S$3:$U$66,2,TRUE)&amp;VLOOKUP(N89,tablas!$S$3:$U$66,3,TRUE),tablas!$R$3:$S$66,2,FALSE)&lt;N89,VLOOKUP(N89+0.1,tablas!$S$3:$U$66,2,TRUE),VLOOKUP(N89,tablas!$S$3:$U$66,2,TRUE))&amp;"@"&amp;IF(VLOOKUP(VLOOKUP(N89,tablas!$S$3:$U$66,2,TRUE)&amp;VLOOKUP(N89,tablas!$S$3:$U$66,3,TRUE),tablas!$R$3:$S$66,2,FALSE)&lt;N89,VLOOKUP(N89+0.1,tablas!$S$3:$U$66,3,TRUE),VLOOKUP(N89,tablas!$S$3:$U$66,3,TRUE))&amp;"$",$C$13)</f>
        <v>$\phi8@17$</v>
      </c>
      <c r="O90" s="192" t="str">
        <f>IF(O89&gt;$C$12,"$\phi"&amp;IF(VLOOKUP(VLOOKUP(O89,tablas!$S$3:$U$66,2,TRUE)&amp;VLOOKUP(O89,tablas!$S$3:$U$66,3,TRUE),tablas!$R$3:$S$66,2,FALSE)&lt;O89,VLOOKUP(O89+0.1,tablas!$S$3:$U$66,2,TRUE),VLOOKUP(O89,tablas!$S$3:$U$66,2,TRUE))&amp;"@"&amp;IF(VLOOKUP(VLOOKUP(O89,tablas!$S$3:$U$66,2,TRUE)&amp;VLOOKUP(O89,tablas!$S$3:$U$66,3,TRUE),tablas!$R$3:$S$66,2,FALSE)&lt;O89,VLOOKUP(O89+0.1,tablas!$S$3:$U$66,3,TRUE),VLOOKUP(O89,tablas!$S$3:$U$66,3,TRUE))&amp;"$",$C$13)</f>
        <v>$\phi8@17$</v>
      </c>
      <c r="P90" s="192" t="str">
        <f>IF(P89&gt;$C$12,"$\phi"&amp;IF(VLOOKUP(VLOOKUP(P89,tablas!$S$3:$U$66,2,TRUE)&amp;VLOOKUP(P89,tablas!$S$3:$U$66,3,TRUE),tablas!$R$3:$S$66,2,FALSE)&lt;P89,VLOOKUP(P89+0.1,tablas!$S$3:$U$66,2,TRUE),VLOOKUP(P89,tablas!$S$3:$U$66,2,TRUE))&amp;"@"&amp;IF(VLOOKUP(VLOOKUP(P89,tablas!$S$3:$U$66,2,TRUE)&amp;VLOOKUP(P89,tablas!$S$3:$U$66,3,TRUE),tablas!$R$3:$S$66,2,FALSE)&lt;P89,VLOOKUP(P89+0.1,tablas!$S$3:$U$66,3,TRUE),VLOOKUP(P89,tablas!$S$3:$U$66,3,TRUE))&amp;"$",$C$13)</f>
        <v>$\phi8@17$</v>
      </c>
      <c r="Q90" s="192" t="str">
        <f>IF(Q89&gt;$C$12,"$\phi"&amp;IF(VLOOKUP(VLOOKUP(Q89,tablas!$S$3:$U$66,2,TRUE)&amp;VLOOKUP(Q89,tablas!$S$3:$U$66,3,TRUE),tablas!$R$3:$S$66,2,FALSE)&lt;Q89,VLOOKUP(Q89+0.1,tablas!$S$3:$U$66,2,TRUE),VLOOKUP(Q89,tablas!$S$3:$U$66,2,TRUE))&amp;"@"&amp;IF(VLOOKUP(VLOOKUP(Q89,tablas!$S$3:$U$66,2,TRUE)&amp;VLOOKUP(Q89,tablas!$S$3:$U$66,3,TRUE),tablas!$R$3:$S$66,2,FALSE)&lt;Q89,VLOOKUP(Q89+0.1,tablas!$S$3:$U$66,3,TRUE),VLOOKUP(Q89,tablas!$S$3:$U$66,3,TRUE))&amp;"$",$C$13)</f>
        <v>$\phi8@17$</v>
      </c>
      <c r="R90" s="192" t="str">
        <f>IF(R89&gt;$C$12,"$\phi"&amp;IF(VLOOKUP(VLOOKUP(R89,tablas!$S$3:$U$66,2,TRUE)&amp;VLOOKUP(R89,tablas!$S$3:$U$66,3,TRUE),tablas!$R$3:$S$66,2,FALSE)&lt;R89,VLOOKUP(R89+0.1,tablas!$S$3:$U$66,2,TRUE),VLOOKUP(R89,tablas!$S$3:$U$66,2,TRUE))&amp;"@"&amp;IF(VLOOKUP(VLOOKUP(R89,tablas!$S$3:$U$66,2,TRUE)&amp;VLOOKUP(R89,tablas!$S$3:$U$66,3,TRUE),tablas!$R$3:$S$66,2,FALSE)&lt;R89,VLOOKUP(R89+0.1,tablas!$S$3:$U$66,3,TRUE),VLOOKUP(R89,tablas!$S$3:$U$66,3,TRUE))&amp;"$",$C$13)</f>
        <v>$\phi8@17$</v>
      </c>
      <c r="S90" s="192" t="str">
        <f>IF(S89&gt;$C$12,"$\phi"&amp;IF(VLOOKUP(VLOOKUP(S89,tablas!$S$3:$U$66,2,TRUE)&amp;VLOOKUP(S89,tablas!$S$3:$U$66,3,TRUE),tablas!$R$3:$S$66,2,FALSE)&lt;S89,VLOOKUP(S89+0.1,tablas!$S$3:$U$66,2,TRUE),VLOOKUP(S89,tablas!$S$3:$U$66,2,TRUE))&amp;"@"&amp;IF(VLOOKUP(VLOOKUP(S89,tablas!$S$3:$U$66,2,TRUE)&amp;VLOOKUP(S89,tablas!$S$3:$U$66,3,TRUE),tablas!$R$3:$S$66,2,FALSE)&lt;S89,VLOOKUP(S89+0.1,tablas!$S$3:$U$66,3,TRUE),VLOOKUP(S89,tablas!$S$3:$U$66,3,TRUE))&amp;"$",$C$13)</f>
        <v>$\phi8@17$</v>
      </c>
      <c r="T90" s="192" t="str">
        <f>IF(T89&gt;$C$12,"$\phi"&amp;IF(VLOOKUP(VLOOKUP(T89,tablas!$S$3:$U$66,2,TRUE)&amp;VLOOKUP(T89,tablas!$S$3:$U$66,3,TRUE),tablas!$R$3:$S$66,2,FALSE)&lt;T89,VLOOKUP(T89+0.1,tablas!$S$3:$U$66,2,TRUE),VLOOKUP(T89,tablas!$S$3:$U$66,2,TRUE))&amp;"@"&amp;IF(VLOOKUP(VLOOKUP(T89,tablas!$S$3:$U$66,2,TRUE)&amp;VLOOKUP(T89,tablas!$S$3:$U$66,3,TRUE),tablas!$R$3:$S$66,2,FALSE)&lt;T89,VLOOKUP(T89+0.1,tablas!$S$3:$U$66,3,TRUE),VLOOKUP(T89,tablas!$S$3:$U$66,3,TRUE))&amp;"$",$C$13)</f>
        <v>$\phi8@17$</v>
      </c>
      <c r="U90" s="192" t="str">
        <f>IF(U89&gt;$C$12,"$\phi"&amp;IF(VLOOKUP(VLOOKUP(U89,tablas!$S$3:$U$66,2,TRUE)&amp;VLOOKUP(U89,tablas!$S$3:$U$66,3,TRUE),tablas!$R$3:$S$66,2,FALSE)&lt;U89,VLOOKUP(U89+0.1,tablas!$S$3:$U$66,2,TRUE),VLOOKUP(U89,tablas!$S$3:$U$66,2,TRUE))&amp;"@"&amp;IF(VLOOKUP(VLOOKUP(U89,tablas!$S$3:$U$66,2,TRUE)&amp;VLOOKUP(U89,tablas!$S$3:$U$66,3,TRUE),tablas!$R$3:$S$66,2,FALSE)&lt;U89,VLOOKUP(U89+0.1,tablas!$S$3:$U$66,3,TRUE),VLOOKUP(U89,tablas!$S$3:$U$66,3,TRUE))&amp;"$",$C$13)</f>
        <v>$\phi8@17$</v>
      </c>
      <c r="V90" s="192" t="str">
        <f>IF(V89&gt;$C$12,"$\phi"&amp;IF(VLOOKUP(VLOOKUP(V89,tablas!$S$3:$U$66,2,TRUE)&amp;VLOOKUP(V89,tablas!$S$3:$U$66,3,TRUE),tablas!$R$3:$S$66,2,FALSE)&lt;V89,VLOOKUP(V89+0.1,tablas!$S$3:$U$66,2,TRUE),VLOOKUP(V89,tablas!$S$3:$U$66,2,TRUE))&amp;"@"&amp;IF(VLOOKUP(VLOOKUP(V89,tablas!$S$3:$U$66,2,TRUE)&amp;VLOOKUP(V89,tablas!$S$3:$U$66,3,TRUE),tablas!$R$3:$S$66,2,FALSE)&lt;V89,VLOOKUP(V89+0.1,tablas!$S$3:$U$66,3,TRUE),VLOOKUP(V89,tablas!$S$3:$U$66,3,TRUE))&amp;"$",$C$13)</f>
        <v>$\phi8@17$</v>
      </c>
      <c r="W90" s="192" t="str">
        <f>IF(W89&gt;$C$12,"$\phi"&amp;IF(VLOOKUP(VLOOKUP(W89,tablas!$S$3:$U$66,2,TRUE)&amp;VLOOKUP(W89,tablas!$S$3:$U$66,3,TRUE),tablas!$R$3:$S$66,2,FALSE)&lt;W89,VLOOKUP(W89+0.1,tablas!$S$3:$U$66,2,TRUE),VLOOKUP(W89,tablas!$S$3:$U$66,2,TRUE))&amp;"@"&amp;IF(VLOOKUP(VLOOKUP(W89,tablas!$S$3:$U$66,2,TRUE)&amp;VLOOKUP(W89,tablas!$S$3:$U$66,3,TRUE),tablas!$R$3:$S$66,2,FALSE)&lt;W89,VLOOKUP(W89+0.1,tablas!$S$3:$U$66,3,TRUE),VLOOKUP(W89,tablas!$S$3:$U$66,3,TRUE))&amp;"$",$C$13)</f>
        <v>$\phi8@17$</v>
      </c>
      <c r="X90" s="192" t="str">
        <f>IF(X89&gt;$C$12,"$\phi"&amp;IF(VLOOKUP(VLOOKUP(X89,tablas!$S$3:$U$66,2,TRUE)&amp;VLOOKUP(X89,tablas!$S$3:$U$66,3,TRUE),tablas!$R$3:$S$66,2,FALSE)&lt;X89,VLOOKUP(X89+0.1,tablas!$S$3:$U$66,2,TRUE),VLOOKUP(X89,tablas!$S$3:$U$66,2,TRUE))&amp;"@"&amp;IF(VLOOKUP(VLOOKUP(X89,tablas!$S$3:$U$66,2,TRUE)&amp;VLOOKUP(X89,tablas!$S$3:$U$66,3,TRUE),tablas!$R$3:$S$66,2,FALSE)&lt;X89,VLOOKUP(X89+0.1,tablas!$S$3:$U$66,3,TRUE),VLOOKUP(X89,tablas!$S$3:$U$66,3,TRUE))&amp;"$",$C$13)</f>
        <v>$\phi8@17$</v>
      </c>
    </row>
    <row r="92" spans="2:26" ht="15.75" thickBot="1" x14ac:dyDescent="0.3">
      <c r="B92" s="299" t="s">
        <v>107</v>
      </c>
      <c r="C92" s="299"/>
      <c r="P92" s="40"/>
      <c r="T92" s="40"/>
      <c r="U92" s="41"/>
    </row>
    <row r="93" spans="2:26" ht="15.75" thickBot="1" x14ac:dyDescent="0.3">
      <c r="B93" s="73" t="s">
        <v>43</v>
      </c>
      <c r="C93" s="74" t="s">
        <v>163</v>
      </c>
      <c r="D93" s="75" t="s">
        <v>165</v>
      </c>
      <c r="E93" s="74" t="s">
        <v>163</v>
      </c>
      <c r="F93" s="75" t="s">
        <v>168</v>
      </c>
      <c r="G93" s="74" t="s">
        <v>163</v>
      </c>
      <c r="H93" s="75" t="s">
        <v>169</v>
      </c>
      <c r="I93" s="74" t="s">
        <v>163</v>
      </c>
      <c r="J93" s="75" t="s">
        <v>175</v>
      </c>
      <c r="K93" s="74" t="s">
        <v>163</v>
      </c>
      <c r="L93" s="75" t="s">
        <v>184</v>
      </c>
      <c r="M93" s="74" t="s">
        <v>165</v>
      </c>
      <c r="N93" s="75" t="s">
        <v>166</v>
      </c>
      <c r="O93" s="74" t="s">
        <v>165</v>
      </c>
      <c r="P93" s="75" t="s">
        <v>171</v>
      </c>
      <c r="Q93" s="74" t="s">
        <v>165</v>
      </c>
      <c r="R93" s="75" t="s">
        <v>176</v>
      </c>
      <c r="S93" s="74" t="s">
        <v>166</v>
      </c>
      <c r="T93" s="75" t="s">
        <v>177</v>
      </c>
      <c r="U93" s="74" t="s">
        <v>166</v>
      </c>
      <c r="V93" s="75" t="s">
        <v>171</v>
      </c>
      <c r="W93" s="74" t="s">
        <v>166</v>
      </c>
      <c r="X93" s="75" t="s">
        <v>167</v>
      </c>
      <c r="Y93" s="74" t="s">
        <v>167</v>
      </c>
      <c r="Z93" s="75" t="s">
        <v>178</v>
      </c>
    </row>
    <row r="94" spans="2:26" ht="15.75" hidden="1" thickBot="1" x14ac:dyDescent="0.3">
      <c r="B94" s="141"/>
      <c r="C94" s="143" t="str">
        <f>C93&amp;"-"&amp;D93</f>
        <v>801-802</v>
      </c>
      <c r="D94" s="143"/>
      <c r="E94" s="143" t="str">
        <f>E93&amp;"-"&amp;F93</f>
        <v>801-805</v>
      </c>
      <c r="F94" s="142"/>
      <c r="G94" s="143" t="str">
        <f>G93&amp;"-"&amp;H93</f>
        <v>801-806</v>
      </c>
      <c r="H94" s="142"/>
      <c r="I94" s="143" t="str">
        <f>I93&amp;"-"&amp;J93</f>
        <v>801-812</v>
      </c>
      <c r="J94" s="142"/>
      <c r="K94" s="143" t="str">
        <f>K93&amp;"-"&amp;L93</f>
        <v>801-821</v>
      </c>
      <c r="L94" s="142"/>
      <c r="M94" s="143" t="str">
        <f>M93&amp;"-"&amp;N93</f>
        <v>802-803</v>
      </c>
      <c r="N94" s="142"/>
      <c r="O94" s="143" t="str">
        <f>O93&amp;"-"&amp;P93</f>
        <v>802-808</v>
      </c>
      <c r="P94" s="142"/>
      <c r="Q94" s="143" t="str">
        <f>Q93&amp;"-"&amp;R93</f>
        <v>802-813</v>
      </c>
      <c r="R94" s="142"/>
      <c r="S94" s="143" t="str">
        <f>S93&amp;"-"&amp;T93</f>
        <v>803-814</v>
      </c>
      <c r="T94" s="142"/>
      <c r="U94" s="143" t="str">
        <f>U93&amp;"-"&amp;V93</f>
        <v>803-808</v>
      </c>
      <c r="V94" s="142"/>
      <c r="W94" s="143" t="str">
        <f>W93&amp;"-"&amp;X93</f>
        <v>803-804</v>
      </c>
      <c r="X94" s="142"/>
      <c r="Y94" s="143" t="str">
        <f>Y93&amp;"-"&amp;Z93</f>
        <v>804-815</v>
      </c>
      <c r="Z94" s="142"/>
    </row>
    <row r="95" spans="2:26" x14ac:dyDescent="0.25">
      <c r="B95" s="102" t="s">
        <v>114</v>
      </c>
      <c r="C95" s="99" t="s">
        <v>109</v>
      </c>
      <c r="D95" s="100" t="s">
        <v>109</v>
      </c>
      <c r="E95" s="99" t="s">
        <v>108</v>
      </c>
      <c r="F95" s="100" t="s">
        <v>108</v>
      </c>
      <c r="G95" s="99" t="s">
        <v>108</v>
      </c>
      <c r="H95" s="100" t="s">
        <v>109</v>
      </c>
      <c r="I95" s="99" t="s">
        <v>108</v>
      </c>
      <c r="J95" s="100" t="s">
        <v>108</v>
      </c>
      <c r="K95" s="99" t="s">
        <v>109</v>
      </c>
      <c r="L95" s="100" t="s">
        <v>108</v>
      </c>
      <c r="M95" s="99" t="s">
        <v>109</v>
      </c>
      <c r="N95" s="100" t="s">
        <v>109</v>
      </c>
      <c r="O95" s="99" t="s">
        <v>108</v>
      </c>
      <c r="P95" s="100" t="s">
        <v>108</v>
      </c>
      <c r="Q95" s="99" t="s">
        <v>108</v>
      </c>
      <c r="R95" s="100" t="s">
        <v>108</v>
      </c>
      <c r="S95" s="99" t="s">
        <v>108</v>
      </c>
      <c r="T95" s="100" t="s">
        <v>108</v>
      </c>
      <c r="U95" s="99" t="s">
        <v>108</v>
      </c>
      <c r="V95" s="100" t="s">
        <v>108</v>
      </c>
      <c r="W95" s="99" t="s">
        <v>109</v>
      </c>
      <c r="X95" s="100" t="s">
        <v>109</v>
      </c>
      <c r="Y95" s="99" t="s">
        <v>108</v>
      </c>
      <c r="Z95" s="100" t="s">
        <v>108</v>
      </c>
    </row>
    <row r="96" spans="2:26" x14ac:dyDescent="0.25">
      <c r="B96" s="103" t="s">
        <v>110</v>
      </c>
      <c r="C96" s="101">
        <f t="shared" ref="C96:Z96" si="27">HLOOKUP(C93,$B$46:$AE$90,IF(C95="x",36,41),FALSE)</f>
        <v>2320.2508960573477</v>
      </c>
      <c r="D96" s="85">
        <f t="shared" si="27"/>
        <v>1216.7161572052403</v>
      </c>
      <c r="E96" s="101">
        <f t="shared" si="27"/>
        <v>3157.8048780487807</v>
      </c>
      <c r="F96" s="85">
        <f t="shared" si="27"/>
        <v>2330.2529032258067</v>
      </c>
      <c r="G96" s="101">
        <f t="shared" si="27"/>
        <v>3157.8048780487807</v>
      </c>
      <c r="H96" s="85">
        <f t="shared" si="27"/>
        <v>1323.0049261083741</v>
      </c>
      <c r="I96" s="101">
        <f t="shared" si="27"/>
        <v>3157.8048780487807</v>
      </c>
      <c r="J96" s="85">
        <f t="shared" si="27"/>
        <v>350.56537500000002</v>
      </c>
      <c r="K96" s="101">
        <f t="shared" si="27"/>
        <v>2320.2508960573477</v>
      </c>
      <c r="L96" s="85">
        <f t="shared" si="27"/>
        <v>75.337499999999991</v>
      </c>
      <c r="M96" s="101">
        <f t="shared" si="27"/>
        <v>1216.7161572052403</v>
      </c>
      <c r="N96" s="85">
        <f t="shared" si="27"/>
        <v>1216.7161572052403</v>
      </c>
      <c r="O96" s="101">
        <f t="shared" si="27"/>
        <v>1482.063829787234</v>
      </c>
      <c r="P96" s="85">
        <f t="shared" si="27"/>
        <v>227.0333333333333</v>
      </c>
      <c r="Q96" s="101">
        <f t="shared" si="27"/>
        <v>1482.063829787234</v>
      </c>
      <c r="R96" s="85">
        <f t="shared" si="27"/>
        <v>350.56537500000002</v>
      </c>
      <c r="S96" s="101">
        <f t="shared" si="27"/>
        <v>1482.063829787234</v>
      </c>
      <c r="T96" s="85">
        <f t="shared" si="27"/>
        <v>350.56537500000002</v>
      </c>
      <c r="U96" s="101">
        <f t="shared" si="27"/>
        <v>1482.063829787234</v>
      </c>
      <c r="V96" s="85">
        <f t="shared" si="27"/>
        <v>227.0333333333333</v>
      </c>
      <c r="W96" s="101">
        <f t="shared" si="27"/>
        <v>1216.7161572052403</v>
      </c>
      <c r="X96" s="85">
        <f t="shared" si="27"/>
        <v>2084.7312244897957</v>
      </c>
      <c r="Y96" s="101">
        <f t="shared" si="27"/>
        <v>2660.2039062500003</v>
      </c>
      <c r="Z96" s="85">
        <f t="shared" si="27"/>
        <v>350.56537500000002</v>
      </c>
    </row>
    <row r="97" spans="2:26" x14ac:dyDescent="0.25">
      <c r="B97" s="103" t="s">
        <v>111</v>
      </c>
      <c r="C97" s="283">
        <f>(MAX(C96:D96)-MIN(C96:D96))/(MAX(C96:D96))</f>
        <v>0.47561009058428666</v>
      </c>
      <c r="D97" s="284"/>
      <c r="E97" s="283">
        <f>(MAX(E96:F96)-MIN(E96:F96))/(MAX(E96:F96))</f>
        <v>0.26206558251133028</v>
      </c>
      <c r="F97" s="284"/>
      <c r="G97" s="283">
        <f>(MAX(G96:H96)-MIN(G96:H96))/(MAX(G96:H96))</f>
        <v>0.58103651834059367</v>
      </c>
      <c r="H97" s="284"/>
      <c r="I97" s="283">
        <f>(MAX(I96:J96)-MIN(I96:J96))/(MAX(I96:J96))</f>
        <v>0.88898447227156863</v>
      </c>
      <c r="J97" s="284"/>
      <c r="K97" s="283">
        <f>(MAX(K96:L96)-MIN(K96:L96))/(MAX(K96:L96))</f>
        <v>0.96753045106974589</v>
      </c>
      <c r="L97" s="284"/>
      <c r="M97" s="283">
        <f>(MAX(M96:N96)-MIN(M96:N96))/(MAX(M96:N96))</f>
        <v>0</v>
      </c>
      <c r="N97" s="284"/>
      <c r="O97" s="283">
        <f>(MAX(O96:P96)-MIN(O96:P96))/(MAX(O96:P96))</f>
        <v>0.84681271563996918</v>
      </c>
      <c r="P97" s="284"/>
      <c r="Q97" s="283">
        <f>(MAX(Q96:R96)-MIN(Q96:R96))/(MAX(Q96:R96))</f>
        <v>0.76346135169473284</v>
      </c>
      <c r="R97" s="284"/>
      <c r="S97" s="283">
        <f>(MAX(S96:T96)-MIN(S96:T96))/(MAX(S96:T96))</f>
        <v>0.76346135169473284</v>
      </c>
      <c r="T97" s="284"/>
      <c r="U97" s="283">
        <f>(MAX(U96:V96)-MIN(U96:V96))/(MAX(U96:V96))</f>
        <v>0.84681271563996918</v>
      </c>
      <c r="V97" s="284"/>
      <c r="W97" s="283">
        <f>(MAX(W96:X96)-MIN(W96:X96))/(MAX(W96:X96))</f>
        <v>0.41636785456455572</v>
      </c>
      <c r="X97" s="284"/>
      <c r="Y97" s="283">
        <f>(MAX(Y96:Z96)-MIN(Y96:Z96))/(MAX(Y96:Z96))</f>
        <v>0.8682186075374273</v>
      </c>
      <c r="Z97" s="284"/>
    </row>
    <row r="98" spans="2:26" x14ac:dyDescent="0.25">
      <c r="B98" s="103" t="s">
        <v>112</v>
      </c>
      <c r="C98" s="285">
        <f>IF(C97&lt;25%,(C96*0.5+D96*0.5)*0.9,IF(C97&lt;50%,(MAX(C96:D96)*0.6+MIN(C96:D96)*0.4)*0.9,IF(C97&lt;70%,(MAX(C96:D96)*0.65+MIN(C96:D96)*0.35)*0.9,IF(C97&lt;100%,(MAX(C96:D96)*0.7+MIN(C96:D96)*0.3)*0.9,0.7*MAX(C96:D96)))))</f>
        <v>1690.9533004648542</v>
      </c>
      <c r="D98" s="286"/>
      <c r="E98" s="285">
        <f>IF(E97&lt;25%,(E96*0.5+F96*0.5)*0.9,IF(E97&lt;50%,(MAX(E96:F96)*0.6+MIN(E96:F96)*0.4)*0.9,IF(E97&lt;70%,(MAX(E96:F96)*0.65+MIN(E96:F96)*0.35)*0.9,IF(E97&lt;100%,(MAX(E96:F96)*0.7+MIN(E96:F96)*0.3)*0.9,0.7*MAX(E96:F96)))))</f>
        <v>2544.1056793076323</v>
      </c>
      <c r="F98" s="286"/>
      <c r="G98" s="285">
        <f>IF(G97&lt;25%,(G96*0.5+H96*0.5)*0.9,IF(G97&lt;50%,(MAX(G96:H96)*0.6+MIN(G96:H96)*0.4)*0.9,IF(G97&lt;70%,(MAX(G96:H96)*0.65+MIN(G96:H96)*0.35)*0.9,IF(G97&lt;100%,(MAX(G96:H96)*0.7+MIN(G96:H96)*0.3)*0.9,0.7*MAX(G96:H96)))))</f>
        <v>2264.0624053826746</v>
      </c>
      <c r="H98" s="286"/>
      <c r="I98" s="285">
        <f>IF(I97&lt;25%,(I96*0.5+J96*0.5)*0.9,IF(I97&lt;50%,(MAX(I96:J96)*0.6+MIN(I96:J96)*0.4)*0.9,IF(I97&lt;70%,(MAX(I96:J96)*0.65+MIN(I96:J96)*0.35)*0.9,IF(I97&lt;100%,(MAX(I96:J96)*0.7+MIN(I96:J96)*0.3)*0.9,0.7*MAX(I96:J96)))))</f>
        <v>2084.0697244207317</v>
      </c>
      <c r="J98" s="286"/>
      <c r="K98" s="285">
        <f>IF(K97&lt;25%,(K96*0.5+L96*0.5)*0.9,IF(K97&lt;50%,(MAX(K96:L96)*0.6+MIN(K96:L96)*0.4)*0.9,IF(K97&lt;70%,(MAX(K96:L96)*0.65+MIN(K96:L96)*0.35)*0.9,IF(K97&lt;100%,(MAX(K96:L96)*0.7+MIN(K96:L96)*0.3)*0.9,0.7*MAX(K96:L96)))))</f>
        <v>1482.0991895161289</v>
      </c>
      <c r="L98" s="286"/>
      <c r="M98" s="285">
        <f>IF(M97&lt;25%,(M96*0.5+N96*0.5)*0.9,IF(M97&lt;50%,(MAX(M96:N96)*0.6+MIN(M96:N96)*0.4)*0.9,IF(M97&lt;70%,(MAX(M96:N96)*0.65+MIN(M96:N96)*0.35)*0.9,IF(M97&lt;100%,(MAX(M96:N96)*0.7+MIN(M96:N96)*0.3)*0.9,0.7*MAX(M96:N96)))))</f>
        <v>1095.0445414847163</v>
      </c>
      <c r="N98" s="286"/>
      <c r="O98" s="285">
        <f>IF(O97&lt;25%,(O96*0.5+P96*0.5)*0.9,IF(O97&lt;50%,(MAX(O96:P96)*0.6+MIN(O96:P96)*0.4)*0.9,IF(O97&lt;70%,(MAX(O96:P96)*0.65+MIN(O96:P96)*0.35)*0.9,IF(O97&lt;100%,(MAX(O96:P96)*0.7+MIN(O96:P96)*0.3)*0.9,0.7*MAX(O96:P96)))))</f>
        <v>994.9992127659574</v>
      </c>
      <c r="P98" s="286"/>
      <c r="Q98" s="285">
        <f>IF(Q97&lt;25%,(Q96*0.5+R96*0.5)*0.9,IF(Q97&lt;50%,(MAX(Q96:R96)*0.6+MIN(Q96:R96)*0.4)*0.9,IF(Q97&lt;70%,(MAX(Q96:R96)*0.65+MIN(Q96:R96)*0.35)*0.9,IF(Q97&lt;100%,(MAX(Q96:R96)*0.7+MIN(Q96:R96)*0.3)*0.9,0.7*MAX(Q96:R96)))))</f>
        <v>1028.3528640159575</v>
      </c>
      <c r="R98" s="286"/>
      <c r="S98" s="285">
        <f>IF(S97&lt;25%,(S96*0.5+T96*0.5)*0.9,IF(S97&lt;50%,(MAX(S96:T96)*0.6+MIN(S96:T96)*0.4)*0.9,IF(S97&lt;70%,(MAX(S96:T96)*0.65+MIN(S96:T96)*0.35)*0.9,IF(S97&lt;100%,(MAX(S96:T96)*0.7+MIN(S96:T96)*0.3)*0.9,0.7*MAX(S96:T96)))))</f>
        <v>1028.3528640159575</v>
      </c>
      <c r="T98" s="286"/>
      <c r="U98" s="285">
        <f>IF(U97&lt;25%,(U96*0.5+V96*0.5)*0.9,IF(U97&lt;50%,(MAX(U96:V96)*0.6+MIN(U96:V96)*0.4)*0.9,IF(U97&lt;70%,(MAX(U96:V96)*0.65+MIN(U96:V96)*0.35)*0.9,IF(U97&lt;100%,(MAX(U96:V96)*0.7+MIN(U96:V96)*0.3)*0.9,0.7*MAX(U96:V96)))))</f>
        <v>994.9992127659574</v>
      </c>
      <c r="V98" s="286"/>
      <c r="W98" s="285">
        <f>IF(W97&lt;25%,(W96*0.5+X96*0.5)*0.9,IF(W97&lt;50%,(MAX(W96:X96)*0.6+MIN(W96:X96)*0.4)*0.9,IF(W97&lt;70%,(MAX(W96:X96)*0.65+MIN(W96:X96)*0.35)*0.9,IF(W97&lt;100%,(MAX(W96:X96)*0.7+MIN(W96:X96)*0.3)*0.9,0.7*MAX(W96:X96)))))</f>
        <v>1563.772677818376</v>
      </c>
      <c r="X98" s="286"/>
      <c r="Y98" s="285">
        <f>IF(Y97&lt;25%,(Y96*0.5+Z96*0.5)*0.9,IF(Y97&lt;50%,(MAX(Y96:Z96)*0.6+MIN(Y96:Z96)*0.4)*0.9,IF(Y97&lt;70%,(MAX(Y96:Z96)*0.65+MIN(Y96:Z96)*0.35)*0.9,IF(Y97&lt;100%,(MAX(Y96:Z96)*0.7+MIN(Y96:Z96)*0.3)*0.9,0.7*MAX(Y96:Z96)))))</f>
        <v>1770.5811121875001</v>
      </c>
      <c r="Z98" s="286"/>
    </row>
    <row r="99" spans="2:26" x14ac:dyDescent="0.25">
      <c r="B99" s="104" t="s">
        <v>15</v>
      </c>
      <c r="C99" s="287">
        <f>C98/(0.9*(0.9*($C$7/100))*($L$9*1000))</f>
        <v>3.4839730761691592</v>
      </c>
      <c r="D99" s="288"/>
      <c r="E99" s="287">
        <f>E98/(0.9*(0.9*($C$7/100))*($L$9*1000))</f>
        <v>5.2417743808774491</v>
      </c>
      <c r="F99" s="288"/>
      <c r="G99" s="287">
        <f>G98/(0.9*(0.9*($C$7/100))*($L$9*1000))</f>
        <v>4.6647843325723883</v>
      </c>
      <c r="H99" s="288"/>
      <c r="I99" s="287">
        <f>I98/(0.9*(0.9*($C$7/100))*($L$9*1000))</f>
        <v>4.2939345555817861</v>
      </c>
      <c r="J99" s="288"/>
      <c r="K99" s="287">
        <f>K98/(0.9*(0.9*($C$7/100))*($L$9*1000))</f>
        <v>3.053658354176203</v>
      </c>
      <c r="L99" s="288"/>
      <c r="M99" s="287">
        <f>M98/(0.9*(0.9*($C$7/100))*($L$9*1000))</f>
        <v>2.2561863173216881</v>
      </c>
      <c r="N99" s="288"/>
      <c r="O99" s="287">
        <f>O98/(0.9*(0.9*($C$7/100))*($L$9*1000))</f>
        <v>2.0500568922471878</v>
      </c>
      <c r="P99" s="288"/>
      <c r="Q99" s="287">
        <f>Q98/(0.9*(0.9*($C$7/100))*($L$9*1000))</f>
        <v>2.1187774316701224</v>
      </c>
      <c r="R99" s="288"/>
      <c r="S99" s="287">
        <f>S98/(0.9*(0.9*($C$7/100))*($L$9*1000))</f>
        <v>2.1187774316701224</v>
      </c>
      <c r="T99" s="288"/>
      <c r="U99" s="287">
        <f>U98/(0.9*(0.9*($C$7/100))*($L$9*1000))</f>
        <v>2.0500568922471878</v>
      </c>
      <c r="V99" s="288"/>
      <c r="W99" s="287">
        <f>W98/(0.9*(0.9*($C$7/100))*($L$9*1000))</f>
        <v>3.2219351683280908</v>
      </c>
      <c r="X99" s="288"/>
      <c r="Y99" s="287">
        <f>Y98/(0.9*(0.9*($C$7/100))*($L$9*1000))</f>
        <v>3.6480350594774507</v>
      </c>
      <c r="Z99" s="288"/>
    </row>
    <row r="100" spans="2:26" x14ac:dyDescent="0.25">
      <c r="B100" s="104" t="s">
        <v>98</v>
      </c>
      <c r="C100" s="281">
        <f>(C99*($L$9))/(0.85*$L$6*100)</f>
        <v>5.7329506981945409E-2</v>
      </c>
      <c r="D100" s="282"/>
      <c r="E100" s="281">
        <f>(E99*($L$9))/(0.85*$L$6*100)</f>
        <v>8.6254495771455136E-2</v>
      </c>
      <c r="F100" s="282"/>
      <c r="G100" s="281">
        <f>(G99*($L$9))/(0.85*$L$6*100)</f>
        <v>7.6760003627104265E-2</v>
      </c>
      <c r="H100" s="282"/>
      <c r="I100" s="281">
        <f>(I99*($L$9))/(0.85*$L$6*100)</f>
        <v>7.0657592840792163E-2</v>
      </c>
      <c r="J100" s="282"/>
      <c r="K100" s="281">
        <f>(K99*($L$9))/(0.85*$L$6*100)</f>
        <v>5.0248588065644556E-2</v>
      </c>
      <c r="L100" s="282"/>
      <c r="M100" s="281">
        <f>(M99*($L$9))/(0.85*$L$6*100)</f>
        <v>3.7126018601064299E-2</v>
      </c>
      <c r="N100" s="282"/>
      <c r="O100" s="281">
        <f>(O99*($L$9))/(0.85*$L$6*100)</f>
        <v>3.3734115720176719E-2</v>
      </c>
      <c r="P100" s="282"/>
      <c r="Q100" s="281">
        <f>(Q99*($L$9))/(0.85*$L$6*100)</f>
        <v>3.4864926595725203E-2</v>
      </c>
      <c r="R100" s="282"/>
      <c r="S100" s="281">
        <f>(S99*($L$9))/(0.85*$L$6*100)</f>
        <v>3.4864926595725203E-2</v>
      </c>
      <c r="T100" s="282"/>
      <c r="U100" s="281">
        <f>(U99*($L$9))/(0.85*$L$6*100)</f>
        <v>3.3734115720176719E-2</v>
      </c>
      <c r="V100" s="282"/>
      <c r="W100" s="281">
        <f>(W99*($L$9))/(0.85*$L$6*100)</f>
        <v>5.3017618302361506E-2</v>
      </c>
      <c r="X100" s="282"/>
      <c r="Y100" s="281">
        <f>(Y99*($L$9))/(0.85*$L$6*100)</f>
        <v>6.0029181293977274E-2</v>
      </c>
      <c r="Z100" s="282"/>
    </row>
    <row r="101" spans="2:26" ht="15.75" thickBot="1" x14ac:dyDescent="0.3">
      <c r="B101" s="105" t="s">
        <v>15</v>
      </c>
      <c r="C101" s="289">
        <f>ROUNDUP(C98/(0.9*(($C$7-C100/2)/100)*($L$9*1000)),2)</f>
        <v>3.15</v>
      </c>
      <c r="D101" s="290"/>
      <c r="E101" s="289">
        <f>ROUNDUP(E98/(0.9*(($C$7-E100/2)/100)*($L$9*1000)),2)</f>
        <v>4.74</v>
      </c>
      <c r="F101" s="290"/>
      <c r="G101" s="289">
        <f>ROUNDUP(G98/(0.9*(($C$7-G100/2)/100)*($L$9*1000)),2)</f>
        <v>4.21</v>
      </c>
      <c r="H101" s="290"/>
      <c r="I101" s="289">
        <f>ROUNDUP(I98/(0.9*(($C$7-I100/2)/100)*($L$9*1000)),2)</f>
        <v>3.88</v>
      </c>
      <c r="J101" s="290"/>
      <c r="K101" s="289">
        <f>ROUNDUP(K98/(0.9*(($C$7-K100/2)/100)*($L$9*1000)),2)</f>
        <v>2.76</v>
      </c>
      <c r="L101" s="290"/>
      <c r="M101" s="289">
        <f>ROUNDUP(M98/(0.9*(($C$7-M100/2)/100)*($L$9*1000)),2)</f>
        <v>2.0399999999999996</v>
      </c>
      <c r="N101" s="290"/>
      <c r="O101" s="289">
        <f>ROUNDUP(O98/(0.9*(($C$7-O100/2)/100)*($L$9*1000)),2)</f>
        <v>1.85</v>
      </c>
      <c r="P101" s="290"/>
      <c r="Q101" s="289">
        <f>ROUNDUP(Q98/(0.9*(($C$7-Q100/2)/100)*($L$9*1000)),2)</f>
        <v>1.91</v>
      </c>
      <c r="R101" s="290"/>
      <c r="S101" s="289">
        <f>ROUNDUP(S98/(0.9*(($C$7-S100/2)/100)*($L$9*1000)),2)</f>
        <v>1.91</v>
      </c>
      <c r="T101" s="290"/>
      <c r="U101" s="289">
        <f>ROUNDUP(U98/(0.9*(($C$7-U100/2)/100)*($L$9*1000)),2)</f>
        <v>1.85</v>
      </c>
      <c r="V101" s="290"/>
      <c r="W101" s="289">
        <f>ROUNDUP(W98/(0.9*(($C$7-W100/2)/100)*($L$9*1000)),2)</f>
        <v>2.9099999999999997</v>
      </c>
      <c r="X101" s="290"/>
      <c r="Y101" s="289">
        <f>ROUNDUP(Y98/(0.9*(($C$7-Y100/2)/100)*($L$9*1000)),2)</f>
        <v>3.3</v>
      </c>
      <c r="Z101" s="290"/>
    </row>
    <row r="102" spans="2:26" ht="16.5" thickBot="1" x14ac:dyDescent="0.3">
      <c r="B102" s="61" t="s">
        <v>113</v>
      </c>
      <c r="C102" s="279" t="str">
        <f>IF(C101&gt;$C$12,"$\phi"&amp;IF(VLOOKUP(VLOOKUP(C101,tablas!$S$3:$U$66,2,TRUE)&amp;VLOOKUP(C101,tablas!$S$3:$U$66,3,TRUE),tablas!$R$3:$S$66,2,FALSE)&lt;C101,VLOOKUP(C101+0.1,tablas!$S$3:$U$66,2,TRUE),VLOOKUP(C101,tablas!$S$3:$U$66,2,TRUE))&amp;"@"&amp;IF(VLOOKUP(VLOOKUP(C101,tablas!$S$3:$U$66,2,TRUE)&amp;VLOOKUP(C101,tablas!$S$3:$U$66,3,TRUE),tablas!$R$3:$S$66,2,FALSE)&lt;C101,VLOOKUP(C101+0.1,tablas!$S$3:$U$66,3,TRUE)&amp;"$",VLOOKUP(C101,tablas!$S$3:$U$66,3,TRUE)&amp;"$"),$C$13)</f>
        <v>$\phi10@25$</v>
      </c>
      <c r="D102" s="280"/>
      <c r="E102" s="279" t="str">
        <f>IF(E101&gt;$C$12,"$\phi"&amp;IF(VLOOKUP(VLOOKUP(E101,tablas!$S$3:$U$66,2,TRUE)&amp;VLOOKUP(E101,tablas!$S$3:$U$66,3,TRUE),tablas!$R$3:$S$66,2,FALSE)&lt;E101,VLOOKUP(E101+0.1,tablas!$S$3:$U$66,2,TRUE),VLOOKUP(E101,tablas!$S$3:$U$66,2,TRUE))&amp;"@"&amp;IF(VLOOKUP(VLOOKUP(E101,tablas!$S$3:$U$66,2,TRUE)&amp;VLOOKUP(E101,tablas!$S$3:$U$66,3,TRUE),tablas!$R$3:$S$66,2,FALSE)&lt;E101,VLOOKUP(E101+0.1,tablas!$S$3:$U$66,3,TRUE)&amp;"$",VLOOKUP(E101,tablas!$S$3:$U$66,3,TRUE)&amp;"$"),$C$13)</f>
        <v>$\phi12@24$</v>
      </c>
      <c r="F102" s="280"/>
      <c r="G102" s="279" t="str">
        <f>IF(G101&gt;$C$12,"$\phi"&amp;IF(VLOOKUP(VLOOKUP(G101,tablas!$S$3:$U$66,2,TRUE)&amp;VLOOKUP(G101,tablas!$S$3:$U$66,3,TRUE),tablas!$R$3:$S$66,2,FALSE)&lt;G101,VLOOKUP(G101+0.1,tablas!$S$3:$U$66,2,TRUE),VLOOKUP(G101,tablas!$S$3:$U$66,2,TRUE))&amp;"@"&amp;IF(VLOOKUP(VLOOKUP(G101,tablas!$S$3:$U$66,2,TRUE)&amp;VLOOKUP(G101,tablas!$S$3:$U$66,3,TRUE),tablas!$R$3:$S$66,2,FALSE)&lt;G101,VLOOKUP(G101+0.1,tablas!$S$3:$U$66,3,TRUE)&amp;"$",VLOOKUP(G101,tablas!$S$3:$U$66,3,TRUE)&amp;"$"),$C$13)</f>
        <v>$\phi8@12$</v>
      </c>
      <c r="H102" s="280"/>
      <c r="I102" s="279" t="str">
        <f>IF(I101&gt;$C$12,"$\phi"&amp;IF(VLOOKUP(VLOOKUP(I101,tablas!$S$3:$U$66,2,TRUE)&amp;VLOOKUP(I101,tablas!$S$3:$U$66,3,TRUE),tablas!$R$3:$S$66,2,FALSE)&lt;I101,VLOOKUP(I101+0.1,tablas!$S$3:$U$66,2,TRUE),VLOOKUP(I101,tablas!$S$3:$U$66,2,TRUE))&amp;"@"&amp;IF(VLOOKUP(VLOOKUP(I101,tablas!$S$3:$U$66,2,TRUE)&amp;VLOOKUP(I101,tablas!$S$3:$U$66,3,TRUE),tablas!$R$3:$S$66,2,FALSE)&lt;I101,VLOOKUP(I101+0.1,tablas!$S$3:$U$66,3,TRUE)&amp;"$",VLOOKUP(I101,tablas!$S$3:$U$66,3,TRUE)&amp;"$"),$C$13)</f>
        <v>$\phi10@20$</v>
      </c>
      <c r="J102" s="280"/>
      <c r="K102" s="279" t="str">
        <f>IF(K101&gt;$C$12,"$\phi"&amp;IF(VLOOKUP(VLOOKUP(K101,tablas!$S$3:$U$66,2,TRUE)&amp;VLOOKUP(K101,tablas!$S$3:$U$66,3,TRUE),tablas!$R$3:$S$66,2,FALSE)&lt;K101,VLOOKUP(K101+0.1,tablas!$S$3:$U$66,2,TRUE),VLOOKUP(K101,tablas!$S$3:$U$66,2,TRUE))&amp;"@"&amp;IF(VLOOKUP(VLOOKUP(K101,tablas!$S$3:$U$66,2,TRUE)&amp;VLOOKUP(K101,tablas!$S$3:$U$66,3,TRUE),tablas!$R$3:$S$66,2,FALSE)&lt;K101,VLOOKUP(K101+0.1,tablas!$S$3:$U$66,3,TRUE)&amp;"$",VLOOKUP(K101,tablas!$S$3:$U$66,3,TRUE)&amp;"$"),$C$13)</f>
        <v>$\phi8@17$</v>
      </c>
      <c r="L102" s="280"/>
      <c r="M102" s="279" t="str">
        <f>IF(M101&gt;$C$12,"$\phi"&amp;IF(VLOOKUP(VLOOKUP(M101,tablas!$S$3:$U$66,2,TRUE)&amp;VLOOKUP(M101,tablas!$S$3:$U$66,3,TRUE),tablas!$R$3:$S$66,2,FALSE)&lt;M101,VLOOKUP(M101+0.1,tablas!$S$3:$U$66,2,TRUE),VLOOKUP(M101,tablas!$S$3:$U$66,2,TRUE))&amp;"@"&amp;IF(VLOOKUP(VLOOKUP(M101,tablas!$S$3:$U$66,2,TRUE)&amp;VLOOKUP(M101,tablas!$S$3:$U$66,3,TRUE),tablas!$R$3:$S$66,2,FALSE)&lt;M101,VLOOKUP(M101+0.1,tablas!$S$3:$U$66,3,TRUE)&amp;"$",VLOOKUP(M101,tablas!$S$3:$U$66,3,TRUE)&amp;"$"),$C$13)</f>
        <v>$\phi8@17$</v>
      </c>
      <c r="N102" s="280"/>
      <c r="O102" s="279" t="str">
        <f>IF(O101&gt;$C$12,"$\phi"&amp;IF(VLOOKUP(VLOOKUP(O101,tablas!$S$3:$U$66,2,TRUE)&amp;VLOOKUP(O101,tablas!$S$3:$U$66,3,TRUE),tablas!$R$3:$S$66,2,FALSE)&lt;O101,VLOOKUP(O101+0.1,tablas!$S$3:$U$66,2,TRUE),VLOOKUP(O101,tablas!$S$3:$U$66,2,TRUE))&amp;"@"&amp;IF(VLOOKUP(VLOOKUP(O101,tablas!$S$3:$U$66,2,TRUE)&amp;VLOOKUP(O101,tablas!$S$3:$U$66,3,TRUE),tablas!$R$3:$S$66,2,FALSE)&lt;O101,VLOOKUP(O101+0.1,tablas!$S$3:$U$66,3,TRUE)&amp;"$",VLOOKUP(O101,tablas!$S$3:$U$66,3,TRUE)&amp;"$"),$C$13)</f>
        <v>$\phi8@17$</v>
      </c>
      <c r="P102" s="280"/>
      <c r="Q102" s="279" t="str">
        <f>IF(Q101&gt;$C$12,"$\phi"&amp;IF(VLOOKUP(VLOOKUP(Q101,tablas!$S$3:$U$66,2,TRUE)&amp;VLOOKUP(Q101,tablas!$S$3:$U$66,3,TRUE),tablas!$R$3:$S$66,2,FALSE)&lt;Q101,VLOOKUP(Q101+0.1,tablas!$S$3:$U$66,2,TRUE),VLOOKUP(Q101,tablas!$S$3:$U$66,2,TRUE))&amp;"@"&amp;IF(VLOOKUP(VLOOKUP(Q101,tablas!$S$3:$U$66,2,TRUE)&amp;VLOOKUP(Q101,tablas!$S$3:$U$66,3,TRUE),tablas!$R$3:$S$66,2,FALSE)&lt;Q101,VLOOKUP(Q101+0.1,tablas!$S$3:$U$66,3,TRUE)&amp;"$",VLOOKUP(Q101,tablas!$S$3:$U$66,3,TRUE)&amp;"$"),$C$13)</f>
        <v>$\phi8@17$</v>
      </c>
      <c r="R102" s="280"/>
      <c r="S102" s="279" t="str">
        <f>IF(S101&gt;$C$12,"$\phi"&amp;IF(VLOOKUP(VLOOKUP(S101,tablas!$S$3:$U$66,2,TRUE)&amp;VLOOKUP(S101,tablas!$S$3:$U$66,3,TRUE),tablas!$R$3:$S$66,2,FALSE)&lt;S101,VLOOKUP(S101+0.1,tablas!$S$3:$U$66,2,TRUE),VLOOKUP(S101,tablas!$S$3:$U$66,2,TRUE))&amp;"@"&amp;IF(VLOOKUP(VLOOKUP(S101,tablas!$S$3:$U$66,2,TRUE)&amp;VLOOKUP(S101,tablas!$S$3:$U$66,3,TRUE),tablas!$R$3:$S$66,2,FALSE)&lt;S101,VLOOKUP(S101+0.1,tablas!$S$3:$U$66,3,TRUE)&amp;"$",VLOOKUP(S101,tablas!$S$3:$U$66,3,TRUE)&amp;"$"),$C$13)</f>
        <v>$\phi8@17$</v>
      </c>
      <c r="T102" s="280"/>
      <c r="U102" s="279" t="str">
        <f>IF(U101&gt;$C$12,"$\phi"&amp;IF(VLOOKUP(VLOOKUP(U101,tablas!$S$3:$U$66,2,TRUE)&amp;VLOOKUP(U101,tablas!$S$3:$U$66,3,TRUE),tablas!$R$3:$S$66,2,FALSE)&lt;U101,VLOOKUP(U101+0.1,tablas!$S$3:$U$66,2,TRUE),VLOOKUP(U101,tablas!$S$3:$U$66,2,TRUE))&amp;"@"&amp;IF(VLOOKUP(VLOOKUP(U101,tablas!$S$3:$U$66,2,TRUE)&amp;VLOOKUP(U101,tablas!$S$3:$U$66,3,TRUE),tablas!$R$3:$S$66,2,FALSE)&lt;U101,VLOOKUP(U101+0.1,tablas!$S$3:$U$66,3,TRUE)&amp;"$",VLOOKUP(U101,tablas!$S$3:$U$66,3,TRUE)&amp;"$"),$C$13)</f>
        <v>$\phi8@17$</v>
      </c>
      <c r="V102" s="280"/>
      <c r="W102" s="279" t="str">
        <f>IF(W101&gt;$C$12,"$\phi"&amp;IF(VLOOKUP(VLOOKUP(W101,tablas!$S$3:$U$66,2,TRUE)&amp;VLOOKUP(W101,tablas!$S$3:$U$66,3,TRUE),tablas!$R$3:$S$66,2,FALSE)&lt;W101,VLOOKUP(W101+0.1,tablas!$S$3:$U$66,2,TRUE),VLOOKUP(W101,tablas!$S$3:$U$66,2,TRUE))&amp;"@"&amp;IF(VLOOKUP(VLOOKUP(W101,tablas!$S$3:$U$66,2,TRUE)&amp;VLOOKUP(W101,tablas!$S$3:$U$66,3,TRUE),tablas!$R$3:$S$66,2,FALSE)&lt;W101,VLOOKUP(W101+0.1,tablas!$S$3:$U$66,3,TRUE)&amp;"$",VLOOKUP(W101,tablas!$S$3:$U$66,3,TRUE)&amp;"$"),$C$13)</f>
        <v>$\phi8@17$</v>
      </c>
      <c r="X102" s="280"/>
      <c r="Y102" s="279" t="str">
        <f>IF(Y101&gt;$C$12,"$\phi"&amp;IF(VLOOKUP(VLOOKUP(Y101,tablas!$S$3:$U$66,2,TRUE)&amp;VLOOKUP(Y101,tablas!$S$3:$U$66,3,TRUE),tablas!$R$3:$S$66,2,FALSE)&lt;Y101,VLOOKUP(Y101+0.1,tablas!$S$3:$U$66,2,TRUE),VLOOKUP(Y101,tablas!$S$3:$U$66,2,TRUE))&amp;"@"&amp;IF(VLOOKUP(VLOOKUP(Y101,tablas!$S$3:$U$66,2,TRUE)&amp;VLOOKUP(Y101,tablas!$S$3:$U$66,3,TRUE),tablas!$R$3:$S$66,2,FALSE)&lt;Y101,VLOOKUP(Y101+0.1,tablas!$S$3:$U$66,3,TRUE)&amp;"$",VLOOKUP(Y101,tablas!$S$3:$U$66,3,TRUE)&amp;"$"),$C$13)</f>
        <v>$\phi8@15$</v>
      </c>
      <c r="Z102" s="280"/>
    </row>
    <row r="103" spans="2:26" ht="15.75" thickBot="1" x14ac:dyDescent="0.3">
      <c r="P103" s="40"/>
      <c r="T103" s="40"/>
    </row>
    <row r="104" spans="2:26" ht="15.75" thickBot="1" x14ac:dyDescent="0.3">
      <c r="B104" s="73" t="s">
        <v>43</v>
      </c>
      <c r="C104" s="74" t="s">
        <v>167</v>
      </c>
      <c r="D104" s="75" t="s">
        <v>171</v>
      </c>
      <c r="E104" s="74" t="s">
        <v>167</v>
      </c>
      <c r="F104" s="75" t="s">
        <v>179</v>
      </c>
      <c r="G104" s="74" t="s">
        <v>167</v>
      </c>
      <c r="H104" s="75" t="s">
        <v>173</v>
      </c>
      <c r="I104" s="74" t="s">
        <v>167</v>
      </c>
      <c r="J104" s="75" t="s">
        <v>174</v>
      </c>
      <c r="K104" s="74" t="s">
        <v>168</v>
      </c>
      <c r="L104" s="75" t="s">
        <v>183</v>
      </c>
      <c r="M104" s="74" t="s">
        <v>168</v>
      </c>
      <c r="N104" s="75" t="s">
        <v>169</v>
      </c>
      <c r="O104" s="74" t="s">
        <v>168</v>
      </c>
      <c r="P104" s="75" t="s">
        <v>182</v>
      </c>
      <c r="Q104" s="74" t="s">
        <v>169</v>
      </c>
      <c r="R104" s="75" t="s">
        <v>182</v>
      </c>
      <c r="S104" s="74" t="s">
        <v>169</v>
      </c>
      <c r="T104" s="75" t="s">
        <v>171</v>
      </c>
      <c r="U104" s="74" t="s">
        <v>169</v>
      </c>
      <c r="V104" s="75" t="s">
        <v>170</v>
      </c>
      <c r="W104" s="74" t="s">
        <v>169</v>
      </c>
      <c r="X104" s="75" t="s">
        <v>185</v>
      </c>
      <c r="Y104" s="74" t="s">
        <v>170</v>
      </c>
      <c r="Z104" s="75" t="s">
        <v>171</v>
      </c>
    </row>
    <row r="105" spans="2:26" ht="15.75" hidden="1" thickBot="1" x14ac:dyDescent="0.3">
      <c r="B105" s="141"/>
      <c r="C105" s="143" t="str">
        <f>C104&amp;"-"&amp;D104</f>
        <v>804-808</v>
      </c>
      <c r="D105" s="143"/>
      <c r="E105" s="143" t="str">
        <f>E104&amp;"-"&amp;F104</f>
        <v>804-816</v>
      </c>
      <c r="F105" s="142"/>
      <c r="G105" s="143" t="str">
        <f>G104&amp;"-"&amp;H104</f>
        <v>804-810</v>
      </c>
      <c r="H105" s="142"/>
      <c r="I105" s="143" t="str">
        <f>I104&amp;"-"&amp;J104</f>
        <v>804-811</v>
      </c>
      <c r="J105" s="142"/>
      <c r="K105" s="143" t="str">
        <f>K104&amp;"-"&amp;L104</f>
        <v>805-820</v>
      </c>
      <c r="L105" s="142"/>
      <c r="M105" s="143" t="str">
        <f>M104&amp;"-"&amp;N104</f>
        <v>805-806</v>
      </c>
      <c r="N105" s="142"/>
      <c r="O105" s="143" t="str">
        <f>O104&amp;"-"&amp;P104</f>
        <v>805-819</v>
      </c>
      <c r="P105" s="142"/>
      <c r="Q105" s="143" t="str">
        <f>Q104&amp;"-"&amp;R104</f>
        <v>806-819</v>
      </c>
      <c r="R105" s="142"/>
      <c r="S105" s="143" t="str">
        <f>S104&amp;"-"&amp;T104</f>
        <v>806-808</v>
      </c>
      <c r="T105" s="142"/>
      <c r="U105" s="143" t="str">
        <f>U104&amp;"-"&amp;V104</f>
        <v>806-807</v>
      </c>
      <c r="V105" s="142"/>
      <c r="W105" s="143" t="str">
        <f>W104&amp;"-"&amp;X104</f>
        <v>806-822</v>
      </c>
      <c r="X105" s="142"/>
      <c r="Y105" s="143" t="str">
        <f>Y104&amp;"-"&amp;Z104</f>
        <v>807-808</v>
      </c>
      <c r="Z105" s="142"/>
    </row>
    <row r="106" spans="2:26" x14ac:dyDescent="0.25">
      <c r="B106" s="102" t="s">
        <v>114</v>
      </c>
      <c r="C106" s="99" t="s">
        <v>109</v>
      </c>
      <c r="D106" s="100" t="s">
        <v>109</v>
      </c>
      <c r="E106" s="99" t="s">
        <v>109</v>
      </c>
      <c r="F106" s="100" t="s">
        <v>108</v>
      </c>
      <c r="G106" s="99" t="s">
        <v>108</v>
      </c>
      <c r="H106" s="100" t="s">
        <v>108</v>
      </c>
      <c r="I106" s="99" t="s">
        <v>108</v>
      </c>
      <c r="J106" s="100" t="s">
        <v>108</v>
      </c>
      <c r="K106" s="99" t="s">
        <v>109</v>
      </c>
      <c r="L106" s="100" t="s">
        <v>108</v>
      </c>
      <c r="M106" s="99" t="s">
        <v>109</v>
      </c>
      <c r="N106" s="100" t="s">
        <v>108</v>
      </c>
      <c r="O106" s="99" t="s">
        <v>108</v>
      </c>
      <c r="P106" s="100" t="s">
        <v>108</v>
      </c>
      <c r="Q106" s="99" t="s">
        <v>109</v>
      </c>
      <c r="R106" s="100" t="s">
        <v>108</v>
      </c>
      <c r="S106" s="99" t="s">
        <v>109</v>
      </c>
      <c r="T106" s="100" t="s">
        <v>108</v>
      </c>
      <c r="U106" s="99" t="s">
        <v>108</v>
      </c>
      <c r="V106" s="100" t="s">
        <v>108</v>
      </c>
      <c r="W106" s="99" t="s">
        <v>108</v>
      </c>
      <c r="X106" s="100" t="s">
        <v>109</v>
      </c>
      <c r="Y106" s="99" t="s">
        <v>109</v>
      </c>
      <c r="Z106" s="100" t="s">
        <v>108</v>
      </c>
    </row>
    <row r="107" spans="2:26" x14ac:dyDescent="0.25">
      <c r="B107" s="103" t="s">
        <v>110</v>
      </c>
      <c r="C107" s="101">
        <f t="shared" ref="C107:Z107" si="28">HLOOKUP(C104,$B$46:$AE$90,IF(C106="x",36,41),FALSE)</f>
        <v>2084.7312244897957</v>
      </c>
      <c r="D107" s="85">
        <f t="shared" si="28"/>
        <v>155.67999999999998</v>
      </c>
      <c r="E107" s="101">
        <f t="shared" si="28"/>
        <v>2084.7312244897957</v>
      </c>
      <c r="F107" s="85">
        <f t="shared" si="28"/>
        <v>166.29600000000002</v>
      </c>
      <c r="G107" s="101">
        <f t="shared" si="28"/>
        <v>2660.2039062500003</v>
      </c>
      <c r="H107" s="85">
        <f t="shared" si="28"/>
        <v>1428.5638297872338</v>
      </c>
      <c r="I107" s="101">
        <f t="shared" si="28"/>
        <v>2660.2039062500003</v>
      </c>
      <c r="J107" s="85">
        <f t="shared" si="28"/>
        <v>2172.8938709677423</v>
      </c>
      <c r="K107" s="101">
        <f t="shared" si="28"/>
        <v>2015.9397209302329</v>
      </c>
      <c r="L107" s="85">
        <f t="shared" si="28"/>
        <v>84.1935</v>
      </c>
      <c r="M107" s="101">
        <f t="shared" si="28"/>
        <v>2015.9397209302329</v>
      </c>
      <c r="N107" s="85">
        <f t="shared" si="28"/>
        <v>1428.5638297872338</v>
      </c>
      <c r="O107" s="101">
        <f t="shared" si="28"/>
        <v>2330.2529032258067</v>
      </c>
      <c r="P107" s="85">
        <f t="shared" si="28"/>
        <v>276.07350000000002</v>
      </c>
      <c r="Q107" s="101">
        <f t="shared" si="28"/>
        <v>1323.0049261083741</v>
      </c>
      <c r="R107" s="85">
        <f t="shared" si="28"/>
        <v>276.07350000000002</v>
      </c>
      <c r="S107" s="101">
        <f t="shared" si="28"/>
        <v>1323.0049261083741</v>
      </c>
      <c r="T107" s="85">
        <f t="shared" si="28"/>
        <v>227.0333333333333</v>
      </c>
      <c r="U107" s="101">
        <f t="shared" si="28"/>
        <v>1428.5638297872338</v>
      </c>
      <c r="V107" s="85">
        <f t="shared" si="28"/>
        <v>670.04318181818178</v>
      </c>
      <c r="W107" s="101">
        <f t="shared" si="28"/>
        <v>1428.5638297872338</v>
      </c>
      <c r="X107" s="85">
        <f t="shared" si="28"/>
        <v>555.22533936651575</v>
      </c>
      <c r="Y107" s="101">
        <f t="shared" si="28"/>
        <v>479.38048780487804</v>
      </c>
      <c r="Z107" s="85">
        <f t="shared" si="28"/>
        <v>227.0333333333333</v>
      </c>
    </row>
    <row r="108" spans="2:26" x14ac:dyDescent="0.25">
      <c r="B108" s="103" t="s">
        <v>111</v>
      </c>
      <c r="C108" s="283">
        <f>(MAX(C107:D107)-MIN(C107:D107))/(MAX(C107:D107))</f>
        <v>0.92532370687828103</v>
      </c>
      <c r="D108" s="284"/>
      <c r="E108" s="283">
        <f>(MAX(E107:F107)-MIN(E107:F107))/(MAX(E107:F107))</f>
        <v>0.92023144372450305</v>
      </c>
      <c r="F108" s="284"/>
      <c r="G108" s="283">
        <f>(MAX(G107:H107)-MIN(G107:H107))/(MAX(G107:H107))</f>
        <v>0.46298709417315609</v>
      </c>
      <c r="H108" s="284"/>
      <c r="I108" s="283">
        <f>(MAX(I107:J107)-MIN(I107:J107))/(MAX(I107:J107))</f>
        <v>0.18318521904931812</v>
      </c>
      <c r="J108" s="284"/>
      <c r="K108" s="283">
        <f>(MAX(K107:L107)-MIN(K107:L107))/(MAX(K107:L107))</f>
        <v>0.95823610243606394</v>
      </c>
      <c r="L108" s="284"/>
      <c r="M108" s="283">
        <f>(MAX(M107:N107)-MIN(M107:N107))/(MAX(M107:N107))</f>
        <v>0.29136580079485763</v>
      </c>
      <c r="N108" s="284"/>
      <c r="O108" s="283">
        <f>(MAX(O107:P107)-MIN(O107:P107))/(MAX(O107:P107))</f>
        <v>0.88152637869570849</v>
      </c>
      <c r="P108" s="284"/>
      <c r="Q108" s="283">
        <f>(MAX(Q107:R107)-MIN(Q107:R107))/(MAX(Q107:R107))</f>
        <v>0.79132844137468816</v>
      </c>
      <c r="R108" s="284"/>
      <c r="S108" s="283">
        <f>(MAX(S107:T107)-MIN(S107:T107))/(MAX(S107:T107))</f>
        <v>0.82839570068635116</v>
      </c>
      <c r="T108" s="284"/>
      <c r="U108" s="283">
        <f>(MAX(U107:V107)-MIN(U107:V107))/(MAX(U107:V107))</f>
        <v>0.53096727787236775</v>
      </c>
      <c r="V108" s="284"/>
      <c r="W108" s="291">
        <f>(MAX(W107:X107)-MIN(W107:X107))/(MAX(W107:X107))</f>
        <v>0.61134019510405113</v>
      </c>
      <c r="X108" s="284"/>
      <c r="Y108" s="283">
        <f>(MAX(Y107:Z107)-MIN(Y107:Z107))/(MAX(Y107:Z107))</f>
        <v>0.5264026402640265</v>
      </c>
      <c r="Z108" s="284"/>
    </row>
    <row r="109" spans="2:26" x14ac:dyDescent="0.25">
      <c r="B109" s="103" t="s">
        <v>112</v>
      </c>
      <c r="C109" s="285">
        <f>IF(C108&lt;25%,(C107*0.5+D107*0.5)*0.9,IF(C108&lt;50%,(MAX(C107:D107)*0.6+MIN(C107:D107)*0.4)*0.9,IF(C108&lt;70%,(MAX(C107:D107)*0.65+MIN(C107:D107)*0.35)*0.9,IF(C108&lt;100%,(MAX(C107:D107)*0.7+MIN(C107:D107)*0.3)*0.9,0.7*MAX(C107:D107)))))</f>
        <v>1355.4142714285713</v>
      </c>
      <c r="D109" s="286"/>
      <c r="E109" s="285">
        <f>IF(E108&lt;25%,(E107*0.5+F107*0.5)*0.9,IF(E108&lt;50%,(MAX(E107:F107)*0.6+MIN(E107:F107)*0.4)*0.9,IF(E108&lt;70%,(MAX(E107:F107)*0.65+MIN(E107:F107)*0.35)*0.9,IF(E108&lt;100%,(MAX(E107:F107)*0.7+MIN(E107:F107)*0.3)*0.9,0.7*MAX(E107:F107)))))</f>
        <v>1358.2805914285714</v>
      </c>
      <c r="F109" s="286"/>
      <c r="G109" s="285">
        <f>IF(G108&lt;25%,(G107*0.5+H107*0.5)*0.9,IF(G108&lt;50%,(MAX(G107:H107)*0.6+MIN(G107:H107)*0.4)*0.9,IF(G108&lt;70%,(MAX(G107:H107)*0.65+MIN(G107:H107)*0.35)*0.9,IF(G108&lt;100%,(MAX(G107:H107)*0.7+MIN(G107:H107)*0.3)*0.9,0.7*MAX(G107:H107)))))</f>
        <v>1950.7930880984043</v>
      </c>
      <c r="H109" s="286"/>
      <c r="I109" s="285">
        <f>IF(I108&lt;25%,(I107*0.5+J107*0.5)*0.9,IF(I108&lt;50%,(MAX(I107:J107)*0.6+MIN(I107:J107)*0.4)*0.9,IF(I108&lt;70%,(MAX(I107:J107)*0.65+MIN(I107:J107)*0.35)*0.9,IF(I108&lt;100%,(MAX(I107:J107)*0.7+MIN(I107:J107)*0.3)*0.9,0.7*MAX(I107:J107)))))</f>
        <v>2174.8939997479843</v>
      </c>
      <c r="J109" s="286"/>
      <c r="K109" s="285">
        <f>IF(K108&lt;25%,(K107*0.5+L107*0.5)*0.9,IF(K108&lt;50%,(MAX(K107:L107)*0.6+MIN(K107:L107)*0.4)*0.9,IF(K108&lt;70%,(MAX(K107:L107)*0.65+MIN(K107:L107)*0.35)*0.9,IF(K108&lt;100%,(MAX(K107:L107)*0.7+MIN(K107:L107)*0.3)*0.9,0.7*MAX(K107:L107)))))</f>
        <v>1292.7742691860465</v>
      </c>
      <c r="L109" s="286"/>
      <c r="M109" s="285">
        <f>IF(M108&lt;25%,(M107*0.5+N107*0.5)*0.9,IF(M108&lt;50%,(MAX(M107:N107)*0.6+MIN(M107:N107)*0.4)*0.9,IF(M108&lt;70%,(MAX(M107:N107)*0.65+MIN(M107:N107)*0.35)*0.9,IF(M108&lt;100%,(MAX(M107:N107)*0.7+MIN(M107:N107)*0.3)*0.9,0.7*MAX(M107:N107)))))</f>
        <v>1602.89042802573</v>
      </c>
      <c r="N109" s="286"/>
      <c r="O109" s="285">
        <f>IF(O108&lt;25%,(O107*0.5+P107*0.5)*0.9,IF(O108&lt;50%,(MAX(O107:P107)*0.6+MIN(O107:P107)*0.4)*0.9,IF(O108&lt;70%,(MAX(O107:P107)*0.65+MIN(O107:P107)*0.35)*0.9,IF(O108&lt;100%,(MAX(O107:P107)*0.7+MIN(O107:P107)*0.3)*0.9,0.7*MAX(O107:P107)))))</f>
        <v>1542.5991740322581</v>
      </c>
      <c r="P109" s="286"/>
      <c r="Q109" s="285">
        <f>IF(Q108&lt;25%,(Q107*0.5+R107*0.5)*0.9,IF(Q108&lt;50%,(MAX(Q107:R107)*0.6+MIN(Q107:R107)*0.4)*0.9,IF(Q108&lt;70%,(MAX(Q107:R107)*0.65+MIN(Q107:R107)*0.35)*0.9,IF(Q108&lt;100%,(MAX(Q107:R107)*0.7+MIN(Q107:R107)*0.3)*0.9,0.7*MAX(Q107:R107)))))</f>
        <v>908.03294844827553</v>
      </c>
      <c r="R109" s="286"/>
      <c r="S109" s="285">
        <f>IF(S108&lt;25%,(S107*0.5+T107*0.5)*0.9,IF(S108&lt;50%,(MAX(S107:T107)*0.6+MIN(S107:T107)*0.4)*0.9,IF(S108&lt;70%,(MAX(S107:T107)*0.65+MIN(S107:T107)*0.35)*0.9,IF(S108&lt;100%,(MAX(S107:T107)*0.7+MIN(S107:T107)*0.3)*0.9,0.7*MAX(S107:T107)))))</f>
        <v>894.79210344827561</v>
      </c>
      <c r="T109" s="286"/>
      <c r="U109" s="285">
        <f>IF(U108&lt;25%,(U107*0.5+V107*0.5)*0.9,IF(U108&lt;50%,(MAX(U107:V107)*0.6+MIN(U107:V107)*0.4)*0.9,IF(U108&lt;70%,(MAX(U107:V107)*0.65+MIN(U107:V107)*0.35)*0.9,IF(U108&lt;100%,(MAX(U107:V107)*0.7+MIN(U107:V107)*0.3)*0.9,0.7*MAX(U107:V107)))))</f>
        <v>1046.773442698259</v>
      </c>
      <c r="V109" s="286"/>
      <c r="W109" s="292">
        <f>IF(W108&lt;25%,(W107*0.5+X107*0.5)*0.9,IF(W108&lt;50%,(MAX(W107:X107)*0.6+MIN(W107:X107)*0.4)*0.9,IF(W108&lt;70%,(MAX(W107:X107)*0.65+MIN(W107:X107)*0.35)*0.9,IF(W108&lt;100%,(MAX(W107:X107)*0.7+MIN(W107:X107)*0.3)*0.9,0.7*MAX(W107:X107)))))</f>
        <v>1010.6058223259844</v>
      </c>
      <c r="X109" s="286"/>
      <c r="Y109" s="285">
        <f>IF(Y108&lt;25%,(Y107*0.5+Z107*0.5)*0.9,IF(Y108&lt;50%,(MAX(Y107:Z107)*0.6+MIN(Y107:Z107)*0.4)*0.9,IF(Y108&lt;70%,(MAX(Y107:Z107)*0.65+MIN(Y107:Z107)*0.35)*0.9,IF(Y108&lt;100%,(MAX(Y107:Z107)*0.7+MIN(Y107:Z107)*0.3)*0.9,0.7*MAX(Y107:Z107)))))</f>
        <v>351.95308536585367</v>
      </c>
      <c r="Z109" s="286"/>
    </row>
    <row r="110" spans="2:26" x14ac:dyDescent="0.25">
      <c r="B110" s="104" t="s">
        <v>15</v>
      </c>
      <c r="C110" s="287">
        <f>C109/(0.9*(0.9*($C$7/100))*($L$9*1000))</f>
        <v>2.7926417763367017</v>
      </c>
      <c r="D110" s="288"/>
      <c r="E110" s="287">
        <f>E109/(0.9*(0.9*($C$7/100))*($L$9*1000))</f>
        <v>2.7985474283171201</v>
      </c>
      <c r="F110" s="288"/>
      <c r="G110" s="287">
        <f>G109/(0.9*(0.9*($C$7/100))*($L$9*1000))</f>
        <v>4.0193366630783505</v>
      </c>
      <c r="H110" s="288"/>
      <c r="I110" s="287">
        <f>I109/(0.9*(0.9*($C$7/100))*($L$9*1000))</f>
        <v>4.481065288178443</v>
      </c>
      <c r="J110" s="288"/>
      <c r="K110" s="287">
        <f>K109/(0.9*(0.9*($C$7/100))*($L$9*1000))</f>
        <v>2.6635808015338274</v>
      </c>
      <c r="L110" s="288"/>
      <c r="M110" s="287">
        <f>M109/(0.9*(0.9*($C$7/100))*($L$9*1000))</f>
        <v>3.3025318284991707</v>
      </c>
      <c r="N110" s="288"/>
      <c r="O110" s="287">
        <f>O109/(0.9*(0.9*($C$7/100))*($L$9*1000))</f>
        <v>3.1783101213804779</v>
      </c>
      <c r="P110" s="288"/>
      <c r="Q110" s="287">
        <f>Q109/(0.9*(0.9*($C$7/100))*($L$9*1000))</f>
        <v>1.8708750524326165</v>
      </c>
      <c r="R110" s="288"/>
      <c r="S110" s="287">
        <f>S109/(0.9*(0.9*($C$7/100))*($L$9*1000))</f>
        <v>1.8435941408467984</v>
      </c>
      <c r="T110" s="288"/>
      <c r="U110" s="287">
        <f>U109/(0.9*(0.9*($C$7/100))*($L$9*1000))</f>
        <v>2.1567304609814295</v>
      </c>
      <c r="V110" s="288"/>
      <c r="W110" s="293">
        <f>W109/(0.9*(0.9*($C$7/100))*($L$9*1000))</f>
        <v>2.0822121312490398</v>
      </c>
      <c r="X110" s="288"/>
      <c r="Y110" s="287">
        <f>Y109/(0.9*(0.9*($C$7/100))*($L$9*1000))</f>
        <v>0.72515017011540817</v>
      </c>
      <c r="Z110" s="288"/>
    </row>
    <row r="111" spans="2:26" x14ac:dyDescent="0.25">
      <c r="B111" s="104" t="s">
        <v>98</v>
      </c>
      <c r="C111" s="281">
        <f>(C110*($L$9))/(0.85*$L$6*100)</f>
        <v>4.5953505585240612E-2</v>
      </c>
      <c r="D111" s="282"/>
      <c r="E111" s="281">
        <f>(E110*($L$9))/(0.85*$L$6*100)</f>
        <v>4.6050684326017971E-2</v>
      </c>
      <c r="F111" s="282"/>
      <c r="G111" s="281">
        <f>(G110*($L$9))/(0.85*$L$6*100)</f>
        <v>6.6139026981835214E-2</v>
      </c>
      <c r="H111" s="282"/>
      <c r="I111" s="281">
        <f>(I110*($L$9))/(0.85*$L$6*100)</f>
        <v>7.3736868256069718E-2</v>
      </c>
      <c r="J111" s="282"/>
      <c r="K111" s="281">
        <f>(K110*($L$9))/(0.85*$L$6*100)</f>
        <v>4.3829780202094507E-2</v>
      </c>
      <c r="L111" s="282"/>
      <c r="M111" s="281">
        <f>(M110*($L$9))/(0.85*$L$6*100)</f>
        <v>5.4343853233281239E-2</v>
      </c>
      <c r="N111" s="282"/>
      <c r="O111" s="281">
        <f>(O110*($L$9))/(0.85*$L$6*100)</f>
        <v>5.2299759013873293E-2</v>
      </c>
      <c r="P111" s="282"/>
      <c r="Q111" s="281">
        <f>(Q110*($L$9))/(0.85*$L$6*100)</f>
        <v>3.0785641001197996E-2</v>
      </c>
      <c r="R111" s="282"/>
      <c r="S111" s="281">
        <f>(S110*($L$9))/(0.85*$L$6*100)</f>
        <v>3.0336727884753157E-2</v>
      </c>
      <c r="T111" s="282"/>
      <c r="U111" s="281">
        <f>(U110*($L$9))/(0.85*$L$6*100)</f>
        <v>3.5489451645522946E-2</v>
      </c>
      <c r="V111" s="282"/>
      <c r="W111" s="294">
        <f>(W110*($L$9))/(0.85*$L$6*100)</f>
        <v>3.4263236915593583E-2</v>
      </c>
      <c r="X111" s="282"/>
      <c r="Y111" s="281">
        <f>(Y110*($L$9))/(0.85*$L$6*100)</f>
        <v>1.193249799344078E-2</v>
      </c>
      <c r="Z111" s="282"/>
    </row>
    <row r="112" spans="2:26" ht="15.75" thickBot="1" x14ac:dyDescent="0.3">
      <c r="B112" s="105" t="s">
        <v>15</v>
      </c>
      <c r="C112" s="289">
        <f>ROUNDUP(C109/(0.9*(($C$7-C111/2)/100)*($L$9*1000)),2)</f>
        <v>2.5199999999999996</v>
      </c>
      <c r="D112" s="290"/>
      <c r="E112" s="289">
        <f>ROUNDUP(E109/(0.9*(($C$7-E111/2)/100)*($L$9*1000)),2)</f>
        <v>2.5299999999999998</v>
      </c>
      <c r="F112" s="290"/>
      <c r="G112" s="289">
        <f>ROUNDUP(G109/(0.9*(($C$7-G111/2)/100)*($L$9*1000)),2)</f>
        <v>3.63</v>
      </c>
      <c r="H112" s="290"/>
      <c r="I112" s="289">
        <f>ROUNDUP(I109/(0.9*(($C$7-I111/2)/100)*($L$9*1000)),2)</f>
        <v>4.05</v>
      </c>
      <c r="J112" s="290"/>
      <c r="K112" s="289">
        <f>ROUNDUP(K109/(0.9*(($C$7-K111/2)/100)*($L$9*1000)),2)</f>
        <v>2.4099999999999997</v>
      </c>
      <c r="L112" s="290"/>
      <c r="M112" s="289">
        <f>ROUNDUP(M109/(0.9*(($C$7-M111/2)/100)*($L$9*1000)),2)</f>
        <v>2.98</v>
      </c>
      <c r="N112" s="290"/>
      <c r="O112" s="289">
        <f>ROUNDUP(O109/(0.9*(($C$7-O111/2)/100)*($L$9*1000)),2)</f>
        <v>2.8699999999999997</v>
      </c>
      <c r="P112" s="290"/>
      <c r="Q112" s="289">
        <f>ROUNDUP(Q109/(0.9*(($C$7-Q111/2)/100)*($L$9*1000)),2)</f>
        <v>1.69</v>
      </c>
      <c r="R112" s="290"/>
      <c r="S112" s="289">
        <f>ROUNDUP(S109/(0.9*(($C$7-S111/2)/100)*($L$9*1000)),2)</f>
        <v>1.67</v>
      </c>
      <c r="T112" s="290"/>
      <c r="U112" s="289">
        <f>ROUNDUP(U109/(0.9*(($C$7-U111/2)/100)*($L$9*1000)),2)</f>
        <v>1.95</v>
      </c>
      <c r="V112" s="290"/>
      <c r="W112" s="295">
        <f>ROUNDUP(W109/(0.9*(($C$7-W111/2)/100)*($L$9*1000)),2)</f>
        <v>1.8800000000000001</v>
      </c>
      <c r="X112" s="296"/>
      <c r="Y112" s="289">
        <f>ROUNDUP(Y109/(0.9*(($C$7-Y111/2)/100)*($L$9*1000)),2)</f>
        <v>0.66</v>
      </c>
      <c r="Z112" s="290"/>
    </row>
    <row r="113" spans="2:26" ht="16.5" thickBot="1" x14ac:dyDescent="0.3">
      <c r="B113" s="61" t="s">
        <v>113</v>
      </c>
      <c r="C113" s="279" t="str">
        <f>IF(C112&gt;$C$12,"$\phi"&amp;IF(VLOOKUP(VLOOKUP(C112,tablas!$S$3:$U$66,2,TRUE)&amp;VLOOKUP(C112,tablas!$S$3:$U$66,3,TRUE),tablas!$R$3:$S$66,2,FALSE)&lt;C112,VLOOKUP(C112+0.1,tablas!$S$3:$U$66,2,TRUE),VLOOKUP(C112,tablas!$S$3:$U$66,2,TRUE))&amp;"@"&amp;IF(VLOOKUP(VLOOKUP(C112,tablas!$S$3:$U$66,2,TRUE)&amp;VLOOKUP(C112,tablas!$S$3:$U$66,3,TRUE),tablas!$R$3:$S$66,2,FALSE)&lt;C112,VLOOKUP(C112+0.1,tablas!$S$3:$U$66,3,TRUE)&amp;"$",VLOOKUP(C112,tablas!$S$3:$U$66,3,TRUE)&amp;"$"),$C$13)</f>
        <v>$\phi8@17$</v>
      </c>
      <c r="D113" s="280"/>
      <c r="E113" s="279" t="str">
        <f>IF(E112&gt;$C$12,"$\phi"&amp;IF(VLOOKUP(VLOOKUP(E112,tablas!$S$3:$U$66,2,TRUE)&amp;VLOOKUP(E112,tablas!$S$3:$U$66,3,TRUE),tablas!$R$3:$S$66,2,FALSE)&lt;E112,VLOOKUP(E112+0.1,tablas!$S$3:$U$66,2,TRUE),VLOOKUP(E112,tablas!$S$3:$U$66,2,TRUE))&amp;"@"&amp;IF(VLOOKUP(VLOOKUP(E112,tablas!$S$3:$U$66,2,TRUE)&amp;VLOOKUP(E112,tablas!$S$3:$U$66,3,TRUE),tablas!$R$3:$S$66,2,FALSE)&lt;E112,VLOOKUP(E112+0.1,tablas!$S$3:$U$66,3,TRUE)&amp;"$",VLOOKUP(E112,tablas!$S$3:$U$66,3,TRUE)&amp;"$"),$C$13)</f>
        <v>$\phi8@17$</v>
      </c>
      <c r="F113" s="280"/>
      <c r="G113" s="279" t="str">
        <f>IF(G112&gt;$C$12,"$\phi"&amp;IF(VLOOKUP(VLOOKUP(G112,tablas!$S$3:$U$66,2,TRUE)&amp;VLOOKUP(G112,tablas!$S$3:$U$66,3,TRUE),tablas!$R$3:$S$66,2,FALSE)&lt;G112,VLOOKUP(G112+0.1,tablas!$S$3:$U$66,2,TRUE),VLOOKUP(G112,tablas!$S$3:$U$66,2,TRUE))&amp;"@"&amp;IF(VLOOKUP(VLOOKUP(G112,tablas!$S$3:$U$66,2,TRUE)&amp;VLOOKUP(G112,tablas!$S$3:$U$66,3,TRUE),tablas!$R$3:$S$66,2,FALSE)&lt;G112,VLOOKUP(G112+0.1,tablas!$S$3:$U$66,3,TRUE)&amp;"$",VLOOKUP(G112,tablas!$S$3:$U$66,3,TRUE)&amp;"$"),$C$13)</f>
        <v>$\phi8@14$</v>
      </c>
      <c r="H113" s="280"/>
      <c r="I113" s="279" t="str">
        <f>IF(I112&gt;$C$12,"$\phi"&amp;IF(VLOOKUP(VLOOKUP(I112,tablas!$S$3:$U$66,2,TRUE)&amp;VLOOKUP(I112,tablas!$S$3:$U$66,3,TRUE),tablas!$R$3:$S$66,2,FALSE)&lt;I112,VLOOKUP(I112+0.1,tablas!$S$3:$U$66,2,TRUE),VLOOKUP(I112,tablas!$S$3:$U$66,2,TRUE))&amp;"@"&amp;IF(VLOOKUP(VLOOKUP(I112,tablas!$S$3:$U$66,2,TRUE)&amp;VLOOKUP(I112,tablas!$S$3:$U$66,3,TRUE),tablas!$R$3:$S$66,2,FALSE)&lt;I112,VLOOKUP(I112+0.1,tablas!$S$3:$U$66,3,TRUE)&amp;"$",VLOOKUP(I112,tablas!$S$3:$U$66,3,TRUE)&amp;"$"),$C$13)</f>
        <v>$\phi10@19$</v>
      </c>
      <c r="J113" s="280"/>
      <c r="K113" s="279" t="str">
        <f>IF(K112&gt;$C$12,"$\phi"&amp;IF(VLOOKUP(VLOOKUP(K112,tablas!$S$3:$U$66,2,TRUE)&amp;VLOOKUP(K112,tablas!$S$3:$U$66,3,TRUE),tablas!$R$3:$S$66,2,FALSE)&lt;K112,VLOOKUP(K112+0.1,tablas!$S$3:$U$66,2,TRUE),VLOOKUP(K112,tablas!$S$3:$U$66,2,TRUE))&amp;"@"&amp;IF(VLOOKUP(VLOOKUP(K112,tablas!$S$3:$U$66,2,TRUE)&amp;VLOOKUP(K112,tablas!$S$3:$U$66,3,TRUE),tablas!$R$3:$S$66,2,FALSE)&lt;K112,VLOOKUP(K112+0.1,tablas!$S$3:$U$66,3,TRUE)&amp;"$",VLOOKUP(K112,tablas!$S$3:$U$66,3,TRUE)&amp;"$"),$C$13)</f>
        <v>$\phi8@17$</v>
      </c>
      <c r="L113" s="280"/>
      <c r="M113" s="279" t="str">
        <f>IF(M112&gt;$C$12,"$\phi"&amp;IF(VLOOKUP(VLOOKUP(M112,tablas!$S$3:$U$66,2,TRUE)&amp;VLOOKUP(M112,tablas!$S$3:$U$66,3,TRUE),tablas!$R$3:$S$66,2,FALSE)&lt;M112,VLOOKUP(M112+0.1,tablas!$S$3:$U$66,2,TRUE),VLOOKUP(M112,tablas!$S$3:$U$66,2,TRUE))&amp;"@"&amp;IF(VLOOKUP(VLOOKUP(M112,tablas!$S$3:$U$66,2,TRUE)&amp;VLOOKUP(M112,tablas!$S$3:$U$66,3,TRUE),tablas!$R$3:$S$66,2,FALSE)&lt;M112,VLOOKUP(M112+0.1,tablas!$S$3:$U$66,3,TRUE)&amp;"$",VLOOKUP(M112,tablas!$S$3:$U$66,3,TRUE)&amp;"$"),$C$13)</f>
        <v>$\phi8@17$</v>
      </c>
      <c r="N113" s="280"/>
      <c r="O113" s="279" t="str">
        <f>IF(O112&gt;$C$12,"$\phi"&amp;IF(VLOOKUP(VLOOKUP(O112,tablas!$S$3:$U$66,2,TRUE)&amp;VLOOKUP(O112,tablas!$S$3:$U$66,3,TRUE),tablas!$R$3:$S$66,2,FALSE)&lt;O112,VLOOKUP(O112+0.1,tablas!$S$3:$U$66,2,TRUE),VLOOKUP(O112,tablas!$S$3:$U$66,2,TRUE))&amp;"@"&amp;IF(VLOOKUP(VLOOKUP(O112,tablas!$S$3:$U$66,2,TRUE)&amp;VLOOKUP(O112,tablas!$S$3:$U$66,3,TRUE),tablas!$R$3:$S$66,2,FALSE)&lt;O112,VLOOKUP(O112+0.1,tablas!$S$3:$U$66,3,TRUE)&amp;"$",VLOOKUP(O112,tablas!$S$3:$U$66,3,TRUE)&amp;"$"),$C$13)</f>
        <v>$\phi8@17$</v>
      </c>
      <c r="P113" s="280"/>
      <c r="Q113" s="279" t="str">
        <f>IF(Q112&gt;$C$12,"$\phi"&amp;IF(VLOOKUP(VLOOKUP(Q112,tablas!$S$3:$U$66,2,TRUE)&amp;VLOOKUP(Q112,tablas!$S$3:$U$66,3,TRUE),tablas!$R$3:$S$66,2,FALSE)&lt;Q112,VLOOKUP(Q112+0.1,tablas!$S$3:$U$66,2,TRUE),VLOOKUP(Q112,tablas!$S$3:$U$66,2,TRUE))&amp;"@"&amp;IF(VLOOKUP(VLOOKUP(Q112,tablas!$S$3:$U$66,2,TRUE)&amp;VLOOKUP(Q112,tablas!$S$3:$U$66,3,TRUE),tablas!$R$3:$S$66,2,FALSE)&lt;Q112,VLOOKUP(Q112+0.1,tablas!$S$3:$U$66,3,TRUE)&amp;"$",VLOOKUP(Q112,tablas!$S$3:$U$66,3,TRUE)&amp;"$"),$C$13)</f>
        <v>$\phi8@17$</v>
      </c>
      <c r="R113" s="280"/>
      <c r="S113" s="279" t="str">
        <f>IF(S112&gt;$C$12,"$\phi"&amp;IF(VLOOKUP(VLOOKUP(S112,tablas!$S$3:$U$66,2,TRUE)&amp;VLOOKUP(S112,tablas!$S$3:$U$66,3,TRUE),tablas!$R$3:$S$66,2,FALSE)&lt;S112,VLOOKUP(S112+0.1,tablas!$S$3:$U$66,2,TRUE),VLOOKUP(S112,tablas!$S$3:$U$66,2,TRUE))&amp;"@"&amp;IF(VLOOKUP(VLOOKUP(S112,tablas!$S$3:$U$66,2,TRUE)&amp;VLOOKUP(S112,tablas!$S$3:$U$66,3,TRUE),tablas!$R$3:$S$66,2,FALSE)&lt;S112,VLOOKUP(S112+0.1,tablas!$S$3:$U$66,3,TRUE)&amp;"$",VLOOKUP(S112,tablas!$S$3:$U$66,3,TRUE)&amp;"$"),$C$13)</f>
        <v>$\phi8@17$</v>
      </c>
      <c r="T113" s="280"/>
      <c r="U113" s="279" t="str">
        <f>IF(U112&gt;$C$12,"$\phi"&amp;IF(VLOOKUP(VLOOKUP(U112,tablas!$S$3:$U$66,2,TRUE)&amp;VLOOKUP(U112,tablas!$S$3:$U$66,3,TRUE),tablas!$R$3:$S$66,2,FALSE)&lt;U112,VLOOKUP(U112+0.1,tablas!$S$3:$U$66,2,TRUE),VLOOKUP(U112,tablas!$S$3:$U$66,2,TRUE))&amp;"@"&amp;IF(VLOOKUP(VLOOKUP(U112,tablas!$S$3:$U$66,2,TRUE)&amp;VLOOKUP(U112,tablas!$S$3:$U$66,3,TRUE),tablas!$R$3:$S$66,2,FALSE)&lt;U112,VLOOKUP(U112+0.1,tablas!$S$3:$U$66,3,TRUE)&amp;"$",VLOOKUP(U112,tablas!$S$3:$U$66,3,TRUE)&amp;"$"),$C$13)</f>
        <v>$\phi8@17$</v>
      </c>
      <c r="V113" s="280"/>
      <c r="W113" s="279" t="str">
        <f>IF(W112&gt;$C$12,"$\phi"&amp;IF(VLOOKUP(VLOOKUP(W112,tablas!$S$3:$U$66,2,TRUE)&amp;VLOOKUP(W112,tablas!$S$3:$U$66,3,TRUE),tablas!$R$3:$S$66,2,FALSE)&lt;W112,VLOOKUP(W112+0.1,tablas!$S$3:$U$66,2,TRUE),VLOOKUP(W112,tablas!$S$3:$U$66,2,TRUE))&amp;"@"&amp;IF(VLOOKUP(VLOOKUP(W112,tablas!$S$3:$U$66,2,TRUE)&amp;VLOOKUP(W112,tablas!$S$3:$U$66,3,TRUE),tablas!$R$3:$S$66,2,FALSE)&lt;W112,VLOOKUP(W112+0.1,tablas!$S$3:$U$66,3,TRUE)&amp;"$",VLOOKUP(W112,tablas!$S$3:$U$66,3,TRUE)&amp;"$"),$C$13)</f>
        <v>$\phi8@17$</v>
      </c>
      <c r="X113" s="280"/>
      <c r="Y113" s="279" t="str">
        <f>IF(Y112&gt;$C$12,"$\phi"&amp;IF(VLOOKUP(VLOOKUP(Y112,tablas!$S$3:$U$66,2,TRUE)&amp;VLOOKUP(Y112,tablas!$S$3:$U$66,3,TRUE),tablas!$R$3:$S$66,2,FALSE)&lt;Y112,VLOOKUP(Y112+0.1,tablas!$S$3:$U$66,2,TRUE),VLOOKUP(Y112,tablas!$S$3:$U$66,2,TRUE))&amp;"@"&amp;IF(VLOOKUP(VLOOKUP(Y112,tablas!$S$3:$U$66,2,TRUE)&amp;VLOOKUP(Y112,tablas!$S$3:$U$66,3,TRUE),tablas!$R$3:$S$66,2,FALSE)&lt;Y112,VLOOKUP(Y112+0.1,tablas!$S$3:$U$66,3,TRUE)&amp;"$",VLOOKUP(Y112,tablas!$S$3:$U$66,3,TRUE)&amp;"$"),$C$13)</f>
        <v>$\phi8@17$</v>
      </c>
      <c r="Z113" s="280"/>
    </row>
    <row r="114" spans="2:26" ht="15.75" thickBot="1" x14ac:dyDescent="0.3">
      <c r="P114" s="40"/>
      <c r="T114" s="40"/>
    </row>
    <row r="115" spans="2:26" ht="15.75" thickBot="1" x14ac:dyDescent="0.3">
      <c r="B115" s="73" t="s">
        <v>43</v>
      </c>
      <c r="C115" s="74" t="s">
        <v>170</v>
      </c>
      <c r="D115" s="75" t="s">
        <v>185</v>
      </c>
      <c r="E115" s="74" t="s">
        <v>171</v>
      </c>
      <c r="F115" s="75" t="s">
        <v>172</v>
      </c>
      <c r="G115" s="74" t="s">
        <v>171</v>
      </c>
      <c r="H115" s="75" t="s">
        <v>173</v>
      </c>
      <c r="I115" s="74" t="s">
        <v>172</v>
      </c>
      <c r="J115" s="75" t="s">
        <v>185</v>
      </c>
      <c r="K115" s="74" t="s">
        <v>172</v>
      </c>
      <c r="L115" s="75" t="s">
        <v>173</v>
      </c>
      <c r="M115" s="74" t="s">
        <v>173</v>
      </c>
      <c r="N115" s="75" t="s">
        <v>174</v>
      </c>
      <c r="O115" s="74" t="s">
        <v>173</v>
      </c>
      <c r="P115" s="75" t="s">
        <v>181</v>
      </c>
      <c r="Q115" s="74" t="s">
        <v>174</v>
      </c>
      <c r="R115" s="75" t="s">
        <v>181</v>
      </c>
      <c r="S115" s="74" t="s">
        <v>174</v>
      </c>
      <c r="T115" s="75" t="s">
        <v>180</v>
      </c>
      <c r="U115" s="74" t="s">
        <v>176</v>
      </c>
      <c r="V115" s="75" t="s">
        <v>177</v>
      </c>
    </row>
    <row r="116" spans="2:26" ht="15.75" hidden="1" thickBot="1" x14ac:dyDescent="0.3">
      <c r="B116" s="141"/>
      <c r="C116" s="143" t="str">
        <f>C115&amp;"-"&amp;D115</f>
        <v>807-822</v>
      </c>
      <c r="D116" s="143"/>
      <c r="E116" s="143" t="str">
        <f>E115&amp;"-"&amp;F115</f>
        <v>808-809</v>
      </c>
      <c r="F116" s="142"/>
      <c r="G116" s="143" t="str">
        <f>G115&amp;"-"&amp;H115</f>
        <v>808-810</v>
      </c>
      <c r="H116" s="142"/>
      <c r="I116" s="143" t="str">
        <f>I115&amp;"-"&amp;J115</f>
        <v>809-822</v>
      </c>
      <c r="J116" s="142"/>
      <c r="K116" s="143" t="str">
        <f>K115&amp;"-"&amp;L115</f>
        <v>809-810</v>
      </c>
      <c r="L116" s="142"/>
      <c r="M116" s="143" t="str">
        <f>M115&amp;"-"&amp;N115</f>
        <v>810-811</v>
      </c>
      <c r="N116" s="142"/>
      <c r="O116" s="143" t="str">
        <f>O115&amp;"-"&amp;P115</f>
        <v>810-818</v>
      </c>
      <c r="P116" s="142"/>
      <c r="Q116" s="143" t="str">
        <f>Q115&amp;"-"&amp;R115</f>
        <v>811-818</v>
      </c>
      <c r="R116" s="142"/>
      <c r="S116" s="143" t="str">
        <f>S115&amp;"-"&amp;T115</f>
        <v>811-817</v>
      </c>
      <c r="T116" s="142"/>
      <c r="U116" s="143" t="str">
        <f>U115&amp;"-"&amp;V115</f>
        <v>813-814</v>
      </c>
      <c r="V116" s="142"/>
    </row>
    <row r="117" spans="2:26" x14ac:dyDescent="0.25">
      <c r="B117" s="102" t="s">
        <v>114</v>
      </c>
      <c r="C117" s="99" t="s">
        <v>109</v>
      </c>
      <c r="D117" s="100" t="s">
        <v>108</v>
      </c>
      <c r="E117" s="99" t="s">
        <v>108</v>
      </c>
      <c r="F117" s="100" t="s">
        <v>109</v>
      </c>
      <c r="G117" s="99" t="s">
        <v>108</v>
      </c>
      <c r="H117" s="100" t="s">
        <v>108</v>
      </c>
      <c r="I117" s="99" t="s">
        <v>108</v>
      </c>
      <c r="J117" s="100" t="s">
        <v>109</v>
      </c>
      <c r="K117" s="99" t="s">
        <v>108</v>
      </c>
      <c r="L117" s="100" t="s">
        <v>109</v>
      </c>
      <c r="M117" s="99" t="s">
        <v>109</v>
      </c>
      <c r="N117" s="100" t="s">
        <v>109</v>
      </c>
      <c r="O117" s="99" t="s">
        <v>108</v>
      </c>
      <c r="P117" s="100" t="s">
        <v>108</v>
      </c>
      <c r="Q117" s="99" t="s">
        <v>108</v>
      </c>
      <c r="R117" s="100" t="s">
        <v>108</v>
      </c>
      <c r="S117" s="99" t="s">
        <v>109</v>
      </c>
      <c r="T117" s="100" t="s">
        <v>108</v>
      </c>
      <c r="U117" s="99" t="s">
        <v>109</v>
      </c>
      <c r="V117" s="100" t="s">
        <v>109</v>
      </c>
    </row>
    <row r="118" spans="2:26" x14ac:dyDescent="0.25">
      <c r="B118" s="103" t="s">
        <v>110</v>
      </c>
      <c r="C118" s="101">
        <f t="shared" ref="C118:V118" si="29">HLOOKUP(C115,$B$46:$AE$90,IF(C117="x",36,41),FALSE)</f>
        <v>479.38048780487804</v>
      </c>
      <c r="D118" s="85">
        <f t="shared" si="29"/>
        <v>734.75928143712576</v>
      </c>
      <c r="E118" s="101">
        <f t="shared" si="29"/>
        <v>227.0333333333333</v>
      </c>
      <c r="F118" s="85">
        <f t="shared" si="29"/>
        <v>667.99428571428564</v>
      </c>
      <c r="G118" s="101">
        <f t="shared" si="29"/>
        <v>227.0333333333333</v>
      </c>
      <c r="H118" s="85">
        <f t="shared" si="29"/>
        <v>1428.5638297872338</v>
      </c>
      <c r="I118" s="101">
        <f t="shared" si="29"/>
        <v>974.1583333333333</v>
      </c>
      <c r="J118" s="85">
        <f t="shared" si="29"/>
        <v>555.22533936651575</v>
      </c>
      <c r="K118" s="101">
        <f t="shared" si="29"/>
        <v>974.1583333333333</v>
      </c>
      <c r="L118" s="85">
        <f t="shared" si="29"/>
        <v>1323.0049261083741</v>
      </c>
      <c r="M118" s="101">
        <f t="shared" si="29"/>
        <v>1323.0049261083741</v>
      </c>
      <c r="N118" s="85">
        <f t="shared" si="29"/>
        <v>1879.8058604651167</v>
      </c>
      <c r="O118" s="101">
        <f t="shared" si="29"/>
        <v>1428.5638297872338</v>
      </c>
      <c r="P118" s="85">
        <f t="shared" si="29"/>
        <v>276.07350000000002</v>
      </c>
      <c r="Q118" s="101">
        <f t="shared" si="29"/>
        <v>2172.8938709677423</v>
      </c>
      <c r="R118" s="85">
        <f t="shared" si="29"/>
        <v>276.07350000000002</v>
      </c>
      <c r="S118" s="101">
        <f t="shared" si="29"/>
        <v>1879.8058604651167</v>
      </c>
      <c r="T118" s="85">
        <f t="shared" si="29"/>
        <v>166.29600000000002</v>
      </c>
      <c r="U118" s="101">
        <f t="shared" si="29"/>
        <v>249.29093333333336</v>
      </c>
      <c r="V118" s="85">
        <f t="shared" si="29"/>
        <v>249.29093333333336</v>
      </c>
    </row>
    <row r="119" spans="2:26" x14ac:dyDescent="0.25">
      <c r="B119" s="103" t="s">
        <v>111</v>
      </c>
      <c r="C119" s="283">
        <f>(MAX(C118:D118)-MIN(C118:D118))/(MAX(C118:D118))</f>
        <v>0.34756797237422959</v>
      </c>
      <c r="D119" s="284"/>
      <c r="E119" s="283">
        <f>(MAX(E118:F118)-MIN(E118:F118))/(MAX(E118:F118))</f>
        <v>0.66012683313515652</v>
      </c>
      <c r="F119" s="284"/>
      <c r="G119" s="283">
        <f>(MAX(G118:H118)-MIN(G118:H118))/(MAX(G118:H118))</f>
        <v>0.84107582132529068</v>
      </c>
      <c r="H119" s="284"/>
      <c r="I119" s="283">
        <f>(MAX(I118:J118)-MIN(I118:J118))/(MAX(I118:J118))</f>
        <v>0.43004610198562954</v>
      </c>
      <c r="J119" s="284"/>
      <c r="K119" s="283">
        <f>(MAX(K118:L118)-MIN(K118:L118))/(MAX(K118:L118))</f>
        <v>0.26367747080214954</v>
      </c>
      <c r="L119" s="284"/>
      <c r="M119" s="283">
        <f>(MAX(M118:N118)-MIN(M118:N118))/(MAX(M118:N118))</f>
        <v>0.29620129720149635</v>
      </c>
      <c r="N119" s="284"/>
      <c r="O119" s="283">
        <f>(MAX(O118:P118)-MIN(O118:P118))/(MAX(O118:P118))</f>
        <v>0.80674752206128753</v>
      </c>
      <c r="P119" s="284"/>
      <c r="Q119" s="283">
        <f>(MAX(Q118:R118)-MIN(Q118:R118))/(MAX(Q118:R118))</f>
        <v>0.87294662491866437</v>
      </c>
      <c r="R119" s="284"/>
      <c r="S119" s="283">
        <f>(MAX(S118:T118)-MIN(S118:T118))/(MAX(S118:T118))</f>
        <v>0.91153554550635685</v>
      </c>
      <c r="T119" s="284"/>
      <c r="U119" s="283">
        <f>(MAX(U118:V118)-MIN(U118:V118))/(MAX(U118:V118))</f>
        <v>0</v>
      </c>
      <c r="V119" s="284"/>
    </row>
    <row r="120" spans="2:26" x14ac:dyDescent="0.25">
      <c r="B120" s="103" t="s">
        <v>112</v>
      </c>
      <c r="C120" s="285">
        <f>IF(C119&lt;25%,(C118*0.5+D118*0.5)*0.9,IF(C119&lt;50%,(MAX(C118:D118)*0.6+MIN(C118:D118)*0.4)*0.9,IF(C119&lt;70%,(MAX(C118:D118)*0.65+MIN(C118:D118)*0.35)*0.9,IF(C119&lt;100%,(MAX(C118:D118)*0.7+MIN(C118:D118)*0.3)*0.9,0.7*MAX(C118:D118)))))</f>
        <v>569.34698758580407</v>
      </c>
      <c r="D120" s="286"/>
      <c r="E120" s="285">
        <f>IF(E119&lt;25%,(E118*0.5+F118*0.5)*0.9,IF(E119&lt;50%,(MAX(E118:F118)*0.6+MIN(E118:F118)*0.4)*0.9,IF(E119&lt;70%,(MAX(E118:F118)*0.65+MIN(E118:F118)*0.35)*0.9,IF(E119&lt;100%,(MAX(E118:F118)*0.7+MIN(E118:F118)*0.3)*0.9,0.7*MAX(E118:F118)))))</f>
        <v>462.29215714285709</v>
      </c>
      <c r="F120" s="286"/>
      <c r="G120" s="285">
        <f>IF(G119&lt;25%,(G118*0.5+H118*0.5)*0.9,IF(G119&lt;50%,(MAX(G118:H118)*0.6+MIN(G118:H118)*0.4)*0.9,IF(G119&lt;70%,(MAX(G118:H118)*0.65+MIN(G118:H118)*0.35)*0.9,IF(G119&lt;100%,(MAX(G118:H118)*0.7+MIN(G118:H118)*0.3)*0.9,0.7*MAX(G118:H118)))))</f>
        <v>961.29421276595713</v>
      </c>
      <c r="H120" s="286"/>
      <c r="I120" s="285">
        <f>IF(I119&lt;25%,(I118*0.5+J118*0.5)*0.9,IF(I119&lt;50%,(MAX(I118:J118)*0.6+MIN(I118:J118)*0.4)*0.9,IF(I119&lt;70%,(MAX(I118:J118)*0.65+MIN(I118:J118)*0.35)*0.9,IF(I119&lt;100%,(MAX(I118:J118)*0.7+MIN(I118:J118)*0.3)*0.9,0.7*MAX(I118:J118)))))</f>
        <v>725.92662217194572</v>
      </c>
      <c r="J120" s="286"/>
      <c r="K120" s="285">
        <f>IF(K119&lt;25%,(K118*0.5+L118*0.5)*0.9,IF(K119&lt;50%,(MAX(K118:L118)*0.6+MIN(K118:L118)*0.4)*0.9,IF(K119&lt;70%,(MAX(K118:L118)*0.65+MIN(K118:L118)*0.35)*0.9,IF(K119&lt;100%,(MAX(K118:L118)*0.7+MIN(K118:L118)*0.3)*0.9,0.7*MAX(K118:L118)))))</f>
        <v>1065.1196600985222</v>
      </c>
      <c r="L120" s="286"/>
      <c r="M120" s="285">
        <f>IF(M119&lt;25%,(M118*0.5+N118*0.5)*0.9,IF(M119&lt;50%,(MAX(M118:N118)*0.6+MIN(M118:N118)*0.4)*0.9,IF(M119&lt;70%,(MAX(M118:N118)*0.65+MIN(M118:N118)*0.35)*0.9,IF(M119&lt;100%,(MAX(M118:N118)*0.7+MIN(M118:N118)*0.3)*0.9,0.7*MAX(M118:N118)))))</f>
        <v>1491.3769380501776</v>
      </c>
      <c r="N120" s="286"/>
      <c r="O120" s="285">
        <f>IF(O119&lt;25%,(O118*0.5+P118*0.5)*0.9,IF(O119&lt;50%,(MAX(O118:P118)*0.6+MIN(O118:P118)*0.4)*0.9,IF(O119&lt;70%,(MAX(O118:P118)*0.65+MIN(O118:P118)*0.35)*0.9,IF(O119&lt;100%,(MAX(O118:P118)*0.7+MIN(O118:P118)*0.3)*0.9,0.7*MAX(O118:P118)))))</f>
        <v>974.53505776595716</v>
      </c>
      <c r="P120" s="286"/>
      <c r="Q120" s="285">
        <f>IF(Q119&lt;25%,(Q118*0.5+R118*0.5)*0.9,IF(Q119&lt;50%,(MAX(Q118:R118)*0.6+MIN(Q118:R118)*0.4)*0.9,IF(Q119&lt;70%,(MAX(Q118:R118)*0.65+MIN(Q118:R118)*0.35)*0.9,IF(Q119&lt;100%,(MAX(Q118:R118)*0.7+MIN(Q118:R118)*0.3)*0.9,0.7*MAX(Q118:R118)))))</f>
        <v>1443.4629837096775</v>
      </c>
      <c r="R120" s="286"/>
      <c r="S120" s="285">
        <f>IF(S119&lt;25%,(S118*0.5+T118*0.5)*0.9,IF(S119&lt;50%,(MAX(S118:T118)*0.6+MIN(S118:T118)*0.4)*0.9,IF(S119&lt;70%,(MAX(S118:T118)*0.65+MIN(S118:T118)*0.35)*0.9,IF(S119&lt;100%,(MAX(S118:T118)*0.7+MIN(S118:T118)*0.3)*0.9,0.7*MAX(S118:T118)))))</f>
        <v>1229.1776120930235</v>
      </c>
      <c r="T120" s="286"/>
      <c r="U120" s="285">
        <f>IF(U119&lt;25%,(U118*0.5+V118*0.5)*0.9,IF(U119&lt;50%,(MAX(U118:V118)*0.6+MIN(U118:V118)*0.4)*0.9,IF(U119&lt;70%,(MAX(U118:V118)*0.65+MIN(U118:V118)*0.35)*0.9,IF(U119&lt;100%,(MAX(U118:V118)*0.7+MIN(U118:V118)*0.3)*0.9,0.7*MAX(U118:V118)))))</f>
        <v>224.36184000000003</v>
      </c>
      <c r="V120" s="286"/>
    </row>
    <row r="121" spans="2:26" x14ac:dyDescent="0.25">
      <c r="B121" s="104" t="s">
        <v>15</v>
      </c>
      <c r="C121" s="287">
        <f>C120/(0.9*(0.9*($C$7/100))*($L$9*1000))</f>
        <v>1.1730599391489145</v>
      </c>
      <c r="D121" s="288"/>
      <c r="E121" s="287">
        <f>E120/(0.9*(0.9*($C$7/100))*($L$9*1000))</f>
        <v>0.95248841488828095</v>
      </c>
      <c r="F121" s="288"/>
      <c r="G121" s="287">
        <f>G120/(0.9*(0.9*($C$7/100))*($L$9*1000))</f>
        <v>1.9806124478027429</v>
      </c>
      <c r="H121" s="288"/>
      <c r="I121" s="287">
        <f>I120/(0.9*(0.9*($C$7/100))*($L$9*1000))</f>
        <v>1.4956704045145492</v>
      </c>
      <c r="J121" s="288"/>
      <c r="K121" s="287">
        <f>K120/(0.9*(0.9*($C$7/100))*($L$9*1000))</f>
        <v>2.194530279258192</v>
      </c>
      <c r="L121" s="288"/>
      <c r="M121" s="287">
        <f>M120/(0.9*(0.9*($C$7/100))*($L$9*1000))</f>
        <v>3.07277385907584</v>
      </c>
      <c r="N121" s="288"/>
      <c r="O121" s="287">
        <f>O120/(0.9*(0.9*($C$7/100))*($L$9*1000))</f>
        <v>2.0078933593885608</v>
      </c>
      <c r="P121" s="288"/>
      <c r="Q121" s="287">
        <f>Q120/(0.9*(0.9*($C$7/100))*($L$9*1000))</f>
        <v>2.974053848979044</v>
      </c>
      <c r="R121" s="288"/>
      <c r="S121" s="287">
        <f>S120/(0.9*(0.9*($C$7/100))*($L$9*1000))</f>
        <v>2.5325487730410572</v>
      </c>
      <c r="T121" s="288"/>
      <c r="U121" s="287">
        <f>U120/(0.9*(0.9*($C$7/100))*($L$9*1000))</f>
        <v>0.46226623151856788</v>
      </c>
      <c r="V121" s="288"/>
    </row>
    <row r="122" spans="2:26" x14ac:dyDescent="0.25">
      <c r="B122" s="104" t="s">
        <v>98</v>
      </c>
      <c r="C122" s="281">
        <f>(C121*($L$9))/(0.85*$L$6*100)</f>
        <v>1.930294709556845E-2</v>
      </c>
      <c r="D122" s="282"/>
      <c r="E122" s="281">
        <f>(E121*($L$9))/(0.85*$L$6*100)</f>
        <v>1.5673396446450757E-2</v>
      </c>
      <c r="F122" s="282"/>
      <c r="G122" s="281">
        <f>(G121*($L$9))/(0.85*$L$6*100)</f>
        <v>3.2591392835815997E-2</v>
      </c>
      <c r="H122" s="282"/>
      <c r="I122" s="281">
        <f>(I121*($L$9))/(0.85*$L$6*100)</f>
        <v>2.4611569901277473E-2</v>
      </c>
      <c r="J122" s="282"/>
      <c r="K122" s="281">
        <f>(K121*($L$9))/(0.85*$L$6*100)</f>
        <v>3.611145557564422E-2</v>
      </c>
      <c r="L122" s="282"/>
      <c r="M122" s="281">
        <f>(M121*($L$9))/(0.85*$L$6*100)</f>
        <v>5.0563137704131469E-2</v>
      </c>
      <c r="N122" s="282"/>
      <c r="O122" s="281">
        <f>(O121*($L$9))/(0.85*$L$6*100)</f>
        <v>3.3040305952260825E-2</v>
      </c>
      <c r="P122" s="282"/>
      <c r="Q122" s="281">
        <f>(Q121*($L$9))/(0.85*$L$6*100)</f>
        <v>4.8938679252711684E-2</v>
      </c>
      <c r="R122" s="282"/>
      <c r="S122" s="281">
        <f>(S121*($L$9))/(0.85*$L$6*100)</f>
        <v>4.1673620717476829E-2</v>
      </c>
      <c r="T122" s="282"/>
      <c r="U122" s="281">
        <f>(U121*($L$9))/(0.85*$L$6*100)</f>
        <v>7.6066877004977726E-3</v>
      </c>
      <c r="V122" s="282"/>
    </row>
    <row r="123" spans="2:26" ht="15.75" thickBot="1" x14ac:dyDescent="0.3">
      <c r="B123" s="105" t="s">
        <v>15</v>
      </c>
      <c r="C123" s="289">
        <f>ROUNDUP(C120/(0.9*(($C$7-C122/2)/100)*($L$9*1000)),2)</f>
        <v>1.06</v>
      </c>
      <c r="D123" s="290"/>
      <c r="E123" s="289">
        <f>ROUNDUP(E120/(0.9*(($C$7-E122/2)/100)*($L$9*1000)),2)</f>
        <v>0.86</v>
      </c>
      <c r="F123" s="290"/>
      <c r="G123" s="289">
        <f>ROUNDUP(G120/(0.9*(($C$7-G122/2)/100)*($L$9*1000)),2)</f>
        <v>1.79</v>
      </c>
      <c r="H123" s="290"/>
      <c r="I123" s="289">
        <f>ROUNDUP(I120/(0.9*(($C$7-I122/2)/100)*($L$9*1000)),2)</f>
        <v>1.35</v>
      </c>
      <c r="J123" s="290"/>
      <c r="K123" s="289">
        <f>ROUNDUP(K120/(0.9*(($C$7-K122/2)/100)*($L$9*1000)),2)</f>
        <v>1.98</v>
      </c>
      <c r="L123" s="290"/>
      <c r="M123" s="289">
        <f>ROUNDUP(M120/(0.9*(($C$7-M122/2)/100)*($L$9*1000)),2)</f>
        <v>2.78</v>
      </c>
      <c r="N123" s="290"/>
      <c r="O123" s="289">
        <f>ROUNDUP(O120/(0.9*(($C$7-O122/2)/100)*($L$9*1000)),2)</f>
        <v>1.81</v>
      </c>
      <c r="P123" s="290"/>
      <c r="Q123" s="289">
        <f>ROUNDUP(Q120/(0.9*(($C$7-Q122/2)/100)*($L$9*1000)),2)</f>
        <v>2.69</v>
      </c>
      <c r="R123" s="290"/>
      <c r="S123" s="289">
        <f>ROUNDUP(S120/(0.9*(($C$7-S122/2)/100)*($L$9*1000)),2)</f>
        <v>2.2899999999999996</v>
      </c>
      <c r="T123" s="290"/>
      <c r="U123" s="289">
        <f>ROUNDUP(U120/(0.9*(($C$7-U122/2)/100)*($L$9*1000)),2)</f>
        <v>0.42</v>
      </c>
      <c r="V123" s="290"/>
    </row>
    <row r="124" spans="2:26" ht="16.5" thickBot="1" x14ac:dyDescent="0.3">
      <c r="B124" s="61" t="s">
        <v>113</v>
      </c>
      <c r="C124" s="279" t="str">
        <f>IF(C123&gt;$C$12,"$\phi"&amp;IF(VLOOKUP(VLOOKUP(C123,tablas!$S$3:$U$66,2,TRUE)&amp;VLOOKUP(C123,tablas!$S$3:$U$66,3,TRUE),tablas!$R$3:$S$66,2,FALSE)&lt;C123,VLOOKUP(C123+0.1,tablas!$S$3:$U$66,2,TRUE),VLOOKUP(C123,tablas!$S$3:$U$66,2,TRUE))&amp;"@"&amp;IF(VLOOKUP(VLOOKUP(C123,tablas!$S$3:$U$66,2,TRUE)&amp;VLOOKUP(C123,tablas!$S$3:$U$66,3,TRUE),tablas!$R$3:$S$66,2,FALSE)&lt;C123,VLOOKUP(C123+0.1,tablas!$S$3:$U$66,3,TRUE)&amp;"$",VLOOKUP(C123,tablas!$S$3:$U$66,3,TRUE)&amp;"$"),$C$13)</f>
        <v>$\phi8@17$</v>
      </c>
      <c r="D124" s="280"/>
      <c r="E124" s="279" t="str">
        <f>IF(E123&gt;$C$12,"$\phi"&amp;IF(VLOOKUP(VLOOKUP(E123,tablas!$S$3:$U$66,2,TRUE)&amp;VLOOKUP(E123,tablas!$S$3:$U$66,3,TRUE),tablas!$R$3:$S$66,2,FALSE)&lt;E123,VLOOKUP(E123+0.1,tablas!$S$3:$U$66,2,TRUE),VLOOKUP(E123,tablas!$S$3:$U$66,2,TRUE))&amp;"@"&amp;IF(VLOOKUP(VLOOKUP(E123,tablas!$S$3:$U$66,2,TRUE)&amp;VLOOKUP(E123,tablas!$S$3:$U$66,3,TRUE),tablas!$R$3:$S$66,2,FALSE)&lt;E123,VLOOKUP(E123+0.1,tablas!$S$3:$U$66,3,TRUE)&amp;"$",VLOOKUP(E123,tablas!$S$3:$U$66,3,TRUE)&amp;"$"),$C$13)</f>
        <v>$\phi8@17$</v>
      </c>
      <c r="F124" s="280"/>
      <c r="G124" s="279" t="str">
        <f>IF(G123&gt;$C$12,"$\phi"&amp;IF(VLOOKUP(VLOOKUP(G123,tablas!$S$3:$U$66,2,TRUE)&amp;VLOOKUP(G123,tablas!$S$3:$U$66,3,TRUE),tablas!$R$3:$S$66,2,FALSE)&lt;G123,VLOOKUP(G123+0.1,tablas!$S$3:$U$66,2,TRUE),VLOOKUP(G123,tablas!$S$3:$U$66,2,TRUE))&amp;"@"&amp;IF(VLOOKUP(VLOOKUP(G123,tablas!$S$3:$U$66,2,TRUE)&amp;VLOOKUP(G123,tablas!$S$3:$U$66,3,TRUE),tablas!$R$3:$S$66,2,FALSE)&lt;G123,VLOOKUP(G123+0.1,tablas!$S$3:$U$66,3,TRUE)&amp;"$",VLOOKUP(G123,tablas!$S$3:$U$66,3,TRUE)&amp;"$"),$C$13)</f>
        <v>$\phi8@17$</v>
      </c>
      <c r="H124" s="280"/>
      <c r="I124" s="279" t="str">
        <f>IF(I123&gt;$C$12,"$\phi"&amp;IF(VLOOKUP(VLOOKUP(I123,tablas!$S$3:$U$66,2,TRUE)&amp;VLOOKUP(I123,tablas!$S$3:$U$66,3,TRUE),tablas!$R$3:$S$66,2,FALSE)&lt;I123,VLOOKUP(I123+0.1,tablas!$S$3:$U$66,2,TRUE),VLOOKUP(I123,tablas!$S$3:$U$66,2,TRUE))&amp;"@"&amp;IF(VLOOKUP(VLOOKUP(I123,tablas!$S$3:$U$66,2,TRUE)&amp;VLOOKUP(I123,tablas!$S$3:$U$66,3,TRUE),tablas!$R$3:$S$66,2,FALSE)&lt;I123,VLOOKUP(I123+0.1,tablas!$S$3:$U$66,3,TRUE)&amp;"$",VLOOKUP(I123,tablas!$S$3:$U$66,3,TRUE)&amp;"$"),$C$13)</f>
        <v>$\phi8@17$</v>
      </c>
      <c r="J124" s="280"/>
      <c r="K124" s="279" t="str">
        <f>IF(K123&gt;$C$12,"$\phi"&amp;IF(VLOOKUP(VLOOKUP(K123,tablas!$S$3:$U$66,2,TRUE)&amp;VLOOKUP(K123,tablas!$S$3:$U$66,3,TRUE),tablas!$R$3:$S$66,2,FALSE)&lt;K123,VLOOKUP(K123+0.1,tablas!$S$3:$U$66,2,TRUE),VLOOKUP(K123,tablas!$S$3:$U$66,2,TRUE))&amp;"@"&amp;IF(VLOOKUP(VLOOKUP(K123,tablas!$S$3:$U$66,2,TRUE)&amp;VLOOKUP(K123,tablas!$S$3:$U$66,3,TRUE),tablas!$R$3:$S$66,2,FALSE)&lt;K123,VLOOKUP(K123+0.1,tablas!$S$3:$U$66,3,TRUE)&amp;"$",VLOOKUP(K123,tablas!$S$3:$U$66,3,TRUE)&amp;"$"),$C$13)</f>
        <v>$\phi8@17$</v>
      </c>
      <c r="L124" s="280"/>
      <c r="M124" s="279" t="str">
        <f>IF(M123&gt;$C$12,"$\phi"&amp;IF(VLOOKUP(VLOOKUP(M123,tablas!$S$3:$U$66,2,TRUE)&amp;VLOOKUP(M123,tablas!$S$3:$U$66,3,TRUE),tablas!$R$3:$S$66,2,FALSE)&lt;M123,VLOOKUP(M123+0.1,tablas!$S$3:$U$66,2,TRUE),VLOOKUP(M123,tablas!$S$3:$U$66,2,TRUE))&amp;"@"&amp;IF(VLOOKUP(VLOOKUP(M123,tablas!$S$3:$U$66,2,TRUE)&amp;VLOOKUP(M123,tablas!$S$3:$U$66,3,TRUE),tablas!$R$3:$S$66,2,FALSE)&lt;M123,VLOOKUP(M123+0.1,tablas!$S$3:$U$66,3,TRUE)&amp;"$",VLOOKUP(M123,tablas!$S$3:$U$66,3,TRUE)&amp;"$"),$C$13)</f>
        <v>$\phi8@17$</v>
      </c>
      <c r="N124" s="280"/>
      <c r="O124" s="279" t="str">
        <f>IF(O123&gt;$C$12,"$\phi"&amp;IF(VLOOKUP(VLOOKUP(O123,tablas!$S$3:$U$66,2,TRUE)&amp;VLOOKUP(O123,tablas!$S$3:$U$66,3,TRUE),tablas!$R$3:$S$66,2,FALSE)&lt;O123,VLOOKUP(O123+0.1,tablas!$S$3:$U$66,2,TRUE),VLOOKUP(O123,tablas!$S$3:$U$66,2,TRUE))&amp;"@"&amp;IF(VLOOKUP(VLOOKUP(O123,tablas!$S$3:$U$66,2,TRUE)&amp;VLOOKUP(O123,tablas!$S$3:$U$66,3,TRUE),tablas!$R$3:$S$66,2,FALSE)&lt;O123,VLOOKUP(O123+0.1,tablas!$S$3:$U$66,3,TRUE)&amp;"$",VLOOKUP(O123,tablas!$S$3:$U$66,3,TRUE)&amp;"$"),$C$13)</f>
        <v>$\phi8@17$</v>
      </c>
      <c r="P124" s="280"/>
      <c r="Q124" s="279" t="str">
        <f>IF(Q123&gt;$C$12,"$\phi"&amp;IF(VLOOKUP(VLOOKUP(Q123,tablas!$S$3:$U$66,2,TRUE)&amp;VLOOKUP(Q123,tablas!$S$3:$U$66,3,TRUE),tablas!$R$3:$S$66,2,FALSE)&lt;Q123,VLOOKUP(Q123+0.1,tablas!$S$3:$U$66,2,TRUE),VLOOKUP(Q123,tablas!$S$3:$U$66,2,TRUE))&amp;"@"&amp;IF(VLOOKUP(VLOOKUP(Q123,tablas!$S$3:$U$66,2,TRUE)&amp;VLOOKUP(Q123,tablas!$S$3:$U$66,3,TRUE),tablas!$R$3:$S$66,2,FALSE)&lt;Q123,VLOOKUP(Q123+0.1,tablas!$S$3:$U$66,3,TRUE)&amp;"$",VLOOKUP(Q123,tablas!$S$3:$U$66,3,TRUE)&amp;"$"),$C$13)</f>
        <v>$\phi8@17$</v>
      </c>
      <c r="R124" s="280"/>
      <c r="S124" s="279" t="str">
        <f>IF(S123&gt;$C$12,"$\phi"&amp;IF(VLOOKUP(VLOOKUP(S123,tablas!$S$3:$U$66,2,TRUE)&amp;VLOOKUP(S123,tablas!$S$3:$U$66,3,TRUE),tablas!$R$3:$S$66,2,FALSE)&lt;S123,VLOOKUP(S123+0.1,tablas!$S$3:$U$66,2,TRUE),VLOOKUP(S123,tablas!$S$3:$U$66,2,TRUE))&amp;"@"&amp;IF(VLOOKUP(VLOOKUP(S123,tablas!$S$3:$U$66,2,TRUE)&amp;VLOOKUP(S123,tablas!$S$3:$U$66,3,TRUE),tablas!$R$3:$S$66,2,FALSE)&lt;S123,VLOOKUP(S123+0.1,tablas!$S$3:$U$66,3,TRUE)&amp;"$",VLOOKUP(S123,tablas!$S$3:$U$66,3,TRUE)&amp;"$"),$C$13)</f>
        <v>$\phi8@17$</v>
      </c>
      <c r="T124" s="280"/>
      <c r="U124" s="279" t="str">
        <f>IF(U123&gt;$C$12,"$\phi"&amp;IF(VLOOKUP(VLOOKUP(U123,tablas!$S$3:$U$66,2,TRUE)&amp;VLOOKUP(U123,tablas!$S$3:$U$66,3,TRUE),tablas!$R$3:$S$66,2,FALSE)&lt;U123,VLOOKUP(U123+0.1,tablas!$S$3:$U$66,2,TRUE),VLOOKUP(U123,tablas!$S$3:$U$66,2,TRUE))&amp;"@"&amp;IF(VLOOKUP(VLOOKUP(U123,tablas!$S$3:$U$66,2,TRUE)&amp;VLOOKUP(U123,tablas!$S$3:$U$66,3,TRUE),tablas!$R$3:$S$66,2,FALSE)&lt;U123,VLOOKUP(U123+0.1,tablas!$S$3:$U$66,3,TRUE)&amp;"$",VLOOKUP(U123,tablas!$S$3:$U$66,3,TRUE)&amp;"$"),$C$13)</f>
        <v>$\phi8@17$</v>
      </c>
      <c r="V124" s="280"/>
    </row>
  </sheetData>
  <mergeCells count="208">
    <mergeCell ref="E4:F4"/>
    <mergeCell ref="H4:I4"/>
    <mergeCell ref="K4:L4"/>
    <mergeCell ref="B92:C92"/>
    <mergeCell ref="C97:D97"/>
    <mergeCell ref="E97:F97"/>
    <mergeCell ref="G97:H97"/>
    <mergeCell ref="I97:J97"/>
    <mergeCell ref="K97:L97"/>
    <mergeCell ref="S99:T99"/>
    <mergeCell ref="Y97:Z97"/>
    <mergeCell ref="C98:D98"/>
    <mergeCell ref="E98:F98"/>
    <mergeCell ref="G98:H98"/>
    <mergeCell ref="I98:J98"/>
    <mergeCell ref="K98:L98"/>
    <mergeCell ref="M98:N98"/>
    <mergeCell ref="O98:P98"/>
    <mergeCell ref="Q98:R98"/>
    <mergeCell ref="S98:T98"/>
    <mergeCell ref="M97:N97"/>
    <mergeCell ref="O97:P97"/>
    <mergeCell ref="Q97:R97"/>
    <mergeCell ref="S97:T97"/>
    <mergeCell ref="U97:V97"/>
    <mergeCell ref="W97:X97"/>
    <mergeCell ref="U98:V98"/>
    <mergeCell ref="W98:X98"/>
    <mergeCell ref="Y98:Z98"/>
    <mergeCell ref="S101:T101"/>
    <mergeCell ref="U99:V99"/>
    <mergeCell ref="W99:X99"/>
    <mergeCell ref="Y99:Z99"/>
    <mergeCell ref="C100:D100"/>
    <mergeCell ref="E100:F100"/>
    <mergeCell ref="G100:H100"/>
    <mergeCell ref="I100:J100"/>
    <mergeCell ref="K100:L100"/>
    <mergeCell ref="Y100:Z100"/>
    <mergeCell ref="M100:N100"/>
    <mergeCell ref="O100:P100"/>
    <mergeCell ref="Q100:R100"/>
    <mergeCell ref="S100:T100"/>
    <mergeCell ref="U100:V100"/>
    <mergeCell ref="W100:X100"/>
    <mergeCell ref="C99:D99"/>
    <mergeCell ref="E99:F99"/>
    <mergeCell ref="G99:H99"/>
    <mergeCell ref="I99:J99"/>
    <mergeCell ref="K99:L99"/>
    <mergeCell ref="M99:N99"/>
    <mergeCell ref="O99:P99"/>
    <mergeCell ref="Q99:R99"/>
    <mergeCell ref="Y109:Z109"/>
    <mergeCell ref="U101:V101"/>
    <mergeCell ref="W101:X101"/>
    <mergeCell ref="Y101:Z101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S110:T110"/>
    <mergeCell ref="C108:D108"/>
    <mergeCell ref="E108:F108"/>
    <mergeCell ref="G108:H108"/>
    <mergeCell ref="I108:J108"/>
    <mergeCell ref="K108:L108"/>
    <mergeCell ref="Y108:Z108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M108:N108"/>
    <mergeCell ref="O108:P108"/>
    <mergeCell ref="Q108:R108"/>
    <mergeCell ref="S108:T108"/>
    <mergeCell ref="U108:V108"/>
    <mergeCell ref="W108:X108"/>
    <mergeCell ref="U109:V109"/>
    <mergeCell ref="W109:X109"/>
    <mergeCell ref="S112:T112"/>
    <mergeCell ref="U110:V110"/>
    <mergeCell ref="W110:X110"/>
    <mergeCell ref="Y110:Z110"/>
    <mergeCell ref="C111:D111"/>
    <mergeCell ref="E111:F111"/>
    <mergeCell ref="G111:H111"/>
    <mergeCell ref="I111:J111"/>
    <mergeCell ref="K111:L111"/>
    <mergeCell ref="Y111:Z111"/>
    <mergeCell ref="M111:N111"/>
    <mergeCell ref="O111:P111"/>
    <mergeCell ref="Q111:R111"/>
    <mergeCell ref="S111:T111"/>
    <mergeCell ref="U111:V111"/>
    <mergeCell ref="W111:X111"/>
    <mergeCell ref="C110:D110"/>
    <mergeCell ref="E110:F110"/>
    <mergeCell ref="G110:H110"/>
    <mergeCell ref="I110:J110"/>
    <mergeCell ref="K110:L110"/>
    <mergeCell ref="M110:N110"/>
    <mergeCell ref="O110:P110"/>
    <mergeCell ref="Q110:R110"/>
    <mergeCell ref="G121:H121"/>
    <mergeCell ref="U112:V112"/>
    <mergeCell ref="W112:X112"/>
    <mergeCell ref="Y112:Z112"/>
    <mergeCell ref="C113:D113"/>
    <mergeCell ref="E113:F113"/>
    <mergeCell ref="G113:H113"/>
    <mergeCell ref="I113:J113"/>
    <mergeCell ref="K113:L113"/>
    <mergeCell ref="M113:N113"/>
    <mergeCell ref="O113:P113"/>
    <mergeCell ref="Q113:R113"/>
    <mergeCell ref="S113:T113"/>
    <mergeCell ref="U113:V113"/>
    <mergeCell ref="W113:X113"/>
    <mergeCell ref="Y113:Z113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U119:V119"/>
    <mergeCell ref="C120:D120"/>
    <mergeCell ref="E120:F120"/>
    <mergeCell ref="G120:H120"/>
    <mergeCell ref="I120:J120"/>
    <mergeCell ref="K120:L120"/>
    <mergeCell ref="M120:N120"/>
    <mergeCell ref="O120:P120"/>
    <mergeCell ref="Q120:R120"/>
    <mergeCell ref="S120:T120"/>
    <mergeCell ref="U120:V120"/>
    <mergeCell ref="C119:D119"/>
    <mergeCell ref="E119:F119"/>
    <mergeCell ref="G119:H119"/>
    <mergeCell ref="I119:J119"/>
    <mergeCell ref="K119:L119"/>
    <mergeCell ref="M119:N119"/>
    <mergeCell ref="O119:P119"/>
    <mergeCell ref="Q119:R119"/>
    <mergeCell ref="S119:T119"/>
    <mergeCell ref="I121:J121"/>
    <mergeCell ref="K121:L121"/>
    <mergeCell ref="U122:V122"/>
    <mergeCell ref="C123:D123"/>
    <mergeCell ref="E123:F123"/>
    <mergeCell ref="G123:H123"/>
    <mergeCell ref="I123:J123"/>
    <mergeCell ref="K123:L123"/>
    <mergeCell ref="M121:N121"/>
    <mergeCell ref="O121:P121"/>
    <mergeCell ref="Q121:R121"/>
    <mergeCell ref="S121:T121"/>
    <mergeCell ref="U121:V121"/>
    <mergeCell ref="C122:D122"/>
    <mergeCell ref="E122:F122"/>
    <mergeCell ref="G122:H122"/>
    <mergeCell ref="I122:J122"/>
    <mergeCell ref="K122:L122"/>
    <mergeCell ref="M122:N122"/>
    <mergeCell ref="O122:P122"/>
    <mergeCell ref="Q122:R122"/>
    <mergeCell ref="S122:T122"/>
    <mergeCell ref="C121:D121"/>
    <mergeCell ref="E121:F121"/>
    <mergeCell ref="U124:V124"/>
    <mergeCell ref="M123:N123"/>
    <mergeCell ref="O123:P123"/>
    <mergeCell ref="Q123:R123"/>
    <mergeCell ref="S123:T123"/>
    <mergeCell ref="U123:V123"/>
    <mergeCell ref="C124:D124"/>
    <mergeCell ref="E124:F124"/>
    <mergeCell ref="G124:H124"/>
    <mergeCell ref="I124:J124"/>
    <mergeCell ref="K124:L124"/>
    <mergeCell ref="M124:N124"/>
    <mergeCell ref="O124:P124"/>
    <mergeCell ref="Q124:R124"/>
    <mergeCell ref="S124:T124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6C3EF-FB81-4A2E-9ECB-3E291B7925E4}">
  <dimension ref="B2:AG124"/>
  <sheetViews>
    <sheetView showGridLines="0" topLeftCell="I10" zoomScale="55" zoomScaleNormal="55" workbookViewId="0">
      <selection activeCell="C96" sqref="C96:Z96"/>
    </sheetView>
  </sheetViews>
  <sheetFormatPr defaultColWidth="11.42578125" defaultRowHeight="15" x14ac:dyDescent="0.25"/>
  <cols>
    <col min="1" max="1" width="2.85546875" customWidth="1"/>
    <col min="2" max="2" width="23.5703125" bestFit="1" customWidth="1"/>
    <col min="3" max="3" width="17.28515625" customWidth="1"/>
    <col min="4" max="24" width="17" customWidth="1"/>
  </cols>
  <sheetData>
    <row r="2" spans="2:21" ht="18.75" x14ac:dyDescent="0.3">
      <c r="B2" s="52" t="s">
        <v>210</v>
      </c>
      <c r="P2" s="40"/>
      <c r="T2" s="40"/>
      <c r="U2" s="41"/>
    </row>
    <row r="3" spans="2:21" ht="15.75" thickBot="1" x14ac:dyDescent="0.3">
      <c r="P3" s="40"/>
      <c r="T3" s="40"/>
      <c r="U3" s="41"/>
    </row>
    <row r="4" spans="2:21" ht="15.75" thickBot="1" x14ac:dyDescent="0.3">
      <c r="B4" s="111" t="s">
        <v>19</v>
      </c>
      <c r="C4" s="110">
        <v>16</v>
      </c>
      <c r="E4" s="297" t="s">
        <v>29</v>
      </c>
      <c r="F4" s="298"/>
      <c r="H4" s="297" t="s">
        <v>30</v>
      </c>
      <c r="I4" s="298"/>
      <c r="K4" s="297" t="s">
        <v>39</v>
      </c>
      <c r="L4" s="298"/>
      <c r="P4" s="40"/>
      <c r="T4" s="40"/>
      <c r="U4" s="41"/>
    </row>
    <row r="5" spans="2:21" x14ac:dyDescent="0.25">
      <c r="B5" s="46" t="s">
        <v>20</v>
      </c>
      <c r="C5" s="36">
        <v>2</v>
      </c>
      <c r="E5" s="44" t="s">
        <v>23</v>
      </c>
      <c r="F5" s="11">
        <v>200</v>
      </c>
      <c r="H5" s="44" t="s">
        <v>28</v>
      </c>
      <c r="I5" s="11">
        <v>100</v>
      </c>
      <c r="K5" s="116" t="s">
        <v>40</v>
      </c>
      <c r="L5" s="117" t="s">
        <v>187</v>
      </c>
      <c r="P5" s="40"/>
      <c r="T5" s="40"/>
      <c r="U5" s="41"/>
    </row>
    <row r="6" spans="2:21" x14ac:dyDescent="0.25">
      <c r="B6" s="46" t="s">
        <v>21</v>
      </c>
      <c r="C6" s="36">
        <f>1.6*$C$4</f>
        <v>25.6</v>
      </c>
      <c r="E6" s="44" t="s">
        <v>27</v>
      </c>
      <c r="F6" s="11">
        <v>400</v>
      </c>
      <c r="H6" s="44" t="s">
        <v>31</v>
      </c>
      <c r="I6" s="11">
        <f>$C$8*$C$9</f>
        <v>25</v>
      </c>
      <c r="K6" s="114" t="s">
        <v>79</v>
      </c>
      <c r="L6" s="115">
        <v>2.04</v>
      </c>
      <c r="P6" s="40"/>
      <c r="T6" s="40"/>
      <c r="U6" s="41"/>
    </row>
    <row r="7" spans="2:21" ht="15.75" thickBot="1" x14ac:dyDescent="0.3">
      <c r="B7" s="46" t="s">
        <v>22</v>
      </c>
      <c r="C7" s="36">
        <f>$C$4-$C$5</f>
        <v>14</v>
      </c>
      <c r="E7" s="44" t="s">
        <v>24</v>
      </c>
      <c r="F7" s="11">
        <v>300</v>
      </c>
      <c r="H7" s="45" t="s">
        <v>36</v>
      </c>
      <c r="I7" s="12">
        <f>C10*C11</f>
        <v>100</v>
      </c>
      <c r="K7" s="45" t="s">
        <v>38</v>
      </c>
      <c r="L7" s="12">
        <v>2500</v>
      </c>
      <c r="P7" s="40"/>
      <c r="T7" s="40"/>
      <c r="U7" s="41"/>
    </row>
    <row r="8" spans="2:21" ht="15.75" thickBot="1" x14ac:dyDescent="0.3">
      <c r="B8" s="46" t="s">
        <v>32</v>
      </c>
      <c r="C8" s="36">
        <v>2.5</v>
      </c>
      <c r="E8" s="44" t="s">
        <v>25</v>
      </c>
      <c r="F8" s="11">
        <v>500</v>
      </c>
      <c r="H8" s="50" t="s">
        <v>37</v>
      </c>
      <c r="I8" s="35">
        <f>$I$5+$I$6+$I$7</f>
        <v>225</v>
      </c>
      <c r="K8" s="44" t="s">
        <v>239</v>
      </c>
      <c r="L8" s="38" t="s">
        <v>42</v>
      </c>
      <c r="P8" s="40"/>
      <c r="T8" s="40"/>
      <c r="U8" s="41"/>
    </row>
    <row r="9" spans="2:21" ht="15.75" thickBot="1" x14ac:dyDescent="0.3">
      <c r="B9" s="47" t="s">
        <v>34</v>
      </c>
      <c r="C9" s="36">
        <v>10</v>
      </c>
      <c r="E9" s="45" t="s">
        <v>26</v>
      </c>
      <c r="F9" s="12">
        <v>100</v>
      </c>
      <c r="K9" s="45" t="s">
        <v>80</v>
      </c>
      <c r="L9" s="12">
        <v>4.28</v>
      </c>
      <c r="P9" s="40"/>
      <c r="T9" s="40"/>
      <c r="U9" s="41"/>
    </row>
    <row r="10" spans="2:21" x14ac:dyDescent="0.25">
      <c r="B10" s="46" t="s">
        <v>33</v>
      </c>
      <c r="C10" s="36">
        <v>5</v>
      </c>
      <c r="P10" s="40"/>
      <c r="T10" s="40"/>
      <c r="U10" s="41"/>
    </row>
    <row r="11" spans="2:21" ht="15.75" thickBot="1" x14ac:dyDescent="0.3">
      <c r="B11" s="48" t="s">
        <v>35</v>
      </c>
      <c r="C11" s="37">
        <v>20</v>
      </c>
      <c r="P11" s="40"/>
      <c r="T11" s="40"/>
      <c r="U11" s="41"/>
    </row>
    <row r="12" spans="2:21" ht="15.75" thickBot="1" x14ac:dyDescent="0.3">
      <c r="B12" s="49" t="s">
        <v>88</v>
      </c>
      <c r="C12" s="43">
        <f>C4*0.18</f>
        <v>2.88</v>
      </c>
      <c r="I12" s="39"/>
      <c r="J12" s="39"/>
      <c r="K12" s="39"/>
      <c r="L12" s="39"/>
      <c r="M12" s="39"/>
      <c r="N12" s="39"/>
      <c r="O12" s="39"/>
      <c r="P12" s="107"/>
      <c r="Q12" s="39"/>
      <c r="T12" s="40"/>
      <c r="U12" s="41"/>
    </row>
    <row r="13" spans="2:21" ht="15.75" thickBot="1" x14ac:dyDescent="0.3">
      <c r="B13" s="49" t="s">
        <v>99</v>
      </c>
      <c r="C13" s="59" t="str">
        <f>"$\phi"&amp;IF(VLOOKUP(VLOOKUP(C12,tablas!$S$3:$U$66,2,TRUE)&amp;VLOOKUP(C12,tablas!$S$3:$U$66,3,TRUE),tablas!$R$3:$S$66,2,FALSE)&lt;C12,VLOOKUP(C12+0.08,tablas!$S$3:$U$66,2,TRUE),VLOOKUP(C12,tablas!$S$3:$U$66,2,TRUE))&amp;"@"&amp;IF(VLOOKUP(VLOOKUP(C12,tablas!$S$3:$U$66,2,TRUE)&amp;VLOOKUP(C12,tablas!$S$3:$U$66,3,TRUE),tablas!$R$3:$S$66,2,FALSE)&lt;C12,VLOOKUP(C12+0.08,tablas!$S$3:$U$66,3,TRUE),VLOOKUP(C12,tablas!$S$3:$U$66,3,TRUE))&amp;"$"</f>
        <v>$\phi8@17$</v>
      </c>
      <c r="I13" s="39"/>
      <c r="J13" s="39"/>
      <c r="K13" s="39"/>
      <c r="L13" s="39"/>
      <c r="M13" s="39"/>
      <c r="N13" s="39"/>
      <c r="O13" s="39"/>
      <c r="P13" s="107"/>
      <c r="Q13" s="39"/>
      <c r="T13" s="40"/>
      <c r="U13" s="41"/>
    </row>
    <row r="14" spans="2:21" ht="15.75" hidden="1" thickBot="1" x14ac:dyDescent="0.3">
      <c r="B14" s="51"/>
      <c r="C14" s="62"/>
      <c r="I14" s="39"/>
      <c r="J14" s="39"/>
      <c r="K14" s="39"/>
      <c r="L14" s="39"/>
      <c r="M14" s="39"/>
      <c r="N14" s="39"/>
      <c r="O14" s="39"/>
      <c r="P14" s="107"/>
      <c r="Q14" s="39"/>
      <c r="T14" s="40"/>
      <c r="U14" s="41"/>
    </row>
    <row r="15" spans="2:21" ht="15.75" hidden="1" thickBot="1" x14ac:dyDescent="0.3">
      <c r="B15" s="29" t="s">
        <v>43</v>
      </c>
      <c r="C15" s="34" t="s">
        <v>44</v>
      </c>
      <c r="D15" s="34" t="s">
        <v>45</v>
      </c>
      <c r="E15" s="34" t="s">
        <v>46</v>
      </c>
      <c r="F15" s="34" t="s">
        <v>0</v>
      </c>
      <c r="G15" s="34" t="s">
        <v>115</v>
      </c>
      <c r="H15" s="34" t="s">
        <v>48</v>
      </c>
      <c r="I15" s="55" t="s">
        <v>116</v>
      </c>
      <c r="J15" s="108"/>
      <c r="K15" s="108"/>
      <c r="L15" s="108"/>
      <c r="M15" s="108"/>
      <c r="N15" s="108"/>
      <c r="O15" s="108"/>
      <c r="P15" s="108"/>
      <c r="Q15" s="108"/>
      <c r="T15" s="40"/>
      <c r="U15" s="41"/>
    </row>
    <row r="16" spans="2:21" hidden="1" x14ac:dyDescent="0.25">
      <c r="B16" s="63" t="s">
        <v>186</v>
      </c>
      <c r="C16" s="6">
        <v>6.05</v>
      </c>
      <c r="D16" s="6">
        <v>10</v>
      </c>
      <c r="E16" s="6">
        <v>16</v>
      </c>
      <c r="F16" s="6">
        <v>6</v>
      </c>
      <c r="G16" s="6">
        <v>200</v>
      </c>
      <c r="H16" s="6" t="s">
        <v>187</v>
      </c>
      <c r="I16" s="7">
        <v>2.04</v>
      </c>
      <c r="J16" s="64"/>
      <c r="K16" s="6"/>
      <c r="L16" s="6"/>
      <c r="M16" s="6"/>
      <c r="N16" s="6"/>
      <c r="O16" s="6"/>
      <c r="P16" s="6"/>
      <c r="Q16" s="6"/>
      <c r="T16" s="40"/>
      <c r="U16" s="41"/>
    </row>
    <row r="17" spans="2:21" hidden="1" x14ac:dyDescent="0.25">
      <c r="B17" s="63" t="s">
        <v>188</v>
      </c>
      <c r="C17" s="6">
        <v>4.6500000000000004</v>
      </c>
      <c r="D17" s="6">
        <v>5.6</v>
      </c>
      <c r="E17" s="6">
        <v>16</v>
      </c>
      <c r="F17" s="6">
        <v>6</v>
      </c>
      <c r="G17" s="6">
        <v>200</v>
      </c>
      <c r="H17" s="6" t="s">
        <v>187</v>
      </c>
      <c r="I17" s="7">
        <v>2.04</v>
      </c>
      <c r="J17" s="64"/>
      <c r="K17" s="6"/>
      <c r="L17" s="6"/>
      <c r="M17" s="6"/>
      <c r="N17" s="6"/>
      <c r="O17" s="6"/>
      <c r="P17" s="6"/>
      <c r="Q17" s="6"/>
      <c r="T17" s="40"/>
      <c r="U17" s="41"/>
    </row>
    <row r="18" spans="2:21" hidden="1" x14ac:dyDescent="0.25">
      <c r="B18" s="63" t="s">
        <v>189</v>
      </c>
      <c r="C18" s="6">
        <v>4.6500000000000004</v>
      </c>
      <c r="D18" s="6">
        <v>5.6</v>
      </c>
      <c r="E18" s="6">
        <v>16</v>
      </c>
      <c r="F18" s="6">
        <v>6</v>
      </c>
      <c r="G18" s="6">
        <v>200</v>
      </c>
      <c r="H18" s="6" t="s">
        <v>187</v>
      </c>
      <c r="I18" s="7">
        <v>2.04</v>
      </c>
      <c r="J18" s="64"/>
      <c r="K18" s="6"/>
      <c r="L18" s="6"/>
      <c r="M18" s="6"/>
      <c r="N18" s="6"/>
      <c r="O18" s="6"/>
      <c r="P18" s="6"/>
      <c r="Q18" s="6"/>
      <c r="T18" s="40"/>
      <c r="U18" s="41"/>
    </row>
    <row r="19" spans="2:21" hidden="1" x14ac:dyDescent="0.25">
      <c r="B19" s="63" t="s">
        <v>190</v>
      </c>
      <c r="C19" s="6">
        <v>6.05</v>
      </c>
      <c r="D19" s="6">
        <v>7.89</v>
      </c>
      <c r="E19" s="6">
        <v>16</v>
      </c>
      <c r="F19" s="6">
        <v>6</v>
      </c>
      <c r="G19" s="6">
        <v>200</v>
      </c>
      <c r="H19" s="6" t="s">
        <v>187</v>
      </c>
      <c r="I19" s="7">
        <v>2.04</v>
      </c>
      <c r="J19" s="64"/>
      <c r="K19" s="6"/>
      <c r="L19" s="6"/>
      <c r="M19" s="6"/>
      <c r="N19" s="6"/>
      <c r="O19" s="6"/>
      <c r="P19" s="6"/>
      <c r="Q19" s="6"/>
      <c r="T19" s="40"/>
      <c r="U19" s="41"/>
    </row>
    <row r="20" spans="2:21" hidden="1" x14ac:dyDescent="0.25">
      <c r="B20" s="63" t="s">
        <v>191</v>
      </c>
      <c r="C20" s="6">
        <v>5.82</v>
      </c>
      <c r="D20" s="6">
        <v>6.96</v>
      </c>
      <c r="E20" s="6">
        <v>16</v>
      </c>
      <c r="F20" s="6">
        <v>6</v>
      </c>
      <c r="G20" s="6">
        <v>200</v>
      </c>
      <c r="H20" s="6" t="s">
        <v>187</v>
      </c>
      <c r="I20" s="7">
        <v>2.04</v>
      </c>
      <c r="J20" s="64"/>
      <c r="K20" s="6"/>
      <c r="L20" s="6"/>
      <c r="M20" s="6"/>
      <c r="N20" s="6"/>
      <c r="O20" s="6"/>
      <c r="P20" s="6"/>
      <c r="Q20" s="6"/>
      <c r="T20" s="40"/>
      <c r="U20" s="41"/>
    </row>
    <row r="21" spans="2:21" hidden="1" x14ac:dyDescent="0.25">
      <c r="B21" s="63" t="s">
        <v>192</v>
      </c>
      <c r="C21" s="6">
        <v>5</v>
      </c>
      <c r="D21" s="6">
        <v>5.0199999999999996</v>
      </c>
      <c r="E21" s="6">
        <v>16</v>
      </c>
      <c r="F21" s="6">
        <v>6</v>
      </c>
      <c r="G21" s="6">
        <v>200</v>
      </c>
      <c r="H21" s="6" t="s">
        <v>187</v>
      </c>
      <c r="I21" s="7">
        <v>2.04</v>
      </c>
      <c r="J21" s="64"/>
      <c r="K21" s="6"/>
      <c r="L21" s="6"/>
      <c r="M21" s="6"/>
      <c r="N21" s="6"/>
      <c r="O21" s="6"/>
      <c r="P21" s="6"/>
      <c r="Q21" s="6"/>
      <c r="T21" s="40"/>
      <c r="U21" s="41"/>
    </row>
    <row r="22" spans="2:21" hidden="1" x14ac:dyDescent="0.25">
      <c r="B22" s="63" t="s">
        <v>193</v>
      </c>
      <c r="C22" s="6">
        <v>2.1</v>
      </c>
      <c r="D22" s="6">
        <v>4.04</v>
      </c>
      <c r="E22" s="6">
        <v>16</v>
      </c>
      <c r="F22" s="6" t="s">
        <v>10</v>
      </c>
      <c r="G22" s="6">
        <v>400</v>
      </c>
      <c r="H22" s="6" t="s">
        <v>187</v>
      </c>
      <c r="I22" s="7">
        <v>2.04</v>
      </c>
      <c r="J22" s="64"/>
      <c r="K22" s="6"/>
      <c r="L22" s="6"/>
      <c r="M22" s="6"/>
      <c r="N22" s="6"/>
      <c r="O22" s="6"/>
      <c r="P22" s="6"/>
      <c r="Q22" s="6"/>
      <c r="T22" s="40"/>
      <c r="U22" s="41"/>
    </row>
    <row r="23" spans="2:21" hidden="1" x14ac:dyDescent="0.25">
      <c r="B23" s="63" t="s">
        <v>194</v>
      </c>
      <c r="C23" s="6">
        <v>1.4</v>
      </c>
      <c r="D23" s="6">
        <v>11.2</v>
      </c>
      <c r="E23" s="6">
        <v>16</v>
      </c>
      <c r="F23" s="6">
        <v>6</v>
      </c>
      <c r="G23" s="6">
        <v>400</v>
      </c>
      <c r="H23" s="6" t="s">
        <v>187</v>
      </c>
      <c r="I23" s="7">
        <v>2.04</v>
      </c>
      <c r="J23" s="64"/>
      <c r="K23" s="6"/>
      <c r="L23" s="6"/>
      <c r="M23" s="6"/>
      <c r="N23" s="6"/>
      <c r="O23" s="6"/>
      <c r="P23" s="6"/>
      <c r="Q23" s="6"/>
      <c r="T23" s="40"/>
      <c r="U23" s="41"/>
    </row>
    <row r="24" spans="2:21" hidden="1" x14ac:dyDescent="0.25">
      <c r="B24" s="63" t="s">
        <v>195</v>
      </c>
      <c r="C24" s="6">
        <v>2.9</v>
      </c>
      <c r="D24" s="6">
        <v>6.36</v>
      </c>
      <c r="E24" s="6">
        <v>16</v>
      </c>
      <c r="F24" s="6">
        <v>6</v>
      </c>
      <c r="G24" s="6">
        <v>400</v>
      </c>
      <c r="H24" s="6" t="s">
        <v>187</v>
      </c>
      <c r="I24" s="7">
        <v>2.04</v>
      </c>
      <c r="J24" s="64"/>
      <c r="K24" s="6"/>
      <c r="L24" s="6"/>
      <c r="M24" s="6"/>
      <c r="N24" s="6"/>
      <c r="O24" s="6"/>
      <c r="P24" s="6"/>
      <c r="Q24" s="6"/>
      <c r="T24" s="40"/>
      <c r="U24" s="41"/>
    </row>
    <row r="25" spans="2:21" hidden="1" x14ac:dyDescent="0.25">
      <c r="B25" s="63" t="s">
        <v>196</v>
      </c>
      <c r="C25" s="6">
        <v>5</v>
      </c>
      <c r="D25" s="6">
        <v>5.0199999999999996</v>
      </c>
      <c r="E25" s="6">
        <v>16</v>
      </c>
      <c r="F25" s="6">
        <v>6</v>
      </c>
      <c r="G25" s="6">
        <v>200</v>
      </c>
      <c r="H25" s="6" t="s">
        <v>187</v>
      </c>
      <c r="I25" s="7">
        <v>2.04</v>
      </c>
      <c r="J25" s="64"/>
      <c r="K25" s="6"/>
      <c r="L25" s="6"/>
      <c r="M25" s="6"/>
      <c r="N25" s="6"/>
      <c r="O25" s="6"/>
      <c r="P25" s="6"/>
      <c r="Q25" s="6"/>
      <c r="T25" s="40"/>
      <c r="U25" s="41"/>
    </row>
    <row r="26" spans="2:21" hidden="1" x14ac:dyDescent="0.25">
      <c r="B26" s="63" t="s">
        <v>197</v>
      </c>
      <c r="C26" s="6">
        <v>5.82</v>
      </c>
      <c r="D26" s="6">
        <v>6.49</v>
      </c>
      <c r="E26" s="6">
        <v>16</v>
      </c>
      <c r="F26" s="6">
        <v>6</v>
      </c>
      <c r="G26" s="6">
        <v>200</v>
      </c>
      <c r="H26" s="6" t="s">
        <v>187</v>
      </c>
      <c r="I26" s="7">
        <v>2.04</v>
      </c>
      <c r="J26" s="64"/>
      <c r="K26" s="6"/>
      <c r="L26" s="6"/>
      <c r="M26" s="6"/>
      <c r="N26" s="6"/>
      <c r="O26" s="6"/>
      <c r="P26" s="6"/>
      <c r="Q26" s="6"/>
      <c r="T26" s="40"/>
      <c r="U26" s="41"/>
    </row>
    <row r="27" spans="2:21" hidden="1" x14ac:dyDescent="0.25">
      <c r="B27" s="63" t="s">
        <v>198</v>
      </c>
      <c r="C27" s="6">
        <v>1.51</v>
      </c>
      <c r="D27" s="6">
        <v>5.33</v>
      </c>
      <c r="E27" s="6">
        <v>16</v>
      </c>
      <c r="F27" s="6" t="s">
        <v>8</v>
      </c>
      <c r="G27" s="6">
        <v>300</v>
      </c>
      <c r="H27" s="6" t="s">
        <v>187</v>
      </c>
      <c r="I27" s="7">
        <v>2.04</v>
      </c>
      <c r="J27" s="64"/>
      <c r="K27" s="6"/>
      <c r="L27" s="6"/>
      <c r="M27" s="6"/>
      <c r="N27" s="6"/>
      <c r="O27" s="6"/>
      <c r="P27" s="6"/>
      <c r="Q27" s="6"/>
      <c r="T27" s="40"/>
      <c r="U27" s="41"/>
    </row>
    <row r="28" spans="2:21" hidden="1" x14ac:dyDescent="0.25">
      <c r="B28" s="63" t="s">
        <v>199</v>
      </c>
      <c r="C28" s="6">
        <v>1.51</v>
      </c>
      <c r="D28" s="6">
        <v>5.6</v>
      </c>
      <c r="E28" s="6">
        <v>16</v>
      </c>
      <c r="F28" s="6" t="s">
        <v>10</v>
      </c>
      <c r="G28" s="6">
        <v>300</v>
      </c>
      <c r="H28" s="6" t="s">
        <v>187</v>
      </c>
      <c r="I28" s="7">
        <v>2.04</v>
      </c>
      <c r="J28" s="64"/>
      <c r="K28" s="6"/>
      <c r="L28" s="6"/>
      <c r="M28" s="6"/>
      <c r="N28" s="6"/>
      <c r="O28" s="6"/>
      <c r="P28" s="6"/>
      <c r="Q28" s="6"/>
      <c r="T28" s="40"/>
      <c r="U28" s="41"/>
    </row>
    <row r="29" spans="2:21" hidden="1" x14ac:dyDescent="0.25">
      <c r="B29" s="63" t="s">
        <v>200</v>
      </c>
      <c r="C29" s="6">
        <v>1.51</v>
      </c>
      <c r="D29" s="6">
        <v>5.6</v>
      </c>
      <c r="E29" s="6">
        <v>16</v>
      </c>
      <c r="F29" s="6" t="s">
        <v>10</v>
      </c>
      <c r="G29" s="6">
        <v>300</v>
      </c>
      <c r="H29" s="6" t="s">
        <v>187</v>
      </c>
      <c r="I29" s="7">
        <v>2.04</v>
      </c>
      <c r="J29" s="64"/>
      <c r="K29" s="6"/>
      <c r="L29" s="6"/>
      <c r="M29" s="6"/>
      <c r="N29" s="6"/>
      <c r="O29" s="6"/>
      <c r="P29" s="6"/>
      <c r="Q29" s="6"/>
      <c r="T29" s="40"/>
      <c r="U29" s="41"/>
    </row>
    <row r="30" spans="2:21" hidden="1" x14ac:dyDescent="0.25">
      <c r="B30" s="63" t="s">
        <v>201</v>
      </c>
      <c r="C30" s="6">
        <v>1.51</v>
      </c>
      <c r="D30" s="6">
        <v>5.25</v>
      </c>
      <c r="E30" s="6">
        <v>16</v>
      </c>
      <c r="F30" s="6" t="s">
        <v>8</v>
      </c>
      <c r="G30" s="6">
        <v>300</v>
      </c>
      <c r="H30" s="6" t="s">
        <v>187</v>
      </c>
      <c r="I30" s="7">
        <v>2.04</v>
      </c>
      <c r="J30" s="64"/>
      <c r="K30" s="6"/>
      <c r="L30" s="6"/>
      <c r="M30" s="6"/>
      <c r="N30" s="6"/>
      <c r="O30" s="6"/>
      <c r="P30" s="6"/>
      <c r="Q30" s="6"/>
      <c r="T30" s="40"/>
      <c r="U30" s="41"/>
    </row>
    <row r="31" spans="2:21" hidden="1" x14ac:dyDescent="0.25">
      <c r="B31" s="63" t="s">
        <v>202</v>
      </c>
      <c r="C31" s="6">
        <v>1.04</v>
      </c>
      <c r="D31" s="6">
        <v>3.83</v>
      </c>
      <c r="E31" s="6">
        <v>16</v>
      </c>
      <c r="F31" s="6" t="s">
        <v>8</v>
      </c>
      <c r="G31" s="6">
        <v>300</v>
      </c>
      <c r="H31" s="6" t="s">
        <v>187</v>
      </c>
      <c r="I31" s="7">
        <v>2.04</v>
      </c>
      <c r="J31" s="64"/>
      <c r="K31" s="6"/>
      <c r="L31" s="6"/>
      <c r="M31" s="6"/>
      <c r="N31" s="6"/>
      <c r="O31" s="6"/>
      <c r="P31" s="6"/>
      <c r="Q31" s="6"/>
      <c r="T31" s="40"/>
      <c r="U31" s="41"/>
    </row>
    <row r="32" spans="2:21" hidden="1" x14ac:dyDescent="0.25">
      <c r="B32" s="63" t="s">
        <v>203</v>
      </c>
      <c r="C32" s="6">
        <v>1.04</v>
      </c>
      <c r="D32" s="6">
        <v>3.83</v>
      </c>
      <c r="E32" s="6">
        <v>16</v>
      </c>
      <c r="F32" s="6" t="s">
        <v>8</v>
      </c>
      <c r="G32" s="6">
        <v>300</v>
      </c>
      <c r="H32" s="6" t="s">
        <v>187</v>
      </c>
      <c r="I32" s="7">
        <v>2.04</v>
      </c>
      <c r="J32" s="64"/>
      <c r="K32" s="6"/>
      <c r="L32" s="6"/>
      <c r="M32" s="6"/>
      <c r="N32" s="6"/>
      <c r="O32" s="6"/>
      <c r="P32" s="6"/>
      <c r="Q32" s="6"/>
      <c r="T32" s="40"/>
      <c r="U32" s="41"/>
    </row>
    <row r="33" spans="2:24" hidden="1" x14ac:dyDescent="0.25">
      <c r="B33" s="63" t="s">
        <v>204</v>
      </c>
      <c r="C33" s="6">
        <v>1.34</v>
      </c>
      <c r="D33" s="6">
        <v>7.01</v>
      </c>
      <c r="E33" s="6">
        <v>16</v>
      </c>
      <c r="F33" s="6" t="s">
        <v>8</v>
      </c>
      <c r="G33" s="6">
        <v>300</v>
      </c>
      <c r="H33" s="6" t="s">
        <v>187</v>
      </c>
      <c r="I33" s="7">
        <v>2.04</v>
      </c>
      <c r="J33" s="64"/>
      <c r="K33" s="6"/>
      <c r="L33" s="6"/>
      <c r="M33" s="6"/>
      <c r="N33" s="6"/>
      <c r="O33" s="6"/>
      <c r="P33" s="6"/>
      <c r="Q33" s="6"/>
      <c r="T33" s="40"/>
      <c r="U33" s="41"/>
    </row>
    <row r="34" spans="2:24" hidden="1" x14ac:dyDescent="0.25">
      <c r="B34" s="63" t="s">
        <v>205</v>
      </c>
      <c r="C34" s="6">
        <v>1.34</v>
      </c>
      <c r="D34" s="6">
        <v>7.09</v>
      </c>
      <c r="E34" s="6">
        <v>16</v>
      </c>
      <c r="F34" s="6" t="s">
        <v>8</v>
      </c>
      <c r="G34" s="6">
        <v>300</v>
      </c>
      <c r="H34" s="6" t="s">
        <v>187</v>
      </c>
      <c r="I34" s="7">
        <v>2.04</v>
      </c>
      <c r="J34" s="64"/>
      <c r="K34" s="6"/>
      <c r="L34" s="6"/>
      <c r="M34" s="6"/>
      <c r="N34" s="6"/>
      <c r="O34" s="6"/>
      <c r="P34" s="6"/>
      <c r="Q34" s="6"/>
      <c r="T34" s="40"/>
      <c r="U34" s="41"/>
    </row>
    <row r="35" spans="2:24" hidden="1" x14ac:dyDescent="0.25">
      <c r="B35" s="63" t="s">
        <v>206</v>
      </c>
      <c r="C35" s="6">
        <v>0.74</v>
      </c>
      <c r="D35" s="6">
        <v>3.83</v>
      </c>
      <c r="E35" s="6">
        <v>16</v>
      </c>
      <c r="F35" s="109" t="s">
        <v>8</v>
      </c>
      <c r="G35" s="6">
        <v>300</v>
      </c>
      <c r="H35" s="6" t="s">
        <v>187</v>
      </c>
      <c r="I35" s="7">
        <v>2.04</v>
      </c>
      <c r="J35" s="64"/>
      <c r="K35" s="6"/>
      <c r="L35" s="6"/>
      <c r="M35" s="6"/>
      <c r="N35" s="6"/>
      <c r="O35" s="6"/>
      <c r="P35" s="6"/>
      <c r="Q35" s="6"/>
      <c r="T35" s="40"/>
      <c r="U35" s="41"/>
    </row>
    <row r="36" spans="2:24" hidden="1" x14ac:dyDescent="0.25">
      <c r="B36" s="63" t="s">
        <v>207</v>
      </c>
      <c r="C36" s="6">
        <v>0.7</v>
      </c>
      <c r="D36" s="6">
        <v>3.83</v>
      </c>
      <c r="E36" s="6">
        <v>16</v>
      </c>
      <c r="F36" s="6" t="s">
        <v>8</v>
      </c>
      <c r="G36" s="6">
        <v>300</v>
      </c>
      <c r="H36" s="6" t="s">
        <v>187</v>
      </c>
      <c r="I36" s="7">
        <v>2.04</v>
      </c>
      <c r="J36" s="64"/>
      <c r="K36" s="6"/>
      <c r="L36" s="6"/>
      <c r="M36" s="6"/>
      <c r="N36" s="109"/>
      <c r="O36" s="6"/>
      <c r="P36" s="6"/>
      <c r="Q36" s="6"/>
      <c r="T36" s="40"/>
      <c r="U36" s="41"/>
    </row>
    <row r="37" spans="2:24" ht="15.75" hidden="1" thickBot="1" x14ac:dyDescent="0.3">
      <c r="B37" s="66" t="s">
        <v>208</v>
      </c>
      <c r="C37" s="9">
        <v>2.3199999999999998</v>
      </c>
      <c r="D37" s="9">
        <v>4.3</v>
      </c>
      <c r="E37" s="9">
        <v>16</v>
      </c>
      <c r="F37" s="106" t="s">
        <v>10</v>
      </c>
      <c r="G37" s="9">
        <v>400</v>
      </c>
      <c r="H37" s="9" t="s">
        <v>187</v>
      </c>
      <c r="I37" s="10">
        <v>2.04</v>
      </c>
      <c r="P37" s="40"/>
      <c r="T37" s="40"/>
      <c r="U37" s="41"/>
    </row>
    <row r="38" spans="2:24" hidden="1" x14ac:dyDescent="0.25">
      <c r="B38" s="64"/>
      <c r="C38" s="6"/>
      <c r="D38" s="6"/>
      <c r="E38" s="6"/>
      <c r="F38" s="109"/>
      <c r="G38" s="6"/>
      <c r="H38" s="6"/>
      <c r="I38" s="6"/>
      <c r="P38" s="40"/>
      <c r="T38" s="40"/>
      <c r="U38" s="41"/>
    </row>
    <row r="39" spans="2:24" hidden="1" x14ac:dyDescent="0.25">
      <c r="B39" s="64"/>
      <c r="C39" s="6"/>
      <c r="D39" s="6"/>
      <c r="E39" s="6"/>
      <c r="F39" s="109"/>
      <c r="G39" s="6"/>
      <c r="H39" s="6"/>
      <c r="I39" s="6"/>
      <c r="P39" s="40"/>
      <c r="T39" s="40"/>
      <c r="U39" s="41"/>
    </row>
    <row r="40" spans="2:24" hidden="1" x14ac:dyDescent="0.25">
      <c r="B40" s="64"/>
      <c r="C40" s="6"/>
      <c r="D40" s="6"/>
      <c r="E40" s="6"/>
      <c r="F40" s="109"/>
      <c r="G40" s="6"/>
      <c r="H40" s="6"/>
      <c r="I40" s="6"/>
      <c r="P40" s="40"/>
      <c r="T40" s="40"/>
      <c r="U40" s="41"/>
    </row>
    <row r="41" spans="2:24" hidden="1" x14ac:dyDescent="0.25">
      <c r="B41" s="64"/>
      <c r="C41" s="6"/>
      <c r="D41" s="6"/>
      <c r="E41" s="6"/>
      <c r="F41" s="109"/>
      <c r="G41" s="6"/>
      <c r="H41" s="6"/>
      <c r="I41" s="6"/>
      <c r="P41" s="40"/>
      <c r="T41" s="40"/>
      <c r="U41" s="41"/>
    </row>
    <row r="42" spans="2:24" hidden="1" x14ac:dyDescent="0.25">
      <c r="B42" s="64"/>
      <c r="C42" s="6"/>
      <c r="D42" s="6"/>
      <c r="E42" s="6"/>
      <c r="F42" s="109"/>
      <c r="G42" s="6"/>
      <c r="H42" s="6"/>
      <c r="I42" s="6"/>
      <c r="P42" s="40"/>
      <c r="T42" s="40"/>
      <c r="U42" s="41"/>
    </row>
    <row r="43" spans="2:24" hidden="1" x14ac:dyDescent="0.25">
      <c r="B43" s="64"/>
      <c r="C43" s="6"/>
      <c r="D43" s="6"/>
      <c r="E43" s="6"/>
      <c r="F43" s="109"/>
      <c r="G43" s="6"/>
      <c r="H43" s="6"/>
      <c r="I43" s="6"/>
      <c r="P43" s="40"/>
      <c r="T43" s="40"/>
      <c r="U43" s="41"/>
    </row>
    <row r="44" spans="2:24" s="39" customFormat="1" hidden="1" x14ac:dyDescent="0.25">
      <c r="B44" s="64"/>
      <c r="C44" s="6"/>
      <c r="D44" s="6"/>
      <c r="E44" s="6"/>
      <c r="F44" s="109"/>
      <c r="G44" s="6"/>
      <c r="H44" s="6"/>
      <c r="I44" s="6"/>
      <c r="P44" s="107"/>
      <c r="T44" s="107"/>
      <c r="U44" s="151"/>
    </row>
    <row r="45" spans="2:24" s="39" customFormat="1" ht="15.75" thickBot="1" x14ac:dyDescent="0.3">
      <c r="B45" s="64"/>
      <c r="C45" s="6"/>
      <c r="D45" s="6"/>
      <c r="E45" s="6"/>
      <c r="F45" s="109"/>
      <c r="G45" s="6"/>
      <c r="H45" s="6"/>
      <c r="I45" s="6"/>
      <c r="P45" s="107"/>
      <c r="T45" s="107"/>
      <c r="U45" s="151"/>
    </row>
    <row r="46" spans="2:24" ht="15.75" thickBot="1" x14ac:dyDescent="0.3">
      <c r="B46" s="73" t="s">
        <v>43</v>
      </c>
      <c r="C46" s="74" t="s">
        <v>186</v>
      </c>
      <c r="D46" s="74" t="s">
        <v>188</v>
      </c>
      <c r="E46" s="74" t="s">
        <v>189</v>
      </c>
      <c r="F46" s="74" t="s">
        <v>190</v>
      </c>
      <c r="G46" s="74" t="s">
        <v>191</v>
      </c>
      <c r="H46" s="74" t="s">
        <v>192</v>
      </c>
      <c r="I46" s="74" t="s">
        <v>193</v>
      </c>
      <c r="J46" s="74" t="s">
        <v>194</v>
      </c>
      <c r="K46" s="74" t="s">
        <v>195</v>
      </c>
      <c r="L46" s="74" t="s">
        <v>196</v>
      </c>
      <c r="M46" s="74" t="s">
        <v>197</v>
      </c>
      <c r="N46" s="74" t="s">
        <v>198</v>
      </c>
      <c r="O46" s="74" t="s">
        <v>199</v>
      </c>
      <c r="P46" s="74" t="s">
        <v>200</v>
      </c>
      <c r="Q46" s="74" t="s">
        <v>201</v>
      </c>
      <c r="R46" s="74" t="s">
        <v>202</v>
      </c>
      <c r="S46" s="74" t="s">
        <v>203</v>
      </c>
      <c r="T46" s="74" t="s">
        <v>204</v>
      </c>
      <c r="U46" s="74" t="s">
        <v>205</v>
      </c>
      <c r="V46" s="74" t="s">
        <v>206</v>
      </c>
      <c r="W46" s="74" t="s">
        <v>207</v>
      </c>
      <c r="X46" s="74" t="s">
        <v>208</v>
      </c>
    </row>
    <row r="47" spans="2:24" ht="15.75" thickBot="1" x14ac:dyDescent="0.3">
      <c r="B47" s="71" t="s">
        <v>95</v>
      </c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72"/>
      <c r="X47" s="72"/>
    </row>
    <row r="48" spans="2:24" x14ac:dyDescent="0.25">
      <c r="B48" s="94" t="s">
        <v>81</v>
      </c>
      <c r="C48" s="76">
        <f>VLOOKUP(C$46,$B$16:$H$37,2)</f>
        <v>6.05</v>
      </c>
      <c r="D48" s="76">
        <f t="shared" ref="D48:X48" si="0">VLOOKUP(D$46,$B$16:$H$37,2)</f>
        <v>4.6500000000000004</v>
      </c>
      <c r="E48" s="76">
        <f t="shared" si="0"/>
        <v>4.6500000000000004</v>
      </c>
      <c r="F48" s="76">
        <f t="shared" si="0"/>
        <v>6.05</v>
      </c>
      <c r="G48" s="76">
        <f t="shared" si="0"/>
        <v>5.82</v>
      </c>
      <c r="H48" s="76">
        <f t="shared" si="0"/>
        <v>5</v>
      </c>
      <c r="I48" s="76">
        <f t="shared" si="0"/>
        <v>2.1</v>
      </c>
      <c r="J48" s="76">
        <f t="shared" si="0"/>
        <v>1.4</v>
      </c>
      <c r="K48" s="76">
        <f t="shared" si="0"/>
        <v>2.9</v>
      </c>
      <c r="L48" s="76">
        <f t="shared" si="0"/>
        <v>5</v>
      </c>
      <c r="M48" s="76">
        <f t="shared" si="0"/>
        <v>5.82</v>
      </c>
      <c r="N48" s="76">
        <f t="shared" si="0"/>
        <v>1.51</v>
      </c>
      <c r="O48" s="76">
        <f t="shared" si="0"/>
        <v>1.51</v>
      </c>
      <c r="P48" s="76">
        <f t="shared" si="0"/>
        <v>1.51</v>
      </c>
      <c r="Q48" s="76">
        <f t="shared" si="0"/>
        <v>1.51</v>
      </c>
      <c r="R48" s="76">
        <f t="shared" si="0"/>
        <v>1.04</v>
      </c>
      <c r="S48" s="76">
        <f t="shared" si="0"/>
        <v>1.04</v>
      </c>
      <c r="T48" s="76">
        <f t="shared" si="0"/>
        <v>1.34</v>
      </c>
      <c r="U48" s="76">
        <f t="shared" si="0"/>
        <v>1.34</v>
      </c>
      <c r="V48" s="76">
        <f t="shared" si="0"/>
        <v>0.74</v>
      </c>
      <c r="W48" s="76">
        <f t="shared" si="0"/>
        <v>0.7</v>
      </c>
      <c r="X48" s="76">
        <f t="shared" si="0"/>
        <v>2.3199999999999998</v>
      </c>
    </row>
    <row r="49" spans="2:33" x14ac:dyDescent="0.25">
      <c r="B49" s="94" t="s">
        <v>82</v>
      </c>
      <c r="C49" s="76">
        <f>VLOOKUP(C$46,$B$16:$H$37,3)</f>
        <v>10</v>
      </c>
      <c r="D49" s="76">
        <f t="shared" ref="D49:X49" si="1">VLOOKUP(D$46,$B$16:$H$37,3)</f>
        <v>5.6</v>
      </c>
      <c r="E49" s="76">
        <f t="shared" si="1"/>
        <v>5.6</v>
      </c>
      <c r="F49" s="76">
        <f t="shared" si="1"/>
        <v>7.89</v>
      </c>
      <c r="G49" s="76">
        <f t="shared" si="1"/>
        <v>6.96</v>
      </c>
      <c r="H49" s="76">
        <f t="shared" si="1"/>
        <v>5.0199999999999996</v>
      </c>
      <c r="I49" s="76">
        <f t="shared" si="1"/>
        <v>4.04</v>
      </c>
      <c r="J49" s="76">
        <f t="shared" si="1"/>
        <v>11.2</v>
      </c>
      <c r="K49" s="76">
        <f t="shared" si="1"/>
        <v>6.36</v>
      </c>
      <c r="L49" s="76">
        <f t="shared" si="1"/>
        <v>5.0199999999999996</v>
      </c>
      <c r="M49" s="76">
        <f t="shared" si="1"/>
        <v>6.49</v>
      </c>
      <c r="N49" s="76">
        <f t="shared" si="1"/>
        <v>5.33</v>
      </c>
      <c r="O49" s="76">
        <f t="shared" si="1"/>
        <v>5.6</v>
      </c>
      <c r="P49" s="76">
        <f t="shared" si="1"/>
        <v>5.6</v>
      </c>
      <c r="Q49" s="76">
        <f t="shared" si="1"/>
        <v>5.25</v>
      </c>
      <c r="R49" s="76">
        <f t="shared" si="1"/>
        <v>3.83</v>
      </c>
      <c r="S49" s="76">
        <f t="shared" si="1"/>
        <v>3.83</v>
      </c>
      <c r="T49" s="76">
        <f t="shared" si="1"/>
        <v>7.01</v>
      </c>
      <c r="U49" s="76">
        <f t="shared" si="1"/>
        <v>7.09</v>
      </c>
      <c r="V49" s="76">
        <f t="shared" si="1"/>
        <v>3.83</v>
      </c>
      <c r="W49" s="76">
        <f t="shared" si="1"/>
        <v>3.83</v>
      </c>
      <c r="X49" s="76">
        <f t="shared" si="1"/>
        <v>4.3</v>
      </c>
    </row>
    <row r="50" spans="2:33" x14ac:dyDescent="0.25">
      <c r="B50" s="97" t="s">
        <v>86</v>
      </c>
      <c r="C50" s="76">
        <f>ROUNDUP((C54*C48*100)/C55+$C$5,0)</f>
        <v>9</v>
      </c>
      <c r="D50" s="76">
        <f t="shared" ref="D50:X50" si="2">ROUNDUP((D54*D48*100)/D55+$C$5,0)</f>
        <v>10</v>
      </c>
      <c r="E50" s="76">
        <f t="shared" si="2"/>
        <v>10</v>
      </c>
      <c r="F50" s="76">
        <f t="shared" si="2"/>
        <v>12</v>
      </c>
      <c r="G50" s="76">
        <f t="shared" si="2"/>
        <v>12</v>
      </c>
      <c r="H50" s="76">
        <f t="shared" si="2"/>
        <v>10</v>
      </c>
      <c r="I50" s="76">
        <f t="shared" si="2"/>
        <v>7</v>
      </c>
      <c r="J50" s="76">
        <f t="shared" si="2"/>
        <v>5</v>
      </c>
      <c r="K50" s="76">
        <f t="shared" si="2"/>
        <v>7</v>
      </c>
      <c r="L50" s="76">
        <f t="shared" si="2"/>
        <v>10</v>
      </c>
      <c r="M50" s="76">
        <f t="shared" si="2"/>
        <v>12</v>
      </c>
      <c r="N50" s="76">
        <f t="shared" si="2"/>
        <v>6</v>
      </c>
      <c r="O50" s="76">
        <f t="shared" si="2"/>
        <v>6</v>
      </c>
      <c r="P50" s="76">
        <f t="shared" si="2"/>
        <v>6</v>
      </c>
      <c r="Q50" s="76">
        <f t="shared" si="2"/>
        <v>6</v>
      </c>
      <c r="R50" s="76">
        <f t="shared" si="2"/>
        <v>5</v>
      </c>
      <c r="S50" s="76">
        <f t="shared" si="2"/>
        <v>5</v>
      </c>
      <c r="T50" s="76">
        <f t="shared" si="2"/>
        <v>6</v>
      </c>
      <c r="U50" s="76">
        <f t="shared" si="2"/>
        <v>6</v>
      </c>
      <c r="V50" s="76">
        <f t="shared" si="2"/>
        <v>4</v>
      </c>
      <c r="W50" s="76">
        <f t="shared" si="2"/>
        <v>4</v>
      </c>
      <c r="X50" s="76">
        <f t="shared" si="2"/>
        <v>6</v>
      </c>
    </row>
    <row r="51" spans="2:33" ht="15.75" thickBot="1" x14ac:dyDescent="0.3">
      <c r="B51" s="98" t="s">
        <v>0</v>
      </c>
      <c r="C51" s="113">
        <f>VLOOKUP(C$46,$B$16:$I$37,5)</f>
        <v>6</v>
      </c>
      <c r="D51" s="113">
        <f t="shared" ref="D51:X51" si="3">VLOOKUP(D$46,$B$16:$I$37,5)</f>
        <v>6</v>
      </c>
      <c r="E51" s="113">
        <f t="shared" si="3"/>
        <v>6</v>
      </c>
      <c r="F51" s="113">
        <f t="shared" si="3"/>
        <v>6</v>
      </c>
      <c r="G51" s="113">
        <f t="shared" si="3"/>
        <v>6</v>
      </c>
      <c r="H51" s="113">
        <f t="shared" si="3"/>
        <v>6</v>
      </c>
      <c r="I51" s="113" t="str">
        <f t="shared" si="3"/>
        <v>5b</v>
      </c>
      <c r="J51" s="113">
        <f t="shared" si="3"/>
        <v>6</v>
      </c>
      <c r="K51" s="113">
        <f t="shared" si="3"/>
        <v>6</v>
      </c>
      <c r="L51" s="113">
        <f t="shared" si="3"/>
        <v>6</v>
      </c>
      <c r="M51" s="113">
        <f t="shared" si="3"/>
        <v>6</v>
      </c>
      <c r="N51" s="113" t="str">
        <f t="shared" si="3"/>
        <v>2a</v>
      </c>
      <c r="O51" s="113" t="str">
        <f t="shared" si="3"/>
        <v>5b</v>
      </c>
      <c r="P51" s="113" t="str">
        <f t="shared" si="3"/>
        <v>5b</v>
      </c>
      <c r="Q51" s="113" t="str">
        <f t="shared" si="3"/>
        <v>2a</v>
      </c>
      <c r="R51" s="113" t="str">
        <f t="shared" si="3"/>
        <v>2a</v>
      </c>
      <c r="S51" s="113" t="str">
        <f t="shared" si="3"/>
        <v>2a</v>
      </c>
      <c r="T51" s="113" t="str">
        <f t="shared" si="3"/>
        <v>2a</v>
      </c>
      <c r="U51" s="113" t="str">
        <f t="shared" si="3"/>
        <v>2a</v>
      </c>
      <c r="V51" s="113" t="str">
        <f t="shared" si="3"/>
        <v>2a</v>
      </c>
      <c r="W51" s="113" t="str">
        <f t="shared" si="3"/>
        <v>2a</v>
      </c>
      <c r="X51" s="113" t="str">
        <f t="shared" si="3"/>
        <v>5b</v>
      </c>
    </row>
    <row r="52" spans="2:33" ht="15.75" thickBot="1" x14ac:dyDescent="0.3">
      <c r="B52" s="71" t="s">
        <v>94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72"/>
      <c r="X52" s="72"/>
    </row>
    <row r="53" spans="2:33" x14ac:dyDescent="0.25">
      <c r="B53" s="97" t="s">
        <v>84</v>
      </c>
      <c r="C53" s="256">
        <f t="shared" ref="C53:X53" si="4">ROUNDUP(C49/C48,1)</f>
        <v>1.7000000000000002</v>
      </c>
      <c r="D53" s="80">
        <f t="shared" si="4"/>
        <v>1.3</v>
      </c>
      <c r="E53" s="80">
        <f t="shared" si="4"/>
        <v>1.3</v>
      </c>
      <c r="F53" s="80">
        <f t="shared" si="4"/>
        <v>1.4000000000000001</v>
      </c>
      <c r="G53" s="80">
        <f t="shared" si="4"/>
        <v>1.2000000000000002</v>
      </c>
      <c r="H53" s="80">
        <f t="shared" si="4"/>
        <v>1.1000000000000001</v>
      </c>
      <c r="I53" s="80">
        <f t="shared" si="4"/>
        <v>2</v>
      </c>
      <c r="J53" s="80">
        <f t="shared" si="4"/>
        <v>8</v>
      </c>
      <c r="K53" s="80">
        <f t="shared" si="4"/>
        <v>2.2000000000000002</v>
      </c>
      <c r="L53" s="80">
        <f t="shared" si="4"/>
        <v>1.1000000000000001</v>
      </c>
      <c r="M53" s="80">
        <f t="shared" si="4"/>
        <v>1.2000000000000002</v>
      </c>
      <c r="N53" s="80">
        <f t="shared" si="4"/>
        <v>3.6</v>
      </c>
      <c r="O53" s="80">
        <f t="shared" si="4"/>
        <v>3.8000000000000003</v>
      </c>
      <c r="P53" s="80">
        <f t="shared" si="4"/>
        <v>3.8000000000000003</v>
      </c>
      <c r="Q53" s="80">
        <f t="shared" si="4"/>
        <v>3.5</v>
      </c>
      <c r="R53" s="80">
        <f t="shared" si="4"/>
        <v>3.7</v>
      </c>
      <c r="S53" s="80">
        <f t="shared" si="4"/>
        <v>3.7</v>
      </c>
      <c r="T53" s="80">
        <f t="shared" si="4"/>
        <v>5.3</v>
      </c>
      <c r="U53" s="80">
        <f t="shared" si="4"/>
        <v>5.3</v>
      </c>
      <c r="V53" s="80">
        <f t="shared" si="4"/>
        <v>5.1999999999999993</v>
      </c>
      <c r="W53" s="80">
        <f t="shared" si="4"/>
        <v>5.5</v>
      </c>
      <c r="X53" s="256">
        <f t="shared" si="4"/>
        <v>1.9000000000000001</v>
      </c>
    </row>
    <row r="54" spans="2:33" x14ac:dyDescent="0.25">
      <c r="B54" s="97" t="s">
        <v>337</v>
      </c>
      <c r="C54" s="76">
        <f>IF(C53&gt;1.5,VLOOKUP(C51&amp;1.5,tablas!$M$3:$P$56,4,FALSE),VLOOKUP(C51&amp;C53,tablas!$M$3:$P$56,4,FALSE))</f>
        <v>0.57999999999999996</v>
      </c>
      <c r="D54" s="76">
        <f>IF(D53&gt;1.5,VLOOKUP(D51&amp;1.5,tablas!$M$3:$P$56,4,FALSE),VLOOKUP(D51&amp;D53,tablas!$M$3:$P$56,4,FALSE))</f>
        <v>0.56000000000000005</v>
      </c>
      <c r="E54" s="76">
        <f>IF(E53&gt;1.5,VLOOKUP(E51&amp;1.5,tablas!$M$3:$P$56,4,FALSE),VLOOKUP(E51&amp;E53,tablas!$M$3:$P$56,4,FALSE))</f>
        <v>0.56000000000000005</v>
      </c>
      <c r="F54" s="76">
        <f>IF(F53&gt;1.5,VLOOKUP(F51&amp;1.5,tablas!$M$3:$P$56,4,FALSE),VLOOKUP(F51&amp;F53,tablas!$M$3:$P$56,4,FALSE))</f>
        <v>0.56999999999999995</v>
      </c>
      <c r="G54" s="76">
        <f>IF(G53&gt;1.5,VLOOKUP(G51&amp;1.5,tablas!$M$3:$P$56,4,FALSE),VLOOKUP(G51&amp;G53,tablas!$M$3:$P$56,4,FALSE))</f>
        <v>0.56000000000000005</v>
      </c>
      <c r="H54" s="76">
        <f>IF(H53&gt;1.5,VLOOKUP(H51&amp;1.5,tablas!$M$3:$P$56,4,FALSE),VLOOKUP(H51&amp;H53,tablas!$M$3:$P$56,4,FALSE))</f>
        <v>0.55000000000000004</v>
      </c>
      <c r="I54" s="76">
        <f>IF(I53&gt;1.5,VLOOKUP(I51&amp;1.5,tablas!$M$3:$P$56,4,FALSE),VLOOKUP(I51&amp;I53,tablas!$M$3:$P$56,4,FALSE))</f>
        <v>0.75</v>
      </c>
      <c r="J54" s="76">
        <f>IF(J53&gt;1.5,VLOOKUP(J51&amp;1.5,tablas!$M$3:$P$56,4,FALSE),VLOOKUP(J51&amp;J53,tablas!$M$3:$P$56,4,FALSE))</f>
        <v>0.57999999999999996</v>
      </c>
      <c r="K54" s="76">
        <f>IF(K53&gt;1.5,VLOOKUP(K51&amp;1.5,tablas!$M$3:$P$56,4,FALSE),VLOOKUP(K51&amp;K53,tablas!$M$3:$P$56,4,FALSE))</f>
        <v>0.57999999999999996</v>
      </c>
      <c r="L54" s="76">
        <f>IF(L53&gt;1.5,VLOOKUP(L51&amp;1.5,tablas!$M$3:$P$56,4,FALSE),VLOOKUP(L51&amp;L53,tablas!$M$3:$P$56,4,FALSE))</f>
        <v>0.55000000000000004</v>
      </c>
      <c r="M54" s="76">
        <f>IF(M53&gt;1.5,VLOOKUP(M51&amp;1.5,tablas!$M$3:$P$56,4,FALSE),VLOOKUP(M51&amp;M53,tablas!$M$3:$P$56,4,FALSE))</f>
        <v>0.56000000000000005</v>
      </c>
      <c r="N54" s="76">
        <f>IF(N53&gt;1.5,VLOOKUP(N51&amp;1.5,tablas!$M$3:$P$56,4,FALSE),VLOOKUP(N51&amp;N53,tablas!$M$3:$P$56,4,FALSE))</f>
        <v>0.8</v>
      </c>
      <c r="O54" s="76">
        <f>IF(O53&gt;1.5,VLOOKUP(O51&amp;1.5,tablas!$M$3:$P$56,4,FALSE),VLOOKUP(O51&amp;O53,tablas!$M$3:$P$56,4,FALSE))</f>
        <v>0.75</v>
      </c>
      <c r="P54" s="76">
        <f>IF(P53&gt;1.5,VLOOKUP(P51&amp;1.5,tablas!$M$3:$P$56,4,FALSE),VLOOKUP(P51&amp;P53,tablas!$M$3:$P$56,4,FALSE))</f>
        <v>0.75</v>
      </c>
      <c r="Q54" s="76">
        <f>IF(Q53&gt;1.5,VLOOKUP(Q51&amp;1.5,tablas!$M$3:$P$56,4,FALSE),VLOOKUP(Q51&amp;Q53,tablas!$M$3:$P$56,4,FALSE))</f>
        <v>0.8</v>
      </c>
      <c r="R54" s="76">
        <f>IF(R53&gt;1.5,VLOOKUP(R51&amp;1.5,tablas!$M$3:$P$56,4,FALSE),VLOOKUP(R51&amp;R53,tablas!$M$3:$P$56,4,FALSE))</f>
        <v>0.8</v>
      </c>
      <c r="S54" s="76">
        <f>IF(S53&gt;1.5,VLOOKUP(S51&amp;1.5,tablas!$M$3:$P$56,4,FALSE),VLOOKUP(S51&amp;S53,tablas!$M$3:$P$56,4,FALSE))</f>
        <v>0.8</v>
      </c>
      <c r="T54" s="76">
        <f>IF(T53&gt;1.5,VLOOKUP(T51&amp;1.5,tablas!$M$3:$P$56,4,FALSE),VLOOKUP(T51&amp;T53,tablas!$M$3:$P$56,4,FALSE))</f>
        <v>0.8</v>
      </c>
      <c r="U54" s="76">
        <f>IF(U53&gt;1.5,VLOOKUP(U51&amp;1.5,tablas!$M$3:$P$56,4,FALSE),VLOOKUP(U51&amp;U53,tablas!$M$3:$P$56,4,FALSE))</f>
        <v>0.8</v>
      </c>
      <c r="V54" s="76">
        <f>IF(V53&gt;1.5,VLOOKUP(V51&amp;1.5,tablas!$M$3:$P$56,4,FALSE),VLOOKUP(V51&amp;V53,tablas!$M$3:$P$56,4,FALSE))</f>
        <v>0.8</v>
      </c>
      <c r="W54" s="76">
        <f>IF(W53&gt;1.5,VLOOKUP(W51&amp;1.5,tablas!$M$3:$P$56,4,FALSE),VLOOKUP(W51&amp;W53,tablas!$M$3:$P$56,4,FALSE))</f>
        <v>0.8</v>
      </c>
      <c r="X54" s="76">
        <f>IF(X53&gt;1.5,VLOOKUP(X51&amp;1.5,tablas!$M$3:$P$56,4,FALSE),VLOOKUP(X51&amp;X53,tablas!$M$3:$P$56,4,FALSE))</f>
        <v>0.75</v>
      </c>
      <c r="Y54" s="193"/>
      <c r="Z54" s="193"/>
      <c r="AA54" s="193"/>
      <c r="AB54" s="193"/>
      <c r="AC54" s="193"/>
      <c r="AD54" s="193"/>
      <c r="AE54" s="193"/>
      <c r="AF54" s="39"/>
      <c r="AG54" s="39"/>
    </row>
    <row r="55" spans="2:33" x14ac:dyDescent="0.25">
      <c r="B55" s="97" t="s">
        <v>85</v>
      </c>
      <c r="C55" s="76">
        <v>53</v>
      </c>
      <c r="D55" s="76">
        <v>35</v>
      </c>
      <c r="E55" s="76">
        <v>35</v>
      </c>
      <c r="F55" s="76">
        <v>35</v>
      </c>
      <c r="G55" s="76">
        <v>35</v>
      </c>
      <c r="H55" s="76">
        <v>35</v>
      </c>
      <c r="I55" s="76">
        <v>35</v>
      </c>
      <c r="J55" s="76">
        <v>35</v>
      </c>
      <c r="K55" s="76">
        <v>35</v>
      </c>
      <c r="L55" s="76">
        <v>35</v>
      </c>
      <c r="M55" s="76">
        <v>35</v>
      </c>
      <c r="N55" s="76">
        <v>35</v>
      </c>
      <c r="O55" s="76">
        <v>35</v>
      </c>
      <c r="P55" s="76">
        <v>35</v>
      </c>
      <c r="Q55" s="76">
        <v>35</v>
      </c>
      <c r="R55" s="76">
        <v>35</v>
      </c>
      <c r="S55" s="76">
        <v>35</v>
      </c>
      <c r="T55" s="76">
        <v>35</v>
      </c>
      <c r="U55" s="76">
        <v>35</v>
      </c>
      <c r="V55" s="76">
        <v>35</v>
      </c>
      <c r="W55" s="76">
        <v>35</v>
      </c>
      <c r="X55" s="76">
        <v>53</v>
      </c>
    </row>
    <row r="56" spans="2:33" x14ac:dyDescent="0.25">
      <c r="B56" s="97" t="s">
        <v>11</v>
      </c>
      <c r="C56" s="76">
        <f>IF(C53&lt;=2,VLOOKUP(C51&amp;C53-0.1,tablas!$B$3:$K$92,4,FALSE),"Franja de losa")</f>
        <v>1</v>
      </c>
      <c r="D56" s="76">
        <f>IF(D53&lt;=2,VLOOKUP(D51&amp;D53,tablas!$B$3:$K$92,4,FALSE),"Franja de losa")</f>
        <v>1</v>
      </c>
      <c r="E56" s="76">
        <f>IF(E53&lt;=2,VLOOKUP(E51&amp;E53,tablas!$B$3:$K$92,4,FALSE),"Franja de losa")</f>
        <v>1</v>
      </c>
      <c r="F56" s="76">
        <f>IF(F53&lt;=2,VLOOKUP(F51&amp;F53,tablas!$B$3:$K$92,4,FALSE),"Franja de losa")</f>
        <v>1</v>
      </c>
      <c r="G56" s="76">
        <f>IF(G53&lt;=2,VLOOKUP(G51&amp;G53,tablas!$B$3:$K$92,4,FALSE),"Franja de losa")</f>
        <v>1</v>
      </c>
      <c r="H56" s="76">
        <f>IF(H53&lt;=2,VLOOKUP(H51&amp;H53,tablas!$B$3:$K$92,4,FALSE),"Franja de losa")</f>
        <v>1</v>
      </c>
      <c r="I56" s="76">
        <f>IF(I53&lt;=2,VLOOKUP(I51&amp;I53,tablas!$B$3:$K$92,4,FALSE),"Franja de losa")</f>
        <v>1</v>
      </c>
      <c r="J56" s="76" t="str">
        <f>IF(J53&lt;=2,VLOOKUP(J51&amp;J53,tablas!$B$3:$K$92,4,FALSE),"Franja de losa")</f>
        <v>Franja de losa</v>
      </c>
      <c r="K56" s="76" t="str">
        <f>IF(K53&lt;=2,VLOOKUP(K51&amp;K53,tablas!$B$3:$K$92,4,FALSE),"Franja de losa")</f>
        <v>Franja de losa</v>
      </c>
      <c r="L56" s="76">
        <f>IF(L53&lt;=2,VLOOKUP(L51&amp;L53,tablas!$B$3:$K$92,4,FALSE),"Franja de losa")</f>
        <v>1</v>
      </c>
      <c r="M56" s="76">
        <f>IF(M53&lt;=2,VLOOKUP(M51&amp;M53,tablas!$B$3:$K$92,4,FALSE),"Franja de losa")</f>
        <v>1</v>
      </c>
      <c r="N56" s="76" t="str">
        <f>IF(N53&lt;=2,VLOOKUP(N51&amp;N53,tablas!$B$3:$K$92,4,FALSE),"Franja de losa")</f>
        <v>Franja de losa</v>
      </c>
      <c r="O56" s="76" t="str">
        <f>IF(O53&lt;=2,VLOOKUP(O51&amp;O53,tablas!$B$3:$K$92,4,FALSE),"Franja de losa")</f>
        <v>Franja de losa</v>
      </c>
      <c r="P56" s="76" t="str">
        <f>IF(P53&lt;=2,VLOOKUP(P51&amp;P53,tablas!$B$3:$K$92,4,FALSE),"Franja de losa")</f>
        <v>Franja de losa</v>
      </c>
      <c r="Q56" s="76" t="str">
        <f>IF(Q53&lt;=2,VLOOKUP(Q51&amp;Q53,tablas!$B$3:$K$92,4,FALSE),"Franja de losa")</f>
        <v>Franja de losa</v>
      </c>
      <c r="R56" s="76" t="str">
        <f>IF(R53&lt;=2,VLOOKUP(R51&amp;R53,tablas!$B$3:$K$92,4,FALSE),"Franja de losa")</f>
        <v>Franja de losa</v>
      </c>
      <c r="S56" s="76" t="str">
        <f>IF(S53&lt;=2,VLOOKUP(S51&amp;S53,tablas!$B$3:$K$92,4,FALSE),"Franja de losa")</f>
        <v>Franja de losa</v>
      </c>
      <c r="T56" s="76" t="str">
        <f>IF(T53&lt;=2,VLOOKUP(T51&amp;T53,tablas!$B$3:$K$92,4,FALSE),"Franja de losa")</f>
        <v>Franja de losa</v>
      </c>
      <c r="U56" s="76" t="str">
        <f>IF(U53&lt;=2,VLOOKUP(U51&amp;U53,tablas!$B$3:$K$92,4,FALSE),"Franja de losa")</f>
        <v>Franja de losa</v>
      </c>
      <c r="V56" s="76" t="str">
        <f>IF(V53&lt;=2,VLOOKUP(V51&amp;V53,tablas!$B$3:$K$92,4,FALSE),"Franja de losa")</f>
        <v>Franja de losa</v>
      </c>
      <c r="W56" s="76" t="str">
        <f>IF(W53&lt;=2,VLOOKUP(W51&amp;W53,tablas!$B$3:$K$92,4,FALSE),"Franja de losa")</f>
        <v>Franja de losa</v>
      </c>
      <c r="X56" s="76">
        <f>IF(X53&lt;=2,VLOOKUP(X51&amp;X53-0.1,tablas!$B$3:$K$92,4,FALSE),"Franja de losa")</f>
        <v>1</v>
      </c>
      <c r="Y56" s="193"/>
      <c r="Z56" s="193"/>
      <c r="AA56" s="193"/>
      <c r="AB56" s="193"/>
      <c r="AC56" s="193"/>
      <c r="AD56" s="193"/>
      <c r="AE56" s="193"/>
      <c r="AF56" s="39"/>
      <c r="AG56" s="39"/>
    </row>
    <row r="57" spans="2:33" x14ac:dyDescent="0.25">
      <c r="B57" s="94" t="s">
        <v>4</v>
      </c>
      <c r="C57" s="76">
        <f>IF(C53&lt;=2,VLOOKUP(C51&amp;C53-0.1,tablas!$B$3:$K$92,7,FALSE),"Franja de losa")</f>
        <v>46.1</v>
      </c>
      <c r="D57" s="76">
        <f>IF(D53&lt;=2,VLOOKUP(D51&amp;D53,tablas!$B$3:$K$92,7,FALSE),"Franja de losa")</f>
        <v>45.2</v>
      </c>
      <c r="E57" s="76">
        <f>IF(E53&lt;=2,VLOOKUP(E51&amp;E53,tablas!$B$3:$K$92,7,FALSE),"Franja de losa")</f>
        <v>45.2</v>
      </c>
      <c r="F57" s="76">
        <f>IF(F53&lt;=2,VLOOKUP(F51&amp;F53,tablas!$B$3:$K$92,7,FALSE),"Franja de losa")</f>
        <v>44.6</v>
      </c>
      <c r="G57" s="76">
        <f>IF(G53&lt;=2,VLOOKUP(G51&amp;G53,tablas!$B$3:$K$92,7,FALSE),"Franja de losa")</f>
        <v>47.2</v>
      </c>
      <c r="H57" s="76">
        <f>IF(H53&lt;=2,VLOOKUP(H51&amp;H53,tablas!$B$3:$K$92,7,FALSE),"Franja de losa")</f>
        <v>50.7</v>
      </c>
      <c r="I57" s="76">
        <f>IF(I53&lt;=2,VLOOKUP(I51&amp;I53,tablas!$B$3:$K$92,7,FALSE),"Franja de losa")</f>
        <v>37.5</v>
      </c>
      <c r="J57" s="76" t="str">
        <f>IF(J53&lt;=2,VLOOKUP(J51&amp;J53,tablas!$B$3:$K$92,7,FALSE),"Franja de losa")</f>
        <v>Franja de losa</v>
      </c>
      <c r="K57" s="76" t="str">
        <f>IF(K53&lt;=2,VLOOKUP(K51&amp;K53,tablas!$B$3:$K$92,7,FALSE),"Franja de losa")</f>
        <v>Franja de losa</v>
      </c>
      <c r="L57" s="76">
        <f>IF(L53&lt;=2,VLOOKUP(L51&amp;L53,tablas!$B$3:$K$92,7,FALSE),"Franja de losa")</f>
        <v>50.7</v>
      </c>
      <c r="M57" s="76">
        <f>IF(M53&lt;=2,VLOOKUP(M51&amp;M53,tablas!$B$3:$K$92,7,FALSE),"Franja de losa")</f>
        <v>47.2</v>
      </c>
      <c r="N57" s="76" t="str">
        <f>IF(N53&lt;=2,VLOOKUP(N51&amp;N53,tablas!$B$3:$K$92,7,FALSE),"Franja de losa")</f>
        <v>Franja de losa</v>
      </c>
      <c r="O57" s="76" t="str">
        <f>IF(O53&lt;=2,VLOOKUP(O51&amp;O53,tablas!$B$3:$K$92,7,FALSE),"Franja de losa")</f>
        <v>Franja de losa</v>
      </c>
      <c r="P57" s="76" t="str">
        <f>IF(P53&lt;=2,VLOOKUP(P51&amp;P53,tablas!$B$3:$K$92,7,FALSE),"Franja de losa")</f>
        <v>Franja de losa</v>
      </c>
      <c r="Q57" s="76" t="str">
        <f>IF(Q53&lt;=2,VLOOKUP(Q51&amp;Q53,tablas!$B$3:$K$92,7,FALSE),"Franja de losa")</f>
        <v>Franja de losa</v>
      </c>
      <c r="R57" s="76" t="str">
        <f>IF(R53&lt;=2,VLOOKUP(R51&amp;R53,tablas!$B$3:$K$92,7,FALSE),"Franja de losa")</f>
        <v>Franja de losa</v>
      </c>
      <c r="S57" s="76" t="str">
        <f>IF(S53&lt;=2,VLOOKUP(S51&amp;S53,tablas!$B$3:$K$92,7,FALSE),"Franja de losa")</f>
        <v>Franja de losa</v>
      </c>
      <c r="T57" s="76" t="str">
        <f>IF(T53&lt;=2,VLOOKUP(T51&amp;T53,tablas!$B$3:$K$92,7,FALSE),"Franja de losa")</f>
        <v>Franja de losa</v>
      </c>
      <c r="U57" s="76" t="str">
        <f>IF(U53&lt;=2,VLOOKUP(U51&amp;U53,tablas!$B$3:$K$92,7,FALSE),"Franja de losa")</f>
        <v>Franja de losa</v>
      </c>
      <c r="V57" s="76" t="str">
        <f>IF(V53&lt;=2,VLOOKUP(V51&amp;V53,tablas!$B$3:$K$92,7,FALSE),"Franja de losa")</f>
        <v>Franja de losa</v>
      </c>
      <c r="W57" s="76" t="str">
        <f>IF(W53&lt;=2,VLOOKUP(W51&amp;W53,tablas!$B$3:$K$92,7,FALSE),"Franja de losa")</f>
        <v>Franja de losa</v>
      </c>
      <c r="X57" s="76">
        <f>IF(X53&lt;=2,VLOOKUP(X51&amp;X53-0.1,tablas!$B$3:$K$92,7,FALSE),"Franja de losa")</f>
        <v>37.6</v>
      </c>
    </row>
    <row r="58" spans="2:33" x14ac:dyDescent="0.25">
      <c r="B58" s="94" t="s">
        <v>5</v>
      </c>
      <c r="C58" s="76">
        <f>IF(C53&lt;=2,VLOOKUP(C51&amp;C53-0.1,tablas!$B$3:$K$92,8,FALSE),"Franja de losa")</f>
        <v>163</v>
      </c>
      <c r="D58" s="76">
        <f>IF(D53&lt;=2,VLOOKUP(D51&amp;D53,tablas!$B$3:$K$92,8,FALSE),"Franja de losa")</f>
        <v>95.6</v>
      </c>
      <c r="E58" s="76">
        <f>IF(E53&lt;=2,VLOOKUP(E51&amp;E53,tablas!$B$3:$K$92,8,FALSE),"Franja de losa")</f>
        <v>95.6</v>
      </c>
      <c r="F58" s="76">
        <f>IF(F53&lt;=2,VLOOKUP(F51&amp;F53,tablas!$B$3:$K$92,8,FALSE),"Franja de losa")</f>
        <v>116.6</v>
      </c>
      <c r="G58" s="76">
        <f>IF(G53&lt;=2,VLOOKUP(G51&amp;G53,tablas!$B$3:$K$92,8,FALSE),"Franja de losa")</f>
        <v>78.900000000000006</v>
      </c>
      <c r="H58" s="76">
        <f>IF(H53&lt;=2,VLOOKUP(H51&amp;H53,tablas!$B$3:$K$92,8,FALSE),"Franja de losa")</f>
        <v>66.3</v>
      </c>
      <c r="I58" s="76">
        <f>IF(I53&lt;=2,VLOOKUP(I51&amp;I53,tablas!$B$3:$K$92,8,FALSE),"Franja de losa")</f>
        <v>202</v>
      </c>
      <c r="J58" s="76" t="str">
        <f>IF(J53&lt;=2,VLOOKUP(J51&amp;J53,tablas!$B$3:$K$92,8,FALSE),"Franja de losa")</f>
        <v>Franja de losa</v>
      </c>
      <c r="K58" s="76" t="str">
        <f>IF(K53&lt;=2,VLOOKUP(K51&amp;K53,tablas!$B$3:$K$92,8,FALSE),"Franja de losa")</f>
        <v>Franja de losa</v>
      </c>
      <c r="L58" s="76">
        <f>IF(L53&lt;=2,VLOOKUP(L51&amp;L53,tablas!$B$3:$K$92,8,FALSE),"Franja de losa")</f>
        <v>66.3</v>
      </c>
      <c r="M58" s="76">
        <f>IF(M53&lt;=2,VLOOKUP(M51&amp;M53,tablas!$B$3:$K$92,8,FALSE),"Franja de losa")</f>
        <v>78.900000000000006</v>
      </c>
      <c r="N58" s="76" t="str">
        <f>IF(N53&lt;=2,VLOOKUP(N51&amp;N53,tablas!$B$3:$K$92,8,FALSE),"Franja de losa")</f>
        <v>Franja de losa</v>
      </c>
      <c r="O58" s="76" t="str">
        <f>IF(O53&lt;=2,VLOOKUP(O51&amp;O53,tablas!$B$3:$K$92,8,FALSE),"Franja de losa")</f>
        <v>Franja de losa</v>
      </c>
      <c r="P58" s="76" t="str">
        <f>IF(P53&lt;=2,VLOOKUP(P51&amp;P53,tablas!$B$3:$K$92,8,FALSE),"Franja de losa")</f>
        <v>Franja de losa</v>
      </c>
      <c r="Q58" s="76" t="str">
        <f>IF(Q53&lt;=2,VLOOKUP(Q51&amp;Q53,tablas!$B$3:$K$92,8,FALSE),"Franja de losa")</f>
        <v>Franja de losa</v>
      </c>
      <c r="R58" s="76" t="str">
        <f>IF(R53&lt;=2,VLOOKUP(R51&amp;R53,tablas!$B$3:$K$92,8,FALSE),"Franja de losa")</f>
        <v>Franja de losa</v>
      </c>
      <c r="S58" s="76" t="str">
        <f>IF(S53&lt;=2,VLOOKUP(S51&amp;S53,tablas!$B$3:$K$92,8,FALSE),"Franja de losa")</f>
        <v>Franja de losa</v>
      </c>
      <c r="T58" s="76" t="str">
        <f>IF(T53&lt;=2,VLOOKUP(T51&amp;T53,tablas!$B$3:$K$92,8,FALSE),"Franja de losa")</f>
        <v>Franja de losa</v>
      </c>
      <c r="U58" s="76" t="str">
        <f>IF(U53&lt;=2,VLOOKUP(U51&amp;U53,tablas!$B$3:$K$92,8,FALSE),"Franja de losa")</f>
        <v>Franja de losa</v>
      </c>
      <c r="V58" s="76" t="str">
        <f>IF(V53&lt;=2,VLOOKUP(V51&amp;V53,tablas!$B$3:$K$92,8,FALSE),"Franja de losa")</f>
        <v>Franja de losa</v>
      </c>
      <c r="W58" s="76" t="str">
        <f>IF(W53&lt;=2,VLOOKUP(W51&amp;W53,tablas!$B$3:$K$92,8,FALSE),"Franja de losa")</f>
        <v>Franja de losa</v>
      </c>
      <c r="X58" s="76">
        <f>IF(X53&lt;=2,VLOOKUP(X51&amp;X53-0.1,tablas!$B$3:$K$92,8,FALSE),"Franja de losa")</f>
        <v>143</v>
      </c>
    </row>
    <row r="59" spans="2:33" x14ac:dyDescent="0.25">
      <c r="B59" s="94" t="s">
        <v>6</v>
      </c>
      <c r="C59" s="76">
        <f>IF(C53&lt;=2,VLOOKUP(C51&amp;C53-0.1,tablas!$B$3:$K$92,9,FALSE),"Franja de losa")</f>
        <v>20.5</v>
      </c>
      <c r="D59" s="76">
        <f>IF(D53&lt;=2,VLOOKUP(D51&amp;D53,tablas!$B$3:$K$92,9,FALSE),"Franja de losa")</f>
        <v>18.8</v>
      </c>
      <c r="E59" s="76">
        <f>IF(E53&lt;=2,VLOOKUP(E51&amp;E53,tablas!$B$3:$K$92,9,FALSE),"Franja de losa")</f>
        <v>18.8</v>
      </c>
      <c r="F59" s="76">
        <f>IF(F53&lt;=2,VLOOKUP(F51&amp;F53,tablas!$B$3:$K$92,9,FALSE),"Franja de losa")</f>
        <v>19.2</v>
      </c>
      <c r="G59" s="76">
        <f>IF(G53&lt;=2,VLOOKUP(G51&amp;G53,tablas!$B$3:$K$92,9,FALSE),"Franja de losa")</f>
        <v>18.600000000000001</v>
      </c>
      <c r="H59" s="76">
        <f>IF(H53&lt;=2,VLOOKUP(H51&amp;H53,tablas!$B$3:$K$92,9,FALSE),"Franja de losa")</f>
        <v>18.8</v>
      </c>
      <c r="I59" s="76">
        <f>IF(I53&lt;=2,VLOOKUP(I51&amp;I53,tablas!$B$3:$K$92,9,FALSE),"Franja de losa")</f>
        <v>17.600000000000001</v>
      </c>
      <c r="J59" s="76" t="str">
        <f>IF(J53&lt;=2,VLOOKUP(J51&amp;J53,tablas!$B$3:$K$92,9,FALSE),"Franja de losa")</f>
        <v>Franja de losa</v>
      </c>
      <c r="K59" s="76" t="str">
        <f>IF(K53&lt;=2,VLOOKUP(K51&amp;K53,tablas!$B$3:$K$92,9,FALSE),"Franja de losa")</f>
        <v>Franja de losa</v>
      </c>
      <c r="L59" s="76">
        <f>IF(L53&lt;=2,VLOOKUP(L51&amp;L53,tablas!$B$3:$K$92,9,FALSE),"Franja de losa")</f>
        <v>18.8</v>
      </c>
      <c r="M59" s="76">
        <f>IF(M53&lt;=2,VLOOKUP(M51&amp;M53,tablas!$B$3:$K$92,9,FALSE),"Franja de losa")</f>
        <v>18.600000000000001</v>
      </c>
      <c r="N59" s="76" t="str">
        <f>IF(N53&lt;=2,VLOOKUP(N51&amp;N53,tablas!$B$3:$K$92,9,FALSE),"Franja de losa")</f>
        <v>Franja de losa</v>
      </c>
      <c r="O59" s="76" t="str">
        <f>IF(O53&lt;=2,VLOOKUP(O51&amp;O53,tablas!$B$3:$K$92,9,FALSE),"Franja de losa")</f>
        <v>Franja de losa</v>
      </c>
      <c r="P59" s="76" t="str">
        <f>IF(P53&lt;=2,VLOOKUP(P51&amp;P53,tablas!$B$3:$K$92,9,FALSE),"Franja de losa")</f>
        <v>Franja de losa</v>
      </c>
      <c r="Q59" s="76" t="str">
        <f>IF(Q53&lt;=2,VLOOKUP(Q51&amp;Q53,tablas!$B$3:$K$92,9,FALSE),"Franja de losa")</f>
        <v>Franja de losa</v>
      </c>
      <c r="R59" s="76" t="str">
        <f>IF(R53&lt;=2,VLOOKUP(R51&amp;R53,tablas!$B$3:$K$92,9,FALSE),"Franja de losa")</f>
        <v>Franja de losa</v>
      </c>
      <c r="S59" s="76" t="str">
        <f>IF(S53&lt;=2,VLOOKUP(S51&amp;S53,tablas!$B$3:$K$92,9,FALSE),"Franja de losa")</f>
        <v>Franja de losa</v>
      </c>
      <c r="T59" s="76" t="str">
        <f>IF(T53&lt;=2,VLOOKUP(T51&amp;T53,tablas!$B$3:$K$92,9,FALSE),"Franja de losa")</f>
        <v>Franja de losa</v>
      </c>
      <c r="U59" s="76" t="str">
        <f>IF(U53&lt;=2,VLOOKUP(U51&amp;U53,tablas!$B$3:$K$92,9,FALSE),"Franja de losa")</f>
        <v>Franja de losa</v>
      </c>
      <c r="V59" s="76" t="str">
        <f>IF(V53&lt;=2,VLOOKUP(V51&amp;V53,tablas!$B$3:$K$92,9,FALSE),"Franja de losa")</f>
        <v>Franja de losa</v>
      </c>
      <c r="W59" s="76" t="str">
        <f>IF(W53&lt;=2,VLOOKUP(W51&amp;W53,tablas!$B$3:$K$92,9,FALSE),"Franja de losa")</f>
        <v>Franja de losa</v>
      </c>
      <c r="X59" s="76">
        <f>IF(X53&lt;=2,VLOOKUP(X51&amp;X53-0.1,tablas!$B$3:$K$92,9,FALSE),"Franja de losa")</f>
        <v>16.7</v>
      </c>
    </row>
    <row r="60" spans="2:33" x14ac:dyDescent="0.25">
      <c r="B60" s="94" t="s">
        <v>7</v>
      </c>
      <c r="C60" s="76">
        <f>IF(C53&lt;=2,VLOOKUP(C51&amp;C53-0.1,tablas!$B$3:$K$92,10,FALSE),"Franja de losa")</f>
        <v>27.9</v>
      </c>
      <c r="D60" s="76">
        <f>IF(D53&lt;=2,VLOOKUP(D51&amp;D53,tablas!$B$3:$K$92,10,FALSE),"Franja de losa")</f>
        <v>22.9</v>
      </c>
      <c r="E60" s="76">
        <f>IF(E53&lt;=2,VLOOKUP(E51&amp;E53,tablas!$B$3:$K$92,10,FALSE),"Franja de losa")</f>
        <v>22.9</v>
      </c>
      <c r="F60" s="76">
        <f>IF(F53&lt;=2,VLOOKUP(F51&amp;F53,tablas!$B$3:$K$92,10,FALSE),"Franja de losa")</f>
        <v>24.5</v>
      </c>
      <c r="G60" s="76">
        <f>IF(G53&lt;=2,VLOOKUP(G51&amp;G53,tablas!$B$3:$K$92,10,FALSE),"Franja de losa")</f>
        <v>21.5</v>
      </c>
      <c r="H60" s="76">
        <f>IF(H53&lt;=2,VLOOKUP(H51&amp;H53,tablas!$B$3:$K$92,10,FALSE),"Franja de losa")</f>
        <v>20.3</v>
      </c>
      <c r="I60" s="76">
        <f>IF(I53&lt;=2,VLOOKUP(I51&amp;I53,tablas!$B$3:$K$92,10,FALSE),"Franja de losa")</f>
        <v>24.6</v>
      </c>
      <c r="J60" s="76" t="str">
        <f>IF(J53&lt;=2,VLOOKUP(J51&amp;J53,tablas!$B$3:$K$92,10,FALSE),"Franja de losa")</f>
        <v>Franja de losa</v>
      </c>
      <c r="K60" s="76" t="str">
        <f>IF(K53&lt;=2,VLOOKUP(K51&amp;K53,tablas!$B$3:$K$92,10,FALSE),"Franja de losa")</f>
        <v>Franja de losa</v>
      </c>
      <c r="L60" s="76">
        <f>IF(L53&lt;=2,VLOOKUP(L51&amp;L53,tablas!$B$3:$K$92,10,FALSE),"Franja de losa")</f>
        <v>20.3</v>
      </c>
      <c r="M60" s="76">
        <f>IF(M53&lt;=2,VLOOKUP(M51&amp;M53,tablas!$B$3:$K$92,10,FALSE),"Franja de losa")</f>
        <v>21.5</v>
      </c>
      <c r="N60" s="76" t="str">
        <f>IF(N53&lt;=2,VLOOKUP(N51&amp;N53,tablas!$B$3:$K$92,10,FALSE),"Franja de losa")</f>
        <v>Franja de losa</v>
      </c>
      <c r="O60" s="76" t="str">
        <f>IF(O53&lt;=2,VLOOKUP(O51&amp;O53,tablas!$B$3:$K$92,10,FALSE),"Franja de losa")</f>
        <v>Franja de losa</v>
      </c>
      <c r="P60" s="76" t="str">
        <f>IF(P53&lt;=2,VLOOKUP(P51&amp;P53,tablas!$B$3:$K$92,10,FALSE),"Franja de losa")</f>
        <v>Franja de losa</v>
      </c>
      <c r="Q60" s="76" t="str">
        <f>IF(Q53&lt;=2,VLOOKUP(Q51&amp;Q53,tablas!$B$3:$K$92,10,FALSE),"Franja de losa")</f>
        <v>Franja de losa</v>
      </c>
      <c r="R60" s="76" t="str">
        <f>IF(R53&lt;=2,VLOOKUP(R51&amp;R53,tablas!$B$3:$K$92,10,FALSE),"Franja de losa")</f>
        <v>Franja de losa</v>
      </c>
      <c r="S60" s="76" t="str">
        <f>IF(S53&lt;=2,VLOOKUP(S51&amp;S53,tablas!$B$3:$K$92,10,FALSE),"Franja de losa")</f>
        <v>Franja de losa</v>
      </c>
      <c r="T60" s="76" t="str">
        <f>IF(T53&lt;=2,VLOOKUP(T51&amp;T53,tablas!$B$3:$K$92,10,FALSE),"Franja de losa")</f>
        <v>Franja de losa</v>
      </c>
      <c r="U60" s="76" t="str">
        <f>IF(U53&lt;=2,VLOOKUP(U51&amp;U53,tablas!$B$3:$K$92,10,FALSE),"Franja de losa")</f>
        <v>Franja de losa</v>
      </c>
      <c r="V60" s="76" t="str">
        <f>IF(V53&lt;=2,VLOOKUP(V51&amp;V53,tablas!$B$3:$K$92,10,FALSE),"Franja de losa")</f>
        <v>Franja de losa</v>
      </c>
      <c r="W60" s="76" t="str">
        <f>IF(W53&lt;=2,VLOOKUP(W51&amp;W53,tablas!$B$3:$K$92,10,FALSE),"Franja de losa")</f>
        <v>Franja de losa</v>
      </c>
      <c r="X60" s="76">
        <f>IF(X53&lt;=2,VLOOKUP(X51&amp;X53-0.1,tablas!$B$3:$K$92,10,FALSE),"Franja de losa")</f>
        <v>22.1</v>
      </c>
    </row>
    <row r="61" spans="2:33" x14ac:dyDescent="0.25">
      <c r="B61" s="97" t="s">
        <v>2</v>
      </c>
      <c r="C61" s="76">
        <f>IF(C53&lt;=2,VLOOKUP(C51&amp;C53-0.1,tablas!$B$3:$K$92,5,FALSE),"Franja de losa")</f>
        <v>1.39</v>
      </c>
      <c r="D61" s="76">
        <f>IF(D53&lt;=2,VLOOKUP(D51&amp;D53,tablas!$B$3:$K$92,5,FALSE),"Franja de losa")</f>
        <v>1.17</v>
      </c>
      <c r="E61" s="76">
        <f>IF(E53&lt;=2,VLOOKUP(E51&amp;E53,tablas!$B$3:$K$92,5,FALSE),"Franja de losa")</f>
        <v>1.17</v>
      </c>
      <c r="F61" s="76">
        <f>IF(F53&lt;=2,VLOOKUP(F51&amp;F53,tablas!$B$3:$K$92,5,FALSE),"Franja de losa")</f>
        <v>1.24</v>
      </c>
      <c r="G61" s="76">
        <f>IF(G53&lt;=2,VLOOKUP(G51&amp;G53,tablas!$B$3:$K$92,5,FALSE),"Franja de losa")</f>
        <v>1.1000000000000001</v>
      </c>
      <c r="H61" s="76">
        <f>IF(H53&lt;=2,VLOOKUP(H51&amp;H53,tablas!$B$3:$K$92,5,FALSE),"Franja de losa")</f>
        <v>1.05</v>
      </c>
      <c r="I61" s="76">
        <f>IF(I53&lt;=2,VLOOKUP(I51&amp;I53,tablas!$B$3:$K$92,5,FALSE),"Franja de losa")</f>
        <v>0.68</v>
      </c>
      <c r="J61" s="76" t="str">
        <f>IF(J53&lt;=2,VLOOKUP(J51&amp;J53,tablas!$B$3:$K$92,5,FALSE),"Franja de losa")</f>
        <v>Franja de losa</v>
      </c>
      <c r="K61" s="76" t="str">
        <f>IF(K53&lt;=2,VLOOKUP(K51&amp;K53,tablas!$B$3:$K$92,5,FALSE),"Franja de losa")</f>
        <v>Franja de losa</v>
      </c>
      <c r="L61" s="76">
        <f>IF(L53&lt;=2,VLOOKUP(L51&amp;L53,tablas!$B$3:$K$92,5,FALSE),"Franja de losa")</f>
        <v>1.05</v>
      </c>
      <c r="M61" s="76">
        <f>IF(M53&lt;=2,VLOOKUP(M51&amp;M53,tablas!$B$3:$K$92,5,FALSE),"Franja de losa")</f>
        <v>1.1000000000000001</v>
      </c>
      <c r="N61" s="76" t="str">
        <f>IF(N53&lt;=2,VLOOKUP(N51&amp;N53,tablas!$B$3:$K$92,5,FALSE),"Franja de losa")</f>
        <v>Franja de losa</v>
      </c>
      <c r="O61" s="76" t="str">
        <f>IF(O53&lt;=2,VLOOKUP(O51&amp;O53,tablas!$B$3:$K$92,5,FALSE),"Franja de losa")</f>
        <v>Franja de losa</v>
      </c>
      <c r="P61" s="76" t="str">
        <f>IF(P53&lt;=2,VLOOKUP(P51&amp;P53,tablas!$B$3:$K$92,5,FALSE),"Franja de losa")</f>
        <v>Franja de losa</v>
      </c>
      <c r="Q61" s="76" t="str">
        <f>IF(Q53&lt;=2,VLOOKUP(Q51&amp;Q53,tablas!$B$3:$K$92,5,FALSE),"Franja de losa")</f>
        <v>Franja de losa</v>
      </c>
      <c r="R61" s="76" t="str">
        <f>IF(R53&lt;=2,VLOOKUP(R51&amp;R53,tablas!$B$3:$K$92,5,FALSE),"Franja de losa")</f>
        <v>Franja de losa</v>
      </c>
      <c r="S61" s="76" t="str">
        <f>IF(S53&lt;=2,VLOOKUP(S51&amp;S53,tablas!$B$3:$K$92,5,FALSE),"Franja de losa")</f>
        <v>Franja de losa</v>
      </c>
      <c r="T61" s="76" t="str">
        <f>IF(T53&lt;=2,VLOOKUP(T51&amp;T53,tablas!$B$3:$K$92,5,FALSE),"Franja de losa")</f>
        <v>Franja de losa</v>
      </c>
      <c r="U61" s="76" t="str">
        <f>IF(U53&lt;=2,VLOOKUP(U51&amp;U53,tablas!$B$3:$K$92,5,FALSE),"Franja de losa")</f>
        <v>Franja de losa</v>
      </c>
      <c r="V61" s="76" t="str">
        <f>IF(V53&lt;=2,VLOOKUP(V51&amp;V53,tablas!$B$3:$K$92,5,FALSE),"Franja de losa")</f>
        <v>Franja de losa</v>
      </c>
      <c r="W61" s="76" t="str">
        <f>IF(W53&lt;=2,VLOOKUP(W51&amp;W53,tablas!$B$3:$K$92,5,FALSE),"Franja de losa")</f>
        <v>Franja de losa</v>
      </c>
      <c r="X61" s="76">
        <f>IF(X53&lt;=2,VLOOKUP(X51&amp;X53-0.1,tablas!$B$3:$K$92,5,FALSE),"Franja de losa")</f>
        <v>0.68</v>
      </c>
    </row>
    <row r="62" spans="2:33" ht="15.75" thickBot="1" x14ac:dyDescent="0.3">
      <c r="B62" s="98" t="s">
        <v>3</v>
      </c>
      <c r="C62" s="82">
        <f>IF(C53&lt;=2,VLOOKUP(C51&amp;C53-0.1,tablas!$B$3:$K$92,6,FALSE),"Franja de losa")</f>
        <v>1.39</v>
      </c>
      <c r="D62" s="82">
        <f>IF(D53&lt;=2,VLOOKUP(D51&amp;D53,tablas!$B$3:$K$92,6,FALSE),"Franja de losa")</f>
        <v>1.17</v>
      </c>
      <c r="E62" s="82">
        <f>IF(E53&lt;=2,VLOOKUP(E51&amp;E53,tablas!$B$3:$K$92,6,FALSE),"Franja de losa")</f>
        <v>1.17</v>
      </c>
      <c r="F62" s="82">
        <f>IF(F53&lt;=2,VLOOKUP(F51&amp;F53,tablas!$B$3:$K$92,6,FALSE),"Franja de losa")</f>
        <v>1.24</v>
      </c>
      <c r="G62" s="82">
        <f>IF(G53&lt;=2,VLOOKUP(G51&amp;G53,tablas!$B$3:$K$92,6,FALSE),"Franja de losa")</f>
        <v>1.1000000000000001</v>
      </c>
      <c r="H62" s="82">
        <f>IF(H53&lt;=2,VLOOKUP(H51&amp;H53,tablas!$B$3:$K$92,6,FALSE),"Franja de losa")</f>
        <v>1.05</v>
      </c>
      <c r="I62" s="82">
        <f>IF(I53&lt;=2,VLOOKUP(I51&amp;I53,tablas!$B$3:$K$92,6,FALSE),"Franja de losa")</f>
        <v>0.46</v>
      </c>
      <c r="J62" s="82" t="str">
        <f>IF(J53&lt;=2,VLOOKUP(J51&amp;J53,tablas!$B$3:$K$92,6,FALSE),"Franja de losa")</f>
        <v>Franja de losa</v>
      </c>
      <c r="K62" s="82" t="str">
        <f>IF(K53&lt;=2,VLOOKUP(K51&amp;K53,tablas!$B$3:$K$92,6,FALSE),"Franja de losa")</f>
        <v>Franja de losa</v>
      </c>
      <c r="L62" s="82">
        <f>IF(L53&lt;=2,VLOOKUP(L51&amp;L53,tablas!$B$3:$K$92,6,FALSE),"Franja de losa")</f>
        <v>1.05</v>
      </c>
      <c r="M62" s="82">
        <f>IF(M53&lt;=2,VLOOKUP(M51&amp;M53,tablas!$B$3:$K$92,6,FALSE),"Franja de losa")</f>
        <v>1.1000000000000001</v>
      </c>
      <c r="N62" s="82" t="str">
        <f>IF(N53&lt;=2,VLOOKUP(N51&amp;N53,tablas!$B$3:$K$92,6,FALSE),"Franja de losa")</f>
        <v>Franja de losa</v>
      </c>
      <c r="O62" s="82" t="str">
        <f>IF(O53&lt;=2,VLOOKUP(O51&amp;O53,tablas!$B$3:$K$92,6,FALSE),"Franja de losa")</f>
        <v>Franja de losa</v>
      </c>
      <c r="P62" s="82" t="str">
        <f>IF(P53&lt;=2,VLOOKUP(P51&amp;P53,tablas!$B$3:$K$92,6,FALSE),"Franja de losa")</f>
        <v>Franja de losa</v>
      </c>
      <c r="Q62" s="82" t="str">
        <f>IF(Q53&lt;=2,VLOOKUP(Q51&amp;Q53,tablas!$B$3:$K$92,6,FALSE),"Franja de losa")</f>
        <v>Franja de losa</v>
      </c>
      <c r="R62" s="82" t="str">
        <f>IF(R53&lt;=2,VLOOKUP(R51&amp;R53,tablas!$B$3:$K$92,6,FALSE),"Franja de losa")</f>
        <v>Franja de losa</v>
      </c>
      <c r="S62" s="82" t="str">
        <f>IF(S53&lt;=2,VLOOKUP(S51&amp;S53,tablas!$B$3:$K$92,6,FALSE),"Franja de losa")</f>
        <v>Franja de losa</v>
      </c>
      <c r="T62" s="82" t="str">
        <f>IF(T53&lt;=2,VLOOKUP(T51&amp;T53,tablas!$B$3:$K$92,6,FALSE),"Franja de losa")</f>
        <v>Franja de losa</v>
      </c>
      <c r="U62" s="82" t="str">
        <f>IF(U53&lt;=2,VLOOKUP(U51&amp;U53,tablas!$B$3:$K$92,6,FALSE),"Franja de losa")</f>
        <v>Franja de losa</v>
      </c>
      <c r="V62" s="82" t="str">
        <f>IF(V53&lt;=2,VLOOKUP(V51&amp;V53,tablas!$B$3:$K$92,6,FALSE),"Franja de losa")</f>
        <v>Franja de losa</v>
      </c>
      <c r="W62" s="82" t="str">
        <f>IF(W53&lt;=2,VLOOKUP(W51&amp;W53,tablas!$B$3:$K$92,6,FALSE),"Franja de losa")</f>
        <v>Franja de losa</v>
      </c>
      <c r="X62" s="82">
        <f>IF(X53&lt;=2,VLOOKUP(X51&amp;X53-0.1,tablas!$B$3:$K$92,6,FALSE),"Franja de losa")</f>
        <v>0.46</v>
      </c>
    </row>
    <row r="63" spans="2:33" ht="15.75" thickBot="1" x14ac:dyDescent="0.3">
      <c r="B63" s="71" t="s">
        <v>87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72"/>
      <c r="X63" s="72"/>
    </row>
    <row r="64" spans="2:33" x14ac:dyDescent="0.25">
      <c r="B64" s="94" t="s">
        <v>83</v>
      </c>
      <c r="C64" s="83">
        <f>VLOOKUP(C$46,$B$16:$H$35,6)</f>
        <v>200</v>
      </c>
      <c r="D64" s="83">
        <f t="shared" ref="D64:X64" si="5">VLOOKUP(D$46,$B$16:$H$35,6)</f>
        <v>200</v>
      </c>
      <c r="E64" s="83">
        <f t="shared" si="5"/>
        <v>200</v>
      </c>
      <c r="F64" s="83">
        <f t="shared" si="5"/>
        <v>200</v>
      </c>
      <c r="G64" s="83">
        <f t="shared" si="5"/>
        <v>200</v>
      </c>
      <c r="H64" s="83">
        <f t="shared" si="5"/>
        <v>200</v>
      </c>
      <c r="I64" s="83">
        <f t="shared" si="5"/>
        <v>400</v>
      </c>
      <c r="J64" s="83">
        <f t="shared" si="5"/>
        <v>400</v>
      </c>
      <c r="K64" s="83">
        <f t="shared" si="5"/>
        <v>400</v>
      </c>
      <c r="L64" s="83">
        <f t="shared" si="5"/>
        <v>200</v>
      </c>
      <c r="M64" s="83">
        <f t="shared" si="5"/>
        <v>200</v>
      </c>
      <c r="N64" s="83">
        <f t="shared" si="5"/>
        <v>300</v>
      </c>
      <c r="O64" s="83">
        <f t="shared" si="5"/>
        <v>300</v>
      </c>
      <c r="P64" s="83">
        <f t="shared" si="5"/>
        <v>300</v>
      </c>
      <c r="Q64" s="83">
        <f t="shared" si="5"/>
        <v>300</v>
      </c>
      <c r="R64" s="83">
        <f t="shared" si="5"/>
        <v>300</v>
      </c>
      <c r="S64" s="83">
        <f t="shared" si="5"/>
        <v>300</v>
      </c>
      <c r="T64" s="83">
        <f t="shared" si="5"/>
        <v>300</v>
      </c>
      <c r="U64" s="83">
        <f t="shared" si="5"/>
        <v>300</v>
      </c>
      <c r="V64" s="83">
        <f t="shared" si="5"/>
        <v>300</v>
      </c>
      <c r="W64" s="83">
        <f t="shared" si="5"/>
        <v>300</v>
      </c>
      <c r="X64" s="83">
        <f t="shared" si="5"/>
        <v>300</v>
      </c>
    </row>
    <row r="65" spans="2:24" x14ac:dyDescent="0.25">
      <c r="B65" s="94" t="s">
        <v>89</v>
      </c>
      <c r="C65" s="76">
        <f>$L$7*($C$4/100)</f>
        <v>400</v>
      </c>
      <c r="D65" s="77">
        <f>$L$7*($C$4/100)</f>
        <v>400</v>
      </c>
      <c r="E65" s="77">
        <f t="shared" ref="E65:X65" si="6">$L$7*($C$4/100)</f>
        <v>400</v>
      </c>
      <c r="F65" s="77">
        <f t="shared" si="6"/>
        <v>400</v>
      </c>
      <c r="G65" s="77">
        <f t="shared" si="6"/>
        <v>400</v>
      </c>
      <c r="H65" s="77">
        <f t="shared" si="6"/>
        <v>400</v>
      </c>
      <c r="I65" s="77">
        <f t="shared" si="6"/>
        <v>400</v>
      </c>
      <c r="J65" s="77">
        <f t="shared" si="6"/>
        <v>400</v>
      </c>
      <c r="K65" s="77">
        <f t="shared" si="6"/>
        <v>400</v>
      </c>
      <c r="L65" s="77">
        <f t="shared" si="6"/>
        <v>400</v>
      </c>
      <c r="M65" s="77">
        <f t="shared" si="6"/>
        <v>400</v>
      </c>
      <c r="N65" s="77">
        <f t="shared" si="6"/>
        <v>400</v>
      </c>
      <c r="O65" s="77">
        <f t="shared" si="6"/>
        <v>400</v>
      </c>
      <c r="P65" s="77">
        <f t="shared" si="6"/>
        <v>400</v>
      </c>
      <c r="Q65" s="77">
        <f t="shared" si="6"/>
        <v>400</v>
      </c>
      <c r="R65" s="77">
        <f t="shared" si="6"/>
        <v>400</v>
      </c>
      <c r="S65" s="77">
        <f t="shared" si="6"/>
        <v>400</v>
      </c>
      <c r="T65" s="77">
        <f t="shared" si="6"/>
        <v>400</v>
      </c>
      <c r="U65" s="77">
        <f t="shared" si="6"/>
        <v>400</v>
      </c>
      <c r="V65" s="77">
        <f t="shared" si="6"/>
        <v>400</v>
      </c>
      <c r="W65" s="77">
        <f t="shared" si="6"/>
        <v>400</v>
      </c>
      <c r="X65" s="77">
        <f t="shared" si="6"/>
        <v>400</v>
      </c>
    </row>
    <row r="66" spans="2:24" x14ac:dyDescent="0.25">
      <c r="B66" s="94" t="s">
        <v>90</v>
      </c>
      <c r="C66" s="76">
        <f>C65+$I$8</f>
        <v>625</v>
      </c>
      <c r="D66" s="77">
        <f>D65+$I$8</f>
        <v>625</v>
      </c>
      <c r="E66" s="77">
        <f t="shared" ref="E66:X66" si="7">E65+$I$8</f>
        <v>625</v>
      </c>
      <c r="F66" s="77">
        <f t="shared" si="7"/>
        <v>625</v>
      </c>
      <c r="G66" s="77">
        <f t="shared" si="7"/>
        <v>625</v>
      </c>
      <c r="H66" s="77">
        <f t="shared" si="7"/>
        <v>625</v>
      </c>
      <c r="I66" s="77">
        <f t="shared" si="7"/>
        <v>625</v>
      </c>
      <c r="J66" s="77">
        <f t="shared" si="7"/>
        <v>625</v>
      </c>
      <c r="K66" s="77">
        <f t="shared" si="7"/>
        <v>625</v>
      </c>
      <c r="L66" s="77">
        <f t="shared" si="7"/>
        <v>625</v>
      </c>
      <c r="M66" s="77">
        <f t="shared" si="7"/>
        <v>625</v>
      </c>
      <c r="N66" s="77">
        <f t="shared" si="7"/>
        <v>625</v>
      </c>
      <c r="O66" s="77">
        <f t="shared" si="7"/>
        <v>625</v>
      </c>
      <c r="P66" s="77">
        <f t="shared" si="7"/>
        <v>625</v>
      </c>
      <c r="Q66" s="77">
        <f t="shared" si="7"/>
        <v>625</v>
      </c>
      <c r="R66" s="77">
        <f t="shared" si="7"/>
        <v>625</v>
      </c>
      <c r="S66" s="77">
        <f t="shared" si="7"/>
        <v>625</v>
      </c>
      <c r="T66" s="77">
        <f t="shared" si="7"/>
        <v>625</v>
      </c>
      <c r="U66" s="77">
        <f t="shared" si="7"/>
        <v>625</v>
      </c>
      <c r="V66" s="77">
        <f t="shared" si="7"/>
        <v>625</v>
      </c>
      <c r="W66" s="77">
        <f t="shared" si="7"/>
        <v>625</v>
      </c>
      <c r="X66" s="77">
        <f t="shared" si="7"/>
        <v>625</v>
      </c>
    </row>
    <row r="67" spans="2:24" x14ac:dyDescent="0.25">
      <c r="B67" s="94" t="s">
        <v>91</v>
      </c>
      <c r="C67" s="76">
        <f>1.2*C66+1.6*C64</f>
        <v>1070</v>
      </c>
      <c r="D67" s="77">
        <f>1.2*D66+1.6*D64</f>
        <v>1070</v>
      </c>
      <c r="E67" s="77">
        <f t="shared" ref="E67:X67" si="8">1.2*E66+1.6*E64</f>
        <v>1070</v>
      </c>
      <c r="F67" s="77">
        <f t="shared" si="8"/>
        <v>1070</v>
      </c>
      <c r="G67" s="77">
        <f t="shared" si="8"/>
        <v>1070</v>
      </c>
      <c r="H67" s="77">
        <f t="shared" si="8"/>
        <v>1070</v>
      </c>
      <c r="I67" s="77">
        <f t="shared" si="8"/>
        <v>1390</v>
      </c>
      <c r="J67" s="77">
        <f t="shared" si="8"/>
        <v>1390</v>
      </c>
      <c r="K67" s="77">
        <f t="shared" si="8"/>
        <v>1390</v>
      </c>
      <c r="L67" s="77">
        <f t="shared" si="8"/>
        <v>1070</v>
      </c>
      <c r="M67" s="77">
        <f t="shared" si="8"/>
        <v>1070</v>
      </c>
      <c r="N67" s="77">
        <f t="shared" si="8"/>
        <v>1230</v>
      </c>
      <c r="O67" s="77">
        <f t="shared" si="8"/>
        <v>1230</v>
      </c>
      <c r="P67" s="77">
        <f t="shared" si="8"/>
        <v>1230</v>
      </c>
      <c r="Q67" s="77">
        <f t="shared" si="8"/>
        <v>1230</v>
      </c>
      <c r="R67" s="77">
        <f t="shared" si="8"/>
        <v>1230</v>
      </c>
      <c r="S67" s="77">
        <f t="shared" si="8"/>
        <v>1230</v>
      </c>
      <c r="T67" s="77">
        <f t="shared" si="8"/>
        <v>1230</v>
      </c>
      <c r="U67" s="77">
        <f t="shared" si="8"/>
        <v>1230</v>
      </c>
      <c r="V67" s="77">
        <f t="shared" si="8"/>
        <v>1230</v>
      </c>
      <c r="W67" s="77">
        <f t="shared" si="8"/>
        <v>1230</v>
      </c>
      <c r="X67" s="77">
        <f t="shared" si="8"/>
        <v>1230</v>
      </c>
    </row>
    <row r="68" spans="2:24" x14ac:dyDescent="0.25">
      <c r="B68" s="95" t="s">
        <v>92</v>
      </c>
      <c r="C68" s="84">
        <f>C67*C48*C49</f>
        <v>64735</v>
      </c>
      <c r="D68" s="85">
        <f>D67*D48*D49</f>
        <v>27862.799999999999</v>
      </c>
      <c r="E68" s="85">
        <f t="shared" ref="E68:X68" si="9">E67*E48*E49</f>
        <v>27862.799999999999</v>
      </c>
      <c r="F68" s="85">
        <f t="shared" si="9"/>
        <v>51075.915000000001</v>
      </c>
      <c r="G68" s="85">
        <f t="shared" si="9"/>
        <v>43342.704000000005</v>
      </c>
      <c r="H68" s="85">
        <f t="shared" si="9"/>
        <v>26856.999999999996</v>
      </c>
      <c r="I68" s="85">
        <f t="shared" si="9"/>
        <v>11792.76</v>
      </c>
      <c r="J68" s="85">
        <f t="shared" si="9"/>
        <v>21795.199999999997</v>
      </c>
      <c r="K68" s="85">
        <f t="shared" si="9"/>
        <v>25637.16</v>
      </c>
      <c r="L68" s="85">
        <f>L67*L48*L49</f>
        <v>26856.999999999996</v>
      </c>
      <c r="M68" s="85">
        <f t="shared" si="9"/>
        <v>40415.826000000008</v>
      </c>
      <c r="N68" s="85">
        <f t="shared" si="9"/>
        <v>9899.4089999999997</v>
      </c>
      <c r="O68" s="85">
        <f t="shared" si="9"/>
        <v>10400.879999999999</v>
      </c>
      <c r="P68" s="85">
        <f t="shared" si="9"/>
        <v>10400.879999999999</v>
      </c>
      <c r="Q68" s="85">
        <f t="shared" si="9"/>
        <v>9750.8249999999989</v>
      </c>
      <c r="R68" s="85">
        <f t="shared" si="9"/>
        <v>4899.3360000000002</v>
      </c>
      <c r="S68" s="85">
        <f t="shared" si="9"/>
        <v>4899.3360000000002</v>
      </c>
      <c r="T68" s="85">
        <f t="shared" si="9"/>
        <v>11553.882</v>
      </c>
      <c r="U68" s="85">
        <f t="shared" si="9"/>
        <v>11685.737999999999</v>
      </c>
      <c r="V68" s="85">
        <f t="shared" si="9"/>
        <v>3486.0660000000003</v>
      </c>
      <c r="W68" s="85">
        <f t="shared" si="9"/>
        <v>3297.63</v>
      </c>
      <c r="X68" s="85">
        <f t="shared" si="9"/>
        <v>12270.48</v>
      </c>
    </row>
    <row r="69" spans="2:24" ht="15.75" thickBot="1" x14ac:dyDescent="0.3">
      <c r="B69" s="96" t="s">
        <v>93</v>
      </c>
      <c r="C69" s="86">
        <f>C64/(2*C67)</f>
        <v>9.3457943925233641E-2</v>
      </c>
      <c r="D69" s="87">
        <f>D64/(2*D67)</f>
        <v>9.3457943925233641E-2</v>
      </c>
      <c r="E69" s="87">
        <f t="shared" ref="E69:X69" si="10">E64/(2*E67)</f>
        <v>9.3457943925233641E-2</v>
      </c>
      <c r="F69" s="87">
        <f t="shared" si="10"/>
        <v>9.3457943925233641E-2</v>
      </c>
      <c r="G69" s="87">
        <f t="shared" si="10"/>
        <v>9.3457943925233641E-2</v>
      </c>
      <c r="H69" s="87">
        <f t="shared" si="10"/>
        <v>9.3457943925233641E-2</v>
      </c>
      <c r="I69" s="87">
        <f t="shared" si="10"/>
        <v>0.14388489208633093</v>
      </c>
      <c r="J69" s="87">
        <f t="shared" si="10"/>
        <v>0.14388489208633093</v>
      </c>
      <c r="K69" s="87">
        <f t="shared" si="10"/>
        <v>0.14388489208633093</v>
      </c>
      <c r="L69" s="87">
        <f t="shared" si="10"/>
        <v>9.3457943925233641E-2</v>
      </c>
      <c r="M69" s="87">
        <f t="shared" si="10"/>
        <v>9.3457943925233641E-2</v>
      </c>
      <c r="N69" s="87">
        <f t="shared" si="10"/>
        <v>0.12195121951219512</v>
      </c>
      <c r="O69" s="87">
        <f t="shared" si="10"/>
        <v>0.12195121951219512</v>
      </c>
      <c r="P69" s="87">
        <f t="shared" si="10"/>
        <v>0.12195121951219512</v>
      </c>
      <c r="Q69" s="87">
        <f t="shared" si="10"/>
        <v>0.12195121951219512</v>
      </c>
      <c r="R69" s="87">
        <f t="shared" si="10"/>
        <v>0.12195121951219512</v>
      </c>
      <c r="S69" s="87">
        <f t="shared" si="10"/>
        <v>0.12195121951219512</v>
      </c>
      <c r="T69" s="87">
        <f t="shared" si="10"/>
        <v>0.12195121951219512</v>
      </c>
      <c r="U69" s="87">
        <f t="shared" si="10"/>
        <v>0.12195121951219512</v>
      </c>
      <c r="V69" s="87">
        <f t="shared" si="10"/>
        <v>0.12195121951219512</v>
      </c>
      <c r="W69" s="87">
        <f t="shared" si="10"/>
        <v>0.12195121951219512</v>
      </c>
      <c r="X69" s="87">
        <f t="shared" si="10"/>
        <v>0.12195121951219512</v>
      </c>
    </row>
    <row r="70" spans="2:24" ht="15.75" thickBot="1" x14ac:dyDescent="0.3">
      <c r="B70" s="71" t="s">
        <v>96</v>
      </c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72"/>
      <c r="X70" s="72"/>
    </row>
    <row r="71" spans="2:24" x14ac:dyDescent="0.25">
      <c r="B71" s="93" t="s">
        <v>97</v>
      </c>
      <c r="C71" s="88">
        <f t="shared" ref="C71:X71" si="11">IF(C53&lt;=2,C68/C57*(1+C69*C61)*C56,IF(OR(C51=6,C51="5a",C51="3a"),C67*C48^2/17,(IF(OR(C51="2a",C51=4,C51="5b"),C67*C48^2/12,IF(OR(C51=1,C51="2b",C51="3b"),C67*C48^2/8)))))</f>
        <v>1586.6485900216919</v>
      </c>
      <c r="D71" s="88">
        <f t="shared" si="11"/>
        <v>683.8380530973451</v>
      </c>
      <c r="E71" s="88">
        <f t="shared" si="11"/>
        <v>683.8380530973451</v>
      </c>
      <c r="F71" s="88">
        <f t="shared" si="11"/>
        <v>1277.9146412556054</v>
      </c>
      <c r="G71" s="88">
        <f t="shared" si="11"/>
        <v>1012.68</v>
      </c>
      <c r="H71" s="88">
        <f t="shared" si="11"/>
        <v>581.70611439842196</v>
      </c>
      <c r="I71" s="88">
        <f t="shared" si="11"/>
        <v>345.24224000000004</v>
      </c>
      <c r="J71" s="88">
        <f t="shared" si="11"/>
        <v>160.25882352941176</v>
      </c>
      <c r="K71" s="88">
        <f t="shared" si="11"/>
        <v>687.64117647058822</v>
      </c>
      <c r="L71" s="88">
        <f t="shared" si="11"/>
        <v>581.70611439842196</v>
      </c>
      <c r="M71" s="88">
        <f t="shared" si="11"/>
        <v>944.29500000000007</v>
      </c>
      <c r="N71" s="88">
        <f t="shared" si="11"/>
        <v>233.71025</v>
      </c>
      <c r="O71" s="88">
        <f t="shared" si="11"/>
        <v>233.71025</v>
      </c>
      <c r="P71" s="88">
        <f t="shared" si="11"/>
        <v>233.71025</v>
      </c>
      <c r="Q71" s="88">
        <f t="shared" si="11"/>
        <v>233.71025</v>
      </c>
      <c r="R71" s="88">
        <f t="shared" si="11"/>
        <v>110.86400000000002</v>
      </c>
      <c r="S71" s="88">
        <f t="shared" si="11"/>
        <v>110.86400000000002</v>
      </c>
      <c r="T71" s="88">
        <f t="shared" si="11"/>
        <v>184.04900000000001</v>
      </c>
      <c r="U71" s="88">
        <f t="shared" si="11"/>
        <v>184.04900000000001</v>
      </c>
      <c r="V71" s="88">
        <f t="shared" si="11"/>
        <v>56.128999999999998</v>
      </c>
      <c r="W71" s="88">
        <f t="shared" si="11"/>
        <v>50.224999999999994</v>
      </c>
      <c r="X71" s="88">
        <f t="shared" si="11"/>
        <v>353.40510638297872</v>
      </c>
    </row>
    <row r="72" spans="2:24" x14ac:dyDescent="0.25">
      <c r="B72" s="94" t="s">
        <v>15</v>
      </c>
      <c r="C72" s="89">
        <f t="shared" ref="C72:X72" si="12">C71/(0.9*(0.9*($C$7/100))*($L$9*1000))</f>
        <v>3.2690677900198031</v>
      </c>
      <c r="D72" s="89">
        <f t="shared" si="12"/>
        <v>1.4089527870439287</v>
      </c>
      <c r="E72" s="89">
        <f t="shared" si="12"/>
        <v>1.4089527870439287</v>
      </c>
      <c r="F72" s="89">
        <f t="shared" si="12"/>
        <v>2.6329646138382143</v>
      </c>
      <c r="G72" s="89">
        <f t="shared" si="12"/>
        <v>2.0864856846165249</v>
      </c>
      <c r="H72" s="89">
        <f t="shared" si="12"/>
        <v>1.1985241935717208</v>
      </c>
      <c r="I72" s="89">
        <f t="shared" si="12"/>
        <v>0.71132341063805227</v>
      </c>
      <c r="J72" s="89">
        <f t="shared" si="12"/>
        <v>0.33019092025872299</v>
      </c>
      <c r="K72" s="89">
        <f t="shared" si="12"/>
        <v>1.4167885915182961</v>
      </c>
      <c r="L72" s="89">
        <f t="shared" si="12"/>
        <v>1.1985241935717208</v>
      </c>
      <c r="M72" s="89">
        <f t="shared" si="12"/>
        <v>1.9455879444197197</v>
      </c>
      <c r="N72" s="89">
        <f t="shared" si="12"/>
        <v>0.48152732449850816</v>
      </c>
      <c r="O72" s="89">
        <f t="shared" si="12"/>
        <v>0.48152732449850816</v>
      </c>
      <c r="P72" s="89">
        <f t="shared" si="12"/>
        <v>0.48152732449850816</v>
      </c>
      <c r="Q72" s="89">
        <f t="shared" si="12"/>
        <v>0.48152732449850816</v>
      </c>
      <c r="R72" s="89">
        <f t="shared" si="12"/>
        <v>0.22841978605218477</v>
      </c>
      <c r="S72" s="89">
        <f t="shared" si="12"/>
        <v>0.22841978605218477</v>
      </c>
      <c r="T72" s="89">
        <f t="shared" si="12"/>
        <v>0.37920725576488806</v>
      </c>
      <c r="U72" s="89">
        <f t="shared" si="12"/>
        <v>0.37920725576488806</v>
      </c>
      <c r="V72" s="89">
        <f t="shared" si="12"/>
        <v>0.11564596416621335</v>
      </c>
      <c r="W72" s="89">
        <f t="shared" si="12"/>
        <v>0.10348159686165913</v>
      </c>
      <c r="X72" s="89">
        <f t="shared" si="12"/>
        <v>0.72814185659681763</v>
      </c>
    </row>
    <row r="73" spans="2:24" x14ac:dyDescent="0.25">
      <c r="B73" s="94" t="s">
        <v>98</v>
      </c>
      <c r="C73" s="91">
        <f t="shared" ref="C73:X73" si="13">(C72*($L$9))/(0.85*$L$6*100)</f>
        <v>8.0689793202334242E-2</v>
      </c>
      <c r="D73" s="91">
        <f t="shared" si="13"/>
        <v>3.4776920003160412E-2</v>
      </c>
      <c r="E73" s="91">
        <f t="shared" si="13"/>
        <v>3.4776920003160412E-2</v>
      </c>
      <c r="F73" s="91">
        <f t="shared" si="13"/>
        <v>6.4988976627609898E-2</v>
      </c>
      <c r="G73" s="91">
        <f t="shared" si="13"/>
        <v>5.1500338697570508E-2</v>
      </c>
      <c r="H73" s="91">
        <f t="shared" si="13"/>
        <v>2.9582950106614561E-2</v>
      </c>
      <c r="I73" s="91">
        <f t="shared" si="13"/>
        <v>1.7557463653580529E-2</v>
      </c>
      <c r="J73" s="91">
        <f t="shared" si="13"/>
        <v>8.1500411690157686E-3</v>
      </c>
      <c r="K73" s="91">
        <f t="shared" si="13"/>
        <v>3.4970329709909501E-2</v>
      </c>
      <c r="L73" s="91">
        <f t="shared" si="13"/>
        <v>2.9582950106614561E-2</v>
      </c>
      <c r="M73" s="91">
        <f t="shared" si="13"/>
        <v>4.8022585940694348E-2</v>
      </c>
      <c r="N73" s="91">
        <f t="shared" si="13"/>
        <v>1.1885449532027768E-2</v>
      </c>
      <c r="O73" s="91">
        <f t="shared" si="13"/>
        <v>1.1885449532027768E-2</v>
      </c>
      <c r="P73" s="91">
        <f t="shared" si="13"/>
        <v>1.1885449532027768E-2</v>
      </c>
      <c r="Q73" s="91">
        <f t="shared" si="13"/>
        <v>1.1885449532027768E-2</v>
      </c>
      <c r="R73" s="91">
        <f t="shared" si="13"/>
        <v>5.6380431620723804E-3</v>
      </c>
      <c r="S73" s="91">
        <f t="shared" si="13"/>
        <v>5.6380431620723804E-3</v>
      </c>
      <c r="T73" s="91">
        <f t="shared" si="13"/>
        <v>9.3599022760883551E-3</v>
      </c>
      <c r="U73" s="91">
        <f t="shared" si="13"/>
        <v>9.3599022760883551E-3</v>
      </c>
      <c r="V73" s="91">
        <f t="shared" si="13"/>
        <v>2.8544678583125329E-3</v>
      </c>
      <c r="W73" s="91">
        <f t="shared" si="13"/>
        <v>2.5542170390305714E-3</v>
      </c>
      <c r="X73" s="91">
        <f t="shared" si="13"/>
        <v>1.7972590232032178E-2</v>
      </c>
    </row>
    <row r="74" spans="2:24" ht="15.75" thickBot="1" x14ac:dyDescent="0.3">
      <c r="B74" s="94" t="s">
        <v>15</v>
      </c>
      <c r="C74" s="76">
        <f t="shared" ref="C74:X74" si="14">ROUNDUP(C71/(0.9*(($C$7-C73/2)/100)*($L$9*1000)),2)</f>
        <v>2.96</v>
      </c>
      <c r="D74" s="76">
        <f t="shared" si="14"/>
        <v>1.27</v>
      </c>
      <c r="E74" s="76">
        <f t="shared" si="14"/>
        <v>1.27</v>
      </c>
      <c r="F74" s="76">
        <f t="shared" si="14"/>
        <v>2.38</v>
      </c>
      <c r="G74" s="76">
        <f t="shared" si="14"/>
        <v>1.89</v>
      </c>
      <c r="H74" s="76">
        <f t="shared" si="14"/>
        <v>1.08</v>
      </c>
      <c r="I74" s="76">
        <f t="shared" si="14"/>
        <v>0.65</v>
      </c>
      <c r="J74" s="76">
        <f t="shared" si="14"/>
        <v>0.3</v>
      </c>
      <c r="K74" s="76">
        <f t="shared" si="14"/>
        <v>1.28</v>
      </c>
      <c r="L74" s="76">
        <f t="shared" si="14"/>
        <v>1.08</v>
      </c>
      <c r="M74" s="76">
        <f t="shared" si="14"/>
        <v>1.76</v>
      </c>
      <c r="N74" s="76">
        <f t="shared" si="14"/>
        <v>0.44</v>
      </c>
      <c r="O74" s="76">
        <f t="shared" si="14"/>
        <v>0.44</v>
      </c>
      <c r="P74" s="76">
        <f t="shared" si="14"/>
        <v>0.44</v>
      </c>
      <c r="Q74" s="76">
        <f t="shared" si="14"/>
        <v>0.44</v>
      </c>
      <c r="R74" s="76">
        <f t="shared" si="14"/>
        <v>0.21000000000000002</v>
      </c>
      <c r="S74" s="76">
        <f t="shared" si="14"/>
        <v>0.21000000000000002</v>
      </c>
      <c r="T74" s="76">
        <f t="shared" si="14"/>
        <v>0.35000000000000003</v>
      </c>
      <c r="U74" s="76">
        <f t="shared" si="14"/>
        <v>0.35000000000000003</v>
      </c>
      <c r="V74" s="76">
        <f t="shared" si="14"/>
        <v>0.11</v>
      </c>
      <c r="W74" s="76">
        <f t="shared" si="14"/>
        <v>9.9999999999999992E-2</v>
      </c>
      <c r="X74" s="76">
        <f t="shared" si="14"/>
        <v>0.66</v>
      </c>
    </row>
    <row r="75" spans="2:24" ht="16.5" thickBot="1" x14ac:dyDescent="0.3">
      <c r="B75" s="61" t="s">
        <v>100</v>
      </c>
      <c r="C75" s="192" t="str">
        <f>IF(C74&gt;$C$12,"$\phi"&amp;IF(VLOOKUP(VLOOKUP(C74,tablas!$S$3:$U$66,2,TRUE)&amp;VLOOKUP(C74,tablas!$S$3:$U$66,3,TRUE),tablas!$R$3:$S$66,2,FALSE)&lt;C74,VLOOKUP(C74+0.1,tablas!$S$3:$U$66,2,TRUE),VLOOKUP(C74,tablas!$S$3:$U$66,2,TRUE))&amp;"@"&amp;IF(VLOOKUP(VLOOKUP(C74,tablas!$S$3:$U$66,2,TRUE)&amp;VLOOKUP(C74,tablas!$S$3:$U$66,3,TRUE),tablas!$R$3:$S$66,2,FALSE)&lt;C74,VLOOKUP(C74+0.1,tablas!$S$3:$U$66,3,TRUE),VLOOKUP(C74,tablas!$S$3:$U$66,3,TRUE))&amp;"$",$C$13)</f>
        <v>$\phi8@17$</v>
      </c>
      <c r="D75" s="192" t="str">
        <f>IF(D74&gt;$C$12,"$\phi"&amp;IF(VLOOKUP(VLOOKUP(D74,tablas!$S$3:$U$66,2,TRUE)&amp;VLOOKUP(D74,tablas!$S$3:$U$66,3,TRUE),tablas!$R$3:$S$66,2,FALSE)&lt;D74,VLOOKUP(D74+0.1,tablas!$S$3:$U$66,2,TRUE),VLOOKUP(D74,tablas!$S$3:$U$66,2,TRUE))&amp;"@"&amp;IF(VLOOKUP(VLOOKUP(D74,tablas!$S$3:$U$66,2,TRUE)&amp;VLOOKUP(D74,tablas!$S$3:$U$66,3,TRUE),tablas!$R$3:$S$66,2,FALSE)&lt;D74,VLOOKUP(D74+0.1,tablas!$S$3:$U$66,3,TRUE),VLOOKUP(D74,tablas!$S$3:$U$66,3,TRUE))&amp;"$",$C$13)</f>
        <v>$\phi8@17$</v>
      </c>
      <c r="E75" s="192" t="str">
        <f>IF(E74&gt;$C$12,"$\phi"&amp;IF(VLOOKUP(VLOOKUP(E74,tablas!$S$3:$U$66,2,TRUE)&amp;VLOOKUP(E74,tablas!$S$3:$U$66,3,TRUE),tablas!$R$3:$S$66,2,FALSE)&lt;E74,VLOOKUP(E74+0.1,tablas!$S$3:$U$66,2,TRUE),VLOOKUP(E74,tablas!$S$3:$U$66,2,TRUE))&amp;"@"&amp;IF(VLOOKUP(VLOOKUP(E74,tablas!$S$3:$U$66,2,TRUE)&amp;VLOOKUP(E74,tablas!$S$3:$U$66,3,TRUE),tablas!$R$3:$S$66,2,FALSE)&lt;E74,VLOOKUP(E74+0.1,tablas!$S$3:$U$66,3,TRUE),VLOOKUP(E74,tablas!$S$3:$U$66,3,TRUE))&amp;"$",$C$13)</f>
        <v>$\phi8@17$</v>
      </c>
      <c r="F75" s="192" t="str">
        <f>IF(F74&gt;$C$12,"$\phi"&amp;IF(VLOOKUP(VLOOKUP(F74,tablas!$S$3:$U$66,2,TRUE)&amp;VLOOKUP(F74,tablas!$S$3:$U$66,3,TRUE),tablas!$R$3:$S$66,2,FALSE)&lt;F74,VLOOKUP(F74+0.1,tablas!$S$3:$U$66,2,TRUE),VLOOKUP(F74,tablas!$S$3:$U$66,2,TRUE))&amp;"@"&amp;IF(VLOOKUP(VLOOKUP(F74,tablas!$S$3:$U$66,2,TRUE)&amp;VLOOKUP(F74,tablas!$S$3:$U$66,3,TRUE),tablas!$R$3:$S$66,2,FALSE)&lt;F74,VLOOKUP(F74+0.1,tablas!$S$3:$U$66,3,TRUE),VLOOKUP(F74,tablas!$S$3:$U$66,3,TRUE))&amp;"$",$C$13)</f>
        <v>$\phi8@17$</v>
      </c>
      <c r="G75" s="192" t="str">
        <f>IF(G74&gt;$C$12,"$\phi"&amp;IF(VLOOKUP(VLOOKUP(G74,tablas!$S$3:$U$66,2,TRUE)&amp;VLOOKUP(G74,tablas!$S$3:$U$66,3,TRUE),tablas!$R$3:$S$66,2,FALSE)&lt;G74,VLOOKUP(G74+0.1,tablas!$S$3:$U$66,2,TRUE),VLOOKUP(G74,tablas!$S$3:$U$66,2,TRUE))&amp;"@"&amp;IF(VLOOKUP(VLOOKUP(G74,tablas!$S$3:$U$66,2,TRUE)&amp;VLOOKUP(G74,tablas!$S$3:$U$66,3,TRUE),tablas!$R$3:$S$66,2,FALSE)&lt;G74,VLOOKUP(G74+0.1,tablas!$S$3:$U$66,3,TRUE),VLOOKUP(G74,tablas!$S$3:$U$66,3,TRUE))&amp;"$",$C$13)</f>
        <v>$\phi8@17$</v>
      </c>
      <c r="H75" s="192" t="str">
        <f>IF(H74&gt;$C$12,"$\phi"&amp;IF(VLOOKUP(VLOOKUP(H74,tablas!$S$3:$U$66,2,TRUE)&amp;VLOOKUP(H74,tablas!$S$3:$U$66,3,TRUE),tablas!$R$3:$S$66,2,FALSE)&lt;H74,VLOOKUP(H74+0.1,tablas!$S$3:$U$66,2,TRUE),VLOOKUP(H74,tablas!$S$3:$U$66,2,TRUE))&amp;"@"&amp;IF(VLOOKUP(VLOOKUP(H74,tablas!$S$3:$U$66,2,TRUE)&amp;VLOOKUP(H74,tablas!$S$3:$U$66,3,TRUE),tablas!$R$3:$S$66,2,FALSE)&lt;H74,VLOOKUP(H74+0.1,tablas!$S$3:$U$66,3,TRUE),VLOOKUP(H74,tablas!$S$3:$U$66,3,TRUE))&amp;"$",$C$13)</f>
        <v>$\phi8@17$</v>
      </c>
      <c r="I75" s="192" t="str">
        <f>IF(I74&gt;$C$12,"$\phi"&amp;IF(VLOOKUP(VLOOKUP(I74,tablas!$S$3:$U$66,2,TRUE)&amp;VLOOKUP(I74,tablas!$S$3:$U$66,3,TRUE),tablas!$R$3:$S$66,2,FALSE)&lt;I74,VLOOKUP(I74+0.1,tablas!$S$3:$U$66,2,TRUE),VLOOKUP(I74,tablas!$S$3:$U$66,2,TRUE))&amp;"@"&amp;IF(VLOOKUP(VLOOKUP(I74,tablas!$S$3:$U$66,2,TRUE)&amp;VLOOKUP(I74,tablas!$S$3:$U$66,3,TRUE),tablas!$R$3:$S$66,2,FALSE)&lt;I74,VLOOKUP(I74+0.1,tablas!$S$3:$U$66,3,TRUE),VLOOKUP(I74,tablas!$S$3:$U$66,3,TRUE))&amp;"$",$C$13)</f>
        <v>$\phi8@17$</v>
      </c>
      <c r="J75" s="192" t="str">
        <f>IF(J74&gt;$C$12,"$\phi"&amp;IF(VLOOKUP(VLOOKUP(J74,tablas!$S$3:$U$66,2,TRUE)&amp;VLOOKUP(J74,tablas!$S$3:$U$66,3,TRUE),tablas!$R$3:$S$66,2,FALSE)&lt;J74,VLOOKUP(J74+0.1,tablas!$S$3:$U$66,2,TRUE),VLOOKUP(J74,tablas!$S$3:$U$66,2,TRUE))&amp;"@"&amp;IF(VLOOKUP(VLOOKUP(J74,tablas!$S$3:$U$66,2,TRUE)&amp;VLOOKUP(J74,tablas!$S$3:$U$66,3,TRUE),tablas!$R$3:$S$66,2,FALSE)&lt;J74,VLOOKUP(J74+0.1,tablas!$S$3:$U$66,3,TRUE),VLOOKUP(J74,tablas!$S$3:$U$66,3,TRUE))&amp;"$",$C$13)</f>
        <v>$\phi8@17$</v>
      </c>
      <c r="K75" s="192" t="str">
        <f>IF(K74&gt;$C$12,"$\phi"&amp;IF(VLOOKUP(VLOOKUP(K74,tablas!$S$3:$U$66,2,TRUE)&amp;VLOOKUP(K74,tablas!$S$3:$U$66,3,TRUE),tablas!$R$3:$S$66,2,FALSE)&lt;K74,VLOOKUP(K74+0.1,tablas!$S$3:$U$66,2,TRUE),VLOOKUP(K74,tablas!$S$3:$U$66,2,TRUE))&amp;"@"&amp;IF(VLOOKUP(VLOOKUP(K74,tablas!$S$3:$U$66,2,TRUE)&amp;VLOOKUP(K74,tablas!$S$3:$U$66,3,TRUE),tablas!$R$3:$S$66,2,FALSE)&lt;K74,VLOOKUP(K74+0.1,tablas!$S$3:$U$66,3,TRUE),VLOOKUP(K74,tablas!$S$3:$U$66,3,TRUE))&amp;"$",$C$13)</f>
        <v>$\phi8@17$</v>
      </c>
      <c r="L75" s="192" t="str">
        <f>IF(L74&gt;$C$12,"$\phi"&amp;IF(VLOOKUP(VLOOKUP(L74,tablas!$S$3:$U$66,2,TRUE)&amp;VLOOKUP(L74,tablas!$S$3:$U$66,3,TRUE),tablas!$R$3:$S$66,2,FALSE)&lt;L74,VLOOKUP(L74+0.1,tablas!$S$3:$U$66,2,TRUE),VLOOKUP(L74,tablas!$S$3:$U$66,2,TRUE))&amp;"@"&amp;IF(VLOOKUP(VLOOKUP(L74,tablas!$S$3:$U$66,2,TRUE)&amp;VLOOKUP(L74,tablas!$S$3:$U$66,3,TRUE),tablas!$R$3:$S$66,2,FALSE)&lt;L74,VLOOKUP(L74+0.1,tablas!$S$3:$U$66,3,TRUE),VLOOKUP(L74,tablas!$S$3:$U$66,3,TRUE))&amp;"$",$C$13)</f>
        <v>$\phi8@17$</v>
      </c>
      <c r="M75" s="192" t="str">
        <f>IF(M74&gt;$C$12,"$\phi"&amp;IF(VLOOKUP(VLOOKUP(M74,tablas!$S$3:$U$66,2,TRUE)&amp;VLOOKUP(M74,tablas!$S$3:$U$66,3,TRUE),tablas!$R$3:$S$66,2,FALSE)&lt;M74,VLOOKUP(M74+0.1,tablas!$S$3:$U$66,2,TRUE),VLOOKUP(M74,tablas!$S$3:$U$66,2,TRUE))&amp;"@"&amp;IF(VLOOKUP(VLOOKUP(M74,tablas!$S$3:$U$66,2,TRUE)&amp;VLOOKUP(M74,tablas!$S$3:$U$66,3,TRUE),tablas!$R$3:$S$66,2,FALSE)&lt;M74,VLOOKUP(M74+0.1,tablas!$S$3:$U$66,3,TRUE),VLOOKUP(M74,tablas!$S$3:$U$66,3,TRUE))&amp;"$",$C$13)</f>
        <v>$\phi8@17$</v>
      </c>
      <c r="N75" s="192" t="str">
        <f>IF(N74&gt;$C$12,"$\phi"&amp;IF(VLOOKUP(VLOOKUP(N74,tablas!$S$3:$U$66,2,TRUE)&amp;VLOOKUP(N74,tablas!$S$3:$U$66,3,TRUE),tablas!$R$3:$S$66,2,FALSE)&lt;N74,VLOOKUP(N74+0.1,tablas!$S$3:$U$66,2,TRUE),VLOOKUP(N74,tablas!$S$3:$U$66,2,TRUE))&amp;"@"&amp;IF(VLOOKUP(VLOOKUP(N74,tablas!$S$3:$U$66,2,TRUE)&amp;VLOOKUP(N74,tablas!$S$3:$U$66,3,TRUE),tablas!$R$3:$S$66,2,FALSE)&lt;N74,VLOOKUP(N74+0.1,tablas!$S$3:$U$66,3,TRUE),VLOOKUP(N74,tablas!$S$3:$U$66,3,TRUE))&amp;"$",$C$13)</f>
        <v>$\phi8@17$</v>
      </c>
      <c r="O75" s="192" t="str">
        <f>IF(O74&gt;$C$12,"$\phi"&amp;IF(VLOOKUP(VLOOKUP(O74,tablas!$S$3:$U$66,2,TRUE)&amp;VLOOKUP(O74,tablas!$S$3:$U$66,3,TRUE),tablas!$R$3:$S$66,2,FALSE)&lt;O74,VLOOKUP(O74+0.1,tablas!$S$3:$U$66,2,TRUE),VLOOKUP(O74,tablas!$S$3:$U$66,2,TRUE))&amp;"@"&amp;IF(VLOOKUP(VLOOKUP(O74,tablas!$S$3:$U$66,2,TRUE)&amp;VLOOKUP(O74,tablas!$S$3:$U$66,3,TRUE),tablas!$R$3:$S$66,2,FALSE)&lt;O74,VLOOKUP(O74+0.1,tablas!$S$3:$U$66,3,TRUE),VLOOKUP(O74,tablas!$S$3:$U$66,3,TRUE))&amp;"$",$C$13)</f>
        <v>$\phi8@17$</v>
      </c>
      <c r="P75" s="192" t="str">
        <f>IF(P74&gt;$C$12,"$\phi"&amp;IF(VLOOKUP(VLOOKUP(P74,tablas!$S$3:$U$66,2,TRUE)&amp;VLOOKUP(P74,tablas!$S$3:$U$66,3,TRUE),tablas!$R$3:$S$66,2,FALSE)&lt;P74,VLOOKUP(P74+0.1,tablas!$S$3:$U$66,2,TRUE),VLOOKUP(P74,tablas!$S$3:$U$66,2,TRUE))&amp;"@"&amp;IF(VLOOKUP(VLOOKUP(P74,tablas!$S$3:$U$66,2,TRUE)&amp;VLOOKUP(P74,tablas!$S$3:$U$66,3,TRUE),tablas!$R$3:$S$66,2,FALSE)&lt;P74,VLOOKUP(P74+0.1,tablas!$S$3:$U$66,3,TRUE),VLOOKUP(P74,tablas!$S$3:$U$66,3,TRUE))&amp;"$",$C$13)</f>
        <v>$\phi8@17$</v>
      </c>
      <c r="Q75" s="192" t="str">
        <f>IF(Q74&gt;$C$12,"$\phi"&amp;IF(VLOOKUP(VLOOKUP(Q74,tablas!$S$3:$U$66,2,TRUE)&amp;VLOOKUP(Q74,tablas!$S$3:$U$66,3,TRUE),tablas!$R$3:$S$66,2,FALSE)&lt;Q74,VLOOKUP(Q74+0.1,tablas!$S$3:$U$66,2,TRUE),VLOOKUP(Q74,tablas!$S$3:$U$66,2,TRUE))&amp;"@"&amp;IF(VLOOKUP(VLOOKUP(Q74,tablas!$S$3:$U$66,2,TRUE)&amp;VLOOKUP(Q74,tablas!$S$3:$U$66,3,TRUE),tablas!$R$3:$S$66,2,FALSE)&lt;Q74,VLOOKUP(Q74+0.1,tablas!$S$3:$U$66,3,TRUE),VLOOKUP(Q74,tablas!$S$3:$U$66,3,TRUE))&amp;"$",$C$13)</f>
        <v>$\phi8@17$</v>
      </c>
      <c r="R75" s="192" t="str">
        <f>IF(R74&gt;$C$12,"$\phi"&amp;IF(VLOOKUP(VLOOKUP(R74,tablas!$S$3:$U$66,2,TRUE)&amp;VLOOKUP(R74,tablas!$S$3:$U$66,3,TRUE),tablas!$R$3:$S$66,2,FALSE)&lt;R74,VLOOKUP(R74+0.1,tablas!$S$3:$U$66,2,TRUE),VLOOKUP(R74,tablas!$S$3:$U$66,2,TRUE))&amp;"@"&amp;IF(VLOOKUP(VLOOKUP(R74,tablas!$S$3:$U$66,2,TRUE)&amp;VLOOKUP(R74,tablas!$S$3:$U$66,3,TRUE),tablas!$R$3:$S$66,2,FALSE)&lt;R74,VLOOKUP(R74+0.1,tablas!$S$3:$U$66,3,TRUE),VLOOKUP(R74,tablas!$S$3:$U$66,3,TRUE))&amp;"$",$C$13)</f>
        <v>$\phi8@17$</v>
      </c>
      <c r="S75" s="192" t="str">
        <f>IF(S74&gt;$C$12,"$\phi"&amp;IF(VLOOKUP(VLOOKUP(S74,tablas!$S$3:$U$66,2,TRUE)&amp;VLOOKUP(S74,tablas!$S$3:$U$66,3,TRUE),tablas!$R$3:$S$66,2,FALSE)&lt;S74,VLOOKUP(S74+0.1,tablas!$S$3:$U$66,2,TRUE),VLOOKUP(S74,tablas!$S$3:$U$66,2,TRUE))&amp;"@"&amp;IF(VLOOKUP(VLOOKUP(S74,tablas!$S$3:$U$66,2,TRUE)&amp;VLOOKUP(S74,tablas!$S$3:$U$66,3,TRUE),tablas!$R$3:$S$66,2,FALSE)&lt;S74,VLOOKUP(S74+0.1,tablas!$S$3:$U$66,3,TRUE),VLOOKUP(S74,tablas!$S$3:$U$66,3,TRUE))&amp;"$",$C$13)</f>
        <v>$\phi8@17$</v>
      </c>
      <c r="T75" s="192" t="str">
        <f>IF(T74&gt;$C$12,"$\phi"&amp;IF(VLOOKUP(VLOOKUP(T74,tablas!$S$3:$U$66,2,TRUE)&amp;VLOOKUP(T74,tablas!$S$3:$U$66,3,TRUE),tablas!$R$3:$S$66,2,FALSE)&lt;T74,VLOOKUP(T74+0.1,tablas!$S$3:$U$66,2,TRUE),VLOOKUP(T74,tablas!$S$3:$U$66,2,TRUE))&amp;"@"&amp;IF(VLOOKUP(VLOOKUP(T74,tablas!$S$3:$U$66,2,TRUE)&amp;VLOOKUP(T74,tablas!$S$3:$U$66,3,TRUE),tablas!$R$3:$S$66,2,FALSE)&lt;T74,VLOOKUP(T74+0.1,tablas!$S$3:$U$66,3,TRUE),VLOOKUP(T74,tablas!$S$3:$U$66,3,TRUE))&amp;"$",$C$13)</f>
        <v>$\phi8@17$</v>
      </c>
      <c r="U75" s="192" t="str">
        <f>IF(U74&gt;$C$12,"$\phi"&amp;IF(VLOOKUP(VLOOKUP(U74,tablas!$S$3:$U$66,2,TRUE)&amp;VLOOKUP(U74,tablas!$S$3:$U$66,3,TRUE),tablas!$R$3:$S$66,2,FALSE)&lt;U74,VLOOKUP(U74+0.1,tablas!$S$3:$U$66,2,TRUE),VLOOKUP(U74,tablas!$S$3:$U$66,2,TRUE))&amp;"@"&amp;IF(VLOOKUP(VLOOKUP(U74,tablas!$S$3:$U$66,2,TRUE)&amp;VLOOKUP(U74,tablas!$S$3:$U$66,3,TRUE),tablas!$R$3:$S$66,2,FALSE)&lt;U74,VLOOKUP(U74+0.1,tablas!$S$3:$U$66,3,TRUE),VLOOKUP(U74,tablas!$S$3:$U$66,3,TRUE))&amp;"$",$C$13)</f>
        <v>$\phi8@17$</v>
      </c>
      <c r="V75" s="192" t="str">
        <f>IF(V74&gt;$C$12,"$\phi"&amp;IF(VLOOKUP(VLOOKUP(V74,tablas!$S$3:$U$66,2,TRUE)&amp;VLOOKUP(V74,tablas!$S$3:$U$66,3,TRUE),tablas!$R$3:$S$66,2,FALSE)&lt;V74,VLOOKUP(V74+0.1,tablas!$S$3:$U$66,2,TRUE),VLOOKUP(V74,tablas!$S$3:$U$66,2,TRUE))&amp;"@"&amp;IF(VLOOKUP(VLOOKUP(V74,tablas!$S$3:$U$66,2,TRUE)&amp;VLOOKUP(V74,tablas!$S$3:$U$66,3,TRUE),tablas!$R$3:$S$66,2,FALSE)&lt;V74,VLOOKUP(V74+0.1,tablas!$S$3:$U$66,3,TRUE),VLOOKUP(V74,tablas!$S$3:$U$66,3,TRUE))&amp;"$",$C$13)</f>
        <v>$\phi8@17$</v>
      </c>
      <c r="W75" s="192" t="str">
        <f>IF(W74&gt;$C$12,"$\phi"&amp;IF(VLOOKUP(VLOOKUP(W74,tablas!$S$3:$U$66,2,TRUE)&amp;VLOOKUP(W74,tablas!$S$3:$U$66,3,TRUE),tablas!$R$3:$S$66,2,FALSE)&lt;W74,VLOOKUP(W74+0.1,tablas!$S$3:$U$66,2,TRUE),VLOOKUP(W74,tablas!$S$3:$U$66,2,TRUE))&amp;"@"&amp;IF(VLOOKUP(VLOOKUP(W74,tablas!$S$3:$U$66,2,TRUE)&amp;VLOOKUP(W74,tablas!$S$3:$U$66,3,TRUE),tablas!$R$3:$S$66,2,FALSE)&lt;W74,VLOOKUP(W74+0.1,tablas!$S$3:$U$66,3,TRUE),VLOOKUP(W74,tablas!$S$3:$U$66,3,TRUE))&amp;"$",$C$13)</f>
        <v>$\phi8@17$</v>
      </c>
      <c r="X75" s="192" t="str">
        <f>IF(X74&gt;$C$12,"$\phi"&amp;IF(VLOOKUP(VLOOKUP(X74,tablas!$S$3:$U$66,2,TRUE)&amp;VLOOKUP(X74,tablas!$S$3:$U$66,3,TRUE),tablas!$R$3:$S$66,2,FALSE)&lt;X74,VLOOKUP(X74+0.1,tablas!$S$3:$U$66,2,TRUE),VLOOKUP(X74,tablas!$S$3:$U$66,2,TRUE))&amp;"@"&amp;IF(VLOOKUP(VLOOKUP(X74,tablas!$S$3:$U$66,2,TRUE)&amp;VLOOKUP(X74,tablas!$S$3:$U$66,3,TRUE),tablas!$R$3:$S$66,2,FALSE)&lt;X74,VLOOKUP(X74+0.1,tablas!$S$3:$U$66,3,TRUE),VLOOKUP(X74,tablas!$S$3:$U$66,3,TRUE))&amp;"$",$C$13)</f>
        <v>$\phi8@17$</v>
      </c>
    </row>
    <row r="76" spans="2:24" x14ac:dyDescent="0.25">
      <c r="B76" s="93" t="s">
        <v>102</v>
      </c>
      <c r="C76" s="88">
        <f t="shared" ref="C76:X76" si="15">IF(C53&lt;=2,C68/C58*(1+C69*C62)*C56,"0")</f>
        <v>448.73926380368096</v>
      </c>
      <c r="D76" s="88">
        <f t="shared" si="15"/>
        <v>323.32092050209206</v>
      </c>
      <c r="E76" s="88">
        <f t="shared" si="15"/>
        <v>323.32092050209206</v>
      </c>
      <c r="F76" s="88">
        <f t="shared" si="15"/>
        <v>488.8078301886793</v>
      </c>
      <c r="G76" s="88">
        <f t="shared" si="15"/>
        <v>605.81110266159703</v>
      </c>
      <c r="H76" s="88">
        <f t="shared" si="15"/>
        <v>444.8340874811463</v>
      </c>
      <c r="I76" s="88">
        <f t="shared" si="15"/>
        <v>62.244</v>
      </c>
      <c r="J76" s="88" t="str">
        <f t="shared" si="15"/>
        <v>0</v>
      </c>
      <c r="K76" s="88" t="str">
        <f t="shared" si="15"/>
        <v>0</v>
      </c>
      <c r="L76" s="88">
        <f t="shared" si="15"/>
        <v>444.8340874811463</v>
      </c>
      <c r="M76" s="88">
        <f t="shared" si="15"/>
        <v>564.9014448669202</v>
      </c>
      <c r="N76" s="88" t="str">
        <f t="shared" si="15"/>
        <v>0</v>
      </c>
      <c r="O76" s="88" t="str">
        <f t="shared" si="15"/>
        <v>0</v>
      </c>
      <c r="P76" s="88" t="str">
        <f t="shared" si="15"/>
        <v>0</v>
      </c>
      <c r="Q76" s="88" t="str">
        <f t="shared" si="15"/>
        <v>0</v>
      </c>
      <c r="R76" s="88" t="str">
        <f t="shared" si="15"/>
        <v>0</v>
      </c>
      <c r="S76" s="88" t="str">
        <f t="shared" si="15"/>
        <v>0</v>
      </c>
      <c r="T76" s="88" t="str">
        <f t="shared" si="15"/>
        <v>0</v>
      </c>
      <c r="U76" s="88" t="str">
        <f t="shared" si="15"/>
        <v>0</v>
      </c>
      <c r="V76" s="88" t="str">
        <f t="shared" si="15"/>
        <v>0</v>
      </c>
      <c r="W76" s="88" t="str">
        <f t="shared" si="15"/>
        <v>0</v>
      </c>
      <c r="X76" s="88">
        <f t="shared" si="15"/>
        <v>90.621146853146854</v>
      </c>
    </row>
    <row r="77" spans="2:24" x14ac:dyDescent="0.25">
      <c r="B77" s="94" t="s">
        <v>15</v>
      </c>
      <c r="C77" s="84">
        <f t="shared" ref="C77:X77" si="16">C76/(0.9*(0.9*($C$7/100))*($L$9*1000))</f>
        <v>0.92456457128780933</v>
      </c>
      <c r="D77" s="84">
        <f t="shared" si="16"/>
        <v>0.66615759387432616</v>
      </c>
      <c r="E77" s="84">
        <f t="shared" si="16"/>
        <v>0.66615759387432616</v>
      </c>
      <c r="F77" s="84">
        <f t="shared" si="16"/>
        <v>1.0071202553789398</v>
      </c>
      <c r="G77" s="84">
        <f t="shared" si="16"/>
        <v>1.2481891548022814</v>
      </c>
      <c r="H77" s="84">
        <f t="shared" si="16"/>
        <v>0.91651850096661014</v>
      </c>
      <c r="I77" s="84">
        <f t="shared" si="16"/>
        <v>0.12824506749740391</v>
      </c>
      <c r="J77" s="84">
        <f t="shared" si="16"/>
        <v>0</v>
      </c>
      <c r="K77" s="84">
        <f t="shared" si="16"/>
        <v>0</v>
      </c>
      <c r="L77" s="84">
        <f t="shared" si="16"/>
        <v>0.91651850096661014</v>
      </c>
      <c r="M77" s="84">
        <f t="shared" si="16"/>
        <v>1.1639005193486789</v>
      </c>
      <c r="N77" s="84">
        <f t="shared" si="16"/>
        <v>0</v>
      </c>
      <c r="O77" s="84">
        <f t="shared" si="16"/>
        <v>0</v>
      </c>
      <c r="P77" s="84">
        <f t="shared" si="16"/>
        <v>0</v>
      </c>
      <c r="Q77" s="84">
        <f t="shared" si="16"/>
        <v>0</v>
      </c>
      <c r="R77" s="84">
        <f t="shared" si="16"/>
        <v>0</v>
      </c>
      <c r="S77" s="84">
        <f t="shared" si="16"/>
        <v>0</v>
      </c>
      <c r="T77" s="84">
        <f t="shared" si="16"/>
        <v>0</v>
      </c>
      <c r="U77" s="84">
        <f t="shared" si="16"/>
        <v>0</v>
      </c>
      <c r="V77" s="84">
        <f t="shared" si="16"/>
        <v>0</v>
      </c>
      <c r="W77" s="84">
        <f t="shared" si="16"/>
        <v>0</v>
      </c>
      <c r="X77" s="84">
        <f t="shared" si="16"/>
        <v>0.18671221474959787</v>
      </c>
    </row>
    <row r="78" spans="2:24" x14ac:dyDescent="0.25">
      <c r="B78" s="94" t="s">
        <v>98</v>
      </c>
      <c r="C78" s="84">
        <f t="shared" ref="C78:X78" si="17">(C77*($L$9))/(0.85*$L$6*100)</f>
        <v>2.282085562348226E-2</v>
      </c>
      <c r="D78" s="84">
        <f t="shared" si="17"/>
        <v>1.6442644185594671E-2</v>
      </c>
      <c r="E78" s="84">
        <f t="shared" si="17"/>
        <v>1.6442644185594671E-2</v>
      </c>
      <c r="F78" s="84">
        <f t="shared" si="17"/>
        <v>2.4858562243494014E-2</v>
      </c>
      <c r="G78" s="84">
        <f t="shared" si="17"/>
        <v>3.080882112199403E-2</v>
      </c>
      <c r="H78" s="84">
        <f t="shared" si="17"/>
        <v>2.2622255963881725E-2</v>
      </c>
      <c r="I78" s="84">
        <f t="shared" si="17"/>
        <v>3.1654491862104311E-3</v>
      </c>
      <c r="J78" s="84">
        <f t="shared" si="17"/>
        <v>0</v>
      </c>
      <c r="K78" s="84">
        <f t="shared" si="17"/>
        <v>0</v>
      </c>
      <c r="L78" s="84">
        <f t="shared" si="17"/>
        <v>2.2622255963881725E-2</v>
      </c>
      <c r="M78" s="84">
        <f t="shared" si="17"/>
        <v>2.8728340385307645E-2</v>
      </c>
      <c r="N78" s="84">
        <f t="shared" si="17"/>
        <v>0</v>
      </c>
      <c r="O78" s="84">
        <f t="shared" si="17"/>
        <v>0</v>
      </c>
      <c r="P78" s="84">
        <f t="shared" si="17"/>
        <v>0</v>
      </c>
      <c r="Q78" s="84">
        <f t="shared" si="17"/>
        <v>0</v>
      </c>
      <c r="R78" s="84">
        <f t="shared" si="17"/>
        <v>0</v>
      </c>
      <c r="S78" s="84">
        <f t="shared" si="17"/>
        <v>0</v>
      </c>
      <c r="T78" s="84">
        <f t="shared" si="17"/>
        <v>0</v>
      </c>
      <c r="U78" s="84">
        <f t="shared" si="17"/>
        <v>0</v>
      </c>
      <c r="V78" s="84">
        <f t="shared" si="17"/>
        <v>0</v>
      </c>
      <c r="W78" s="84">
        <f t="shared" si="17"/>
        <v>0</v>
      </c>
      <c r="X78" s="84">
        <f t="shared" si="17"/>
        <v>4.6085829246152185E-3</v>
      </c>
    </row>
    <row r="79" spans="2:24" ht="15.75" thickBot="1" x14ac:dyDescent="0.3">
      <c r="B79" s="94" t="s">
        <v>15</v>
      </c>
      <c r="C79" s="76">
        <f t="shared" ref="C79:X79" si="18">ROUNDUP(C76/(0.9*(($C$7-C78/2)/100)*($L$9*1000)),2)</f>
        <v>0.84</v>
      </c>
      <c r="D79" s="76">
        <f t="shared" si="18"/>
        <v>0.6</v>
      </c>
      <c r="E79" s="76">
        <f t="shared" si="18"/>
        <v>0.6</v>
      </c>
      <c r="F79" s="76">
        <f t="shared" si="18"/>
        <v>0.91</v>
      </c>
      <c r="G79" s="76">
        <f t="shared" si="18"/>
        <v>1.1300000000000001</v>
      </c>
      <c r="H79" s="76">
        <f t="shared" si="18"/>
        <v>0.83</v>
      </c>
      <c r="I79" s="76">
        <f t="shared" si="18"/>
        <v>0.12</v>
      </c>
      <c r="J79" s="76">
        <f t="shared" si="18"/>
        <v>0</v>
      </c>
      <c r="K79" s="76">
        <f t="shared" si="18"/>
        <v>0</v>
      </c>
      <c r="L79" s="76">
        <f t="shared" si="18"/>
        <v>0.83</v>
      </c>
      <c r="M79" s="76">
        <f t="shared" si="18"/>
        <v>1.05</v>
      </c>
      <c r="N79" s="76">
        <f t="shared" si="18"/>
        <v>0</v>
      </c>
      <c r="O79" s="76">
        <f t="shared" si="18"/>
        <v>0</v>
      </c>
      <c r="P79" s="76">
        <f t="shared" si="18"/>
        <v>0</v>
      </c>
      <c r="Q79" s="76">
        <f t="shared" si="18"/>
        <v>0</v>
      </c>
      <c r="R79" s="76">
        <f t="shared" si="18"/>
        <v>0</v>
      </c>
      <c r="S79" s="76">
        <f t="shared" si="18"/>
        <v>0</v>
      </c>
      <c r="T79" s="76">
        <f t="shared" si="18"/>
        <v>0</v>
      </c>
      <c r="U79" s="76">
        <f t="shared" si="18"/>
        <v>0</v>
      </c>
      <c r="V79" s="76">
        <f t="shared" si="18"/>
        <v>0</v>
      </c>
      <c r="W79" s="76">
        <f t="shared" si="18"/>
        <v>0</v>
      </c>
      <c r="X79" s="76">
        <f t="shared" si="18"/>
        <v>0.17</v>
      </c>
    </row>
    <row r="80" spans="2:24" ht="16.5" thickBot="1" x14ac:dyDescent="0.3">
      <c r="B80" s="61" t="s">
        <v>101</v>
      </c>
      <c r="C80" s="192" t="str">
        <f>IF(C79&gt;$C$12,"$\phi"&amp;IF(VLOOKUP(VLOOKUP(C79,tablas!$S$3:$U$66,2,TRUE)&amp;VLOOKUP(C79,tablas!$S$3:$U$66,3,TRUE),tablas!$R$3:$S$66,2,FALSE)&lt;C79,VLOOKUP(C79+0.1,tablas!$S$3:$U$66,2,TRUE),VLOOKUP(C79,tablas!$S$3:$U$66,2,TRUE))&amp;"@"&amp;IF(VLOOKUP(VLOOKUP(C79,tablas!$S$3:$U$66,2,TRUE)&amp;VLOOKUP(C79,tablas!$S$3:$U$66,3,TRUE),tablas!$R$3:$S$66,2,FALSE)&lt;C79,VLOOKUP(C79+0.1,tablas!$S$3:$U$66,3,TRUE),VLOOKUP(C79,tablas!$S$3:$U$66,3,TRUE))&amp;"$",$C$13)</f>
        <v>$\phi8@17$</v>
      </c>
      <c r="D80" s="192" t="str">
        <f>IF(D79&gt;$C$12,"$\phi"&amp;IF(VLOOKUP(VLOOKUP(D79,tablas!$S$3:$U$66,2,TRUE)&amp;VLOOKUP(D79,tablas!$S$3:$U$66,3,TRUE),tablas!$R$3:$S$66,2,FALSE)&lt;D79,VLOOKUP(D79+0.1,tablas!$S$3:$U$66,2,TRUE),VLOOKUP(D79,tablas!$S$3:$U$66,2,TRUE))&amp;"@"&amp;IF(VLOOKUP(VLOOKUP(D79,tablas!$S$3:$U$66,2,TRUE)&amp;VLOOKUP(D79,tablas!$S$3:$U$66,3,TRUE),tablas!$R$3:$S$66,2,FALSE)&lt;D79,VLOOKUP(D79+0.1,tablas!$S$3:$U$66,3,TRUE),VLOOKUP(D79,tablas!$S$3:$U$66,3,TRUE))&amp;"$",$C$13)</f>
        <v>$\phi8@17$</v>
      </c>
      <c r="E80" s="192" t="str">
        <f>IF(E79&gt;$C$12,"$\phi"&amp;IF(VLOOKUP(VLOOKUP(E79,tablas!$S$3:$U$66,2,TRUE)&amp;VLOOKUP(E79,tablas!$S$3:$U$66,3,TRUE),tablas!$R$3:$S$66,2,FALSE)&lt;E79,VLOOKUP(E79+0.1,tablas!$S$3:$U$66,2,TRUE),VLOOKUP(E79,tablas!$S$3:$U$66,2,TRUE))&amp;"@"&amp;IF(VLOOKUP(VLOOKUP(E79,tablas!$S$3:$U$66,2,TRUE)&amp;VLOOKUP(E79,tablas!$S$3:$U$66,3,TRUE),tablas!$R$3:$S$66,2,FALSE)&lt;E79,VLOOKUP(E79+0.1,tablas!$S$3:$U$66,3,TRUE),VLOOKUP(E79,tablas!$S$3:$U$66,3,TRUE))&amp;"$",$C$13)</f>
        <v>$\phi8@17$</v>
      </c>
      <c r="F80" s="192" t="str">
        <f>IF(F79&gt;$C$12,"$\phi"&amp;IF(VLOOKUP(VLOOKUP(F79,tablas!$S$3:$U$66,2,TRUE)&amp;VLOOKUP(F79,tablas!$S$3:$U$66,3,TRUE),tablas!$R$3:$S$66,2,FALSE)&lt;F79,VLOOKUP(F79+0.1,tablas!$S$3:$U$66,2,TRUE),VLOOKUP(F79,tablas!$S$3:$U$66,2,TRUE))&amp;"@"&amp;IF(VLOOKUP(VLOOKUP(F79,tablas!$S$3:$U$66,2,TRUE)&amp;VLOOKUP(F79,tablas!$S$3:$U$66,3,TRUE),tablas!$R$3:$S$66,2,FALSE)&lt;F79,VLOOKUP(F79+0.1,tablas!$S$3:$U$66,3,TRUE),VLOOKUP(F79,tablas!$S$3:$U$66,3,TRUE))&amp;"$",$C$13)</f>
        <v>$\phi8@17$</v>
      </c>
      <c r="G80" s="192" t="str">
        <f>IF(G79&gt;$C$12,"$\phi"&amp;IF(VLOOKUP(VLOOKUP(G79,tablas!$S$3:$U$66,2,TRUE)&amp;VLOOKUP(G79,tablas!$S$3:$U$66,3,TRUE),tablas!$R$3:$S$66,2,FALSE)&lt;G79,VLOOKUP(G79+0.1,tablas!$S$3:$U$66,2,TRUE),VLOOKUP(G79,tablas!$S$3:$U$66,2,TRUE))&amp;"@"&amp;IF(VLOOKUP(VLOOKUP(G79,tablas!$S$3:$U$66,2,TRUE)&amp;VLOOKUP(G79,tablas!$S$3:$U$66,3,TRUE),tablas!$R$3:$S$66,2,FALSE)&lt;G79,VLOOKUP(G79+0.1,tablas!$S$3:$U$66,3,TRUE),VLOOKUP(G79,tablas!$S$3:$U$66,3,TRUE))&amp;"$",$C$13)</f>
        <v>$\phi8@17$</v>
      </c>
      <c r="H80" s="192" t="str">
        <f>IF(H79&gt;$C$12,"$\phi"&amp;IF(VLOOKUP(VLOOKUP(H79,tablas!$S$3:$U$66,2,TRUE)&amp;VLOOKUP(H79,tablas!$S$3:$U$66,3,TRUE),tablas!$R$3:$S$66,2,FALSE)&lt;H79,VLOOKUP(H79+0.1,tablas!$S$3:$U$66,2,TRUE),VLOOKUP(H79,tablas!$S$3:$U$66,2,TRUE))&amp;"@"&amp;IF(VLOOKUP(VLOOKUP(H79,tablas!$S$3:$U$66,2,TRUE)&amp;VLOOKUP(H79,tablas!$S$3:$U$66,3,TRUE),tablas!$R$3:$S$66,2,FALSE)&lt;H79,VLOOKUP(H79+0.1,tablas!$S$3:$U$66,3,TRUE),VLOOKUP(H79,tablas!$S$3:$U$66,3,TRUE))&amp;"$",$C$13)</f>
        <v>$\phi8@17$</v>
      </c>
      <c r="I80" s="192" t="str">
        <f>IF(I79&gt;$C$12,"$\phi"&amp;IF(VLOOKUP(VLOOKUP(I79,tablas!$S$3:$U$66,2,TRUE)&amp;VLOOKUP(I79,tablas!$S$3:$U$66,3,TRUE),tablas!$R$3:$S$66,2,FALSE)&lt;I79,VLOOKUP(I79+0.1,tablas!$S$3:$U$66,2,TRUE),VLOOKUP(I79,tablas!$S$3:$U$66,2,TRUE))&amp;"@"&amp;IF(VLOOKUP(VLOOKUP(I79,tablas!$S$3:$U$66,2,TRUE)&amp;VLOOKUP(I79,tablas!$S$3:$U$66,3,TRUE),tablas!$R$3:$S$66,2,FALSE)&lt;I79,VLOOKUP(I79+0.1,tablas!$S$3:$U$66,3,TRUE),VLOOKUP(I79,tablas!$S$3:$U$66,3,TRUE))&amp;"$",$C$13)</f>
        <v>$\phi8@17$</v>
      </c>
      <c r="J80" s="192" t="str">
        <f>IF(J79&gt;$C$12,"$\phi"&amp;IF(VLOOKUP(VLOOKUP(J79,tablas!$S$3:$U$66,2,TRUE)&amp;VLOOKUP(J79,tablas!$S$3:$U$66,3,TRUE),tablas!$R$3:$S$66,2,FALSE)&lt;J79,VLOOKUP(J79+0.1,tablas!$S$3:$U$66,2,TRUE),VLOOKUP(J79,tablas!$S$3:$U$66,2,TRUE))&amp;"@"&amp;IF(VLOOKUP(VLOOKUP(J79,tablas!$S$3:$U$66,2,TRUE)&amp;VLOOKUP(J79,tablas!$S$3:$U$66,3,TRUE),tablas!$R$3:$S$66,2,FALSE)&lt;J79,VLOOKUP(J79+0.1,tablas!$S$3:$U$66,3,TRUE),VLOOKUP(J79,tablas!$S$3:$U$66,3,TRUE))&amp;"$",$C$13)</f>
        <v>$\phi8@17$</v>
      </c>
      <c r="K80" s="192" t="str">
        <f>IF(K79&gt;$C$12,"$\phi"&amp;IF(VLOOKUP(VLOOKUP(K79,tablas!$S$3:$U$66,2,TRUE)&amp;VLOOKUP(K79,tablas!$S$3:$U$66,3,TRUE),tablas!$R$3:$S$66,2,FALSE)&lt;K79,VLOOKUP(K79+0.1,tablas!$S$3:$U$66,2,TRUE),VLOOKUP(K79,tablas!$S$3:$U$66,2,TRUE))&amp;"@"&amp;IF(VLOOKUP(VLOOKUP(K79,tablas!$S$3:$U$66,2,TRUE)&amp;VLOOKUP(K79,tablas!$S$3:$U$66,3,TRUE),tablas!$R$3:$S$66,2,FALSE)&lt;K79,VLOOKUP(K79+0.1,tablas!$S$3:$U$66,3,TRUE),VLOOKUP(K79,tablas!$S$3:$U$66,3,TRUE))&amp;"$",$C$13)</f>
        <v>$\phi8@17$</v>
      </c>
      <c r="L80" s="192" t="str">
        <f>IF(L79&gt;$C$12,"$\phi"&amp;IF(VLOOKUP(VLOOKUP(L79,tablas!$S$3:$U$66,2,TRUE)&amp;VLOOKUP(L79,tablas!$S$3:$U$66,3,TRUE),tablas!$R$3:$S$66,2,FALSE)&lt;L79,VLOOKUP(L79+0.1,tablas!$S$3:$U$66,2,TRUE),VLOOKUP(L79,tablas!$S$3:$U$66,2,TRUE))&amp;"@"&amp;IF(VLOOKUP(VLOOKUP(L79,tablas!$S$3:$U$66,2,TRUE)&amp;VLOOKUP(L79,tablas!$S$3:$U$66,3,TRUE),tablas!$R$3:$S$66,2,FALSE)&lt;L79,VLOOKUP(L79+0.1,tablas!$S$3:$U$66,3,TRUE),VLOOKUP(L79,tablas!$S$3:$U$66,3,TRUE))&amp;"$",$C$13)</f>
        <v>$\phi8@17$</v>
      </c>
      <c r="M80" s="192" t="str">
        <f>IF(M79&gt;$C$12,"$\phi"&amp;IF(VLOOKUP(VLOOKUP(M79,tablas!$S$3:$U$66,2,TRUE)&amp;VLOOKUP(M79,tablas!$S$3:$U$66,3,TRUE),tablas!$R$3:$S$66,2,FALSE)&lt;M79,VLOOKUP(M79+0.1,tablas!$S$3:$U$66,2,TRUE),VLOOKUP(M79,tablas!$S$3:$U$66,2,TRUE))&amp;"@"&amp;IF(VLOOKUP(VLOOKUP(M79,tablas!$S$3:$U$66,2,TRUE)&amp;VLOOKUP(M79,tablas!$S$3:$U$66,3,TRUE),tablas!$R$3:$S$66,2,FALSE)&lt;M79,VLOOKUP(M79+0.1,tablas!$S$3:$U$66,3,TRUE),VLOOKUP(M79,tablas!$S$3:$U$66,3,TRUE))&amp;"$",$C$13)</f>
        <v>$\phi8@17$</v>
      </c>
      <c r="N80" s="192" t="str">
        <f>IF(N79&gt;$C$12,"$\phi"&amp;IF(VLOOKUP(VLOOKUP(N79,tablas!$S$3:$U$66,2,TRUE)&amp;VLOOKUP(N79,tablas!$S$3:$U$66,3,TRUE),tablas!$R$3:$S$66,2,FALSE)&lt;N79,VLOOKUP(N79+0.1,tablas!$S$3:$U$66,2,TRUE),VLOOKUP(N79,tablas!$S$3:$U$66,2,TRUE))&amp;"@"&amp;IF(VLOOKUP(VLOOKUP(N79,tablas!$S$3:$U$66,2,TRUE)&amp;VLOOKUP(N79,tablas!$S$3:$U$66,3,TRUE),tablas!$R$3:$S$66,2,FALSE)&lt;N79,VLOOKUP(N79+0.1,tablas!$S$3:$U$66,3,TRUE),VLOOKUP(N79,tablas!$S$3:$U$66,3,TRUE))&amp;"$",$C$13)</f>
        <v>$\phi8@17$</v>
      </c>
      <c r="O80" s="192" t="str">
        <f>IF(O79&gt;$C$12,"$\phi"&amp;IF(VLOOKUP(VLOOKUP(O79,tablas!$S$3:$U$66,2,TRUE)&amp;VLOOKUP(O79,tablas!$S$3:$U$66,3,TRUE),tablas!$R$3:$S$66,2,FALSE)&lt;O79,VLOOKUP(O79+0.1,tablas!$S$3:$U$66,2,TRUE),VLOOKUP(O79,tablas!$S$3:$U$66,2,TRUE))&amp;"@"&amp;IF(VLOOKUP(VLOOKUP(O79,tablas!$S$3:$U$66,2,TRUE)&amp;VLOOKUP(O79,tablas!$S$3:$U$66,3,TRUE),tablas!$R$3:$S$66,2,FALSE)&lt;O79,VLOOKUP(O79+0.1,tablas!$S$3:$U$66,3,TRUE),VLOOKUP(O79,tablas!$S$3:$U$66,3,TRUE))&amp;"$",$C$13)</f>
        <v>$\phi8@17$</v>
      </c>
      <c r="P80" s="192" t="str">
        <f>IF(P79&gt;$C$12,"$\phi"&amp;IF(VLOOKUP(VLOOKUP(P79,tablas!$S$3:$U$66,2,TRUE)&amp;VLOOKUP(P79,tablas!$S$3:$U$66,3,TRUE),tablas!$R$3:$S$66,2,FALSE)&lt;P79,VLOOKUP(P79+0.1,tablas!$S$3:$U$66,2,TRUE),VLOOKUP(P79,tablas!$S$3:$U$66,2,TRUE))&amp;"@"&amp;IF(VLOOKUP(VLOOKUP(P79,tablas!$S$3:$U$66,2,TRUE)&amp;VLOOKUP(P79,tablas!$S$3:$U$66,3,TRUE),tablas!$R$3:$S$66,2,FALSE)&lt;P79,VLOOKUP(P79+0.1,tablas!$S$3:$U$66,3,TRUE),VLOOKUP(P79,tablas!$S$3:$U$66,3,TRUE))&amp;"$",$C$13)</f>
        <v>$\phi8@17$</v>
      </c>
      <c r="Q80" s="192" t="str">
        <f>IF(Q79&gt;$C$12,"$\phi"&amp;IF(VLOOKUP(VLOOKUP(Q79,tablas!$S$3:$U$66,2,TRUE)&amp;VLOOKUP(Q79,tablas!$S$3:$U$66,3,TRUE),tablas!$R$3:$S$66,2,FALSE)&lt;Q79,VLOOKUP(Q79+0.1,tablas!$S$3:$U$66,2,TRUE),VLOOKUP(Q79,tablas!$S$3:$U$66,2,TRUE))&amp;"@"&amp;IF(VLOOKUP(VLOOKUP(Q79,tablas!$S$3:$U$66,2,TRUE)&amp;VLOOKUP(Q79,tablas!$S$3:$U$66,3,TRUE),tablas!$R$3:$S$66,2,FALSE)&lt;Q79,VLOOKUP(Q79+0.1,tablas!$S$3:$U$66,3,TRUE),VLOOKUP(Q79,tablas!$S$3:$U$66,3,TRUE))&amp;"$",$C$13)</f>
        <v>$\phi8@17$</v>
      </c>
      <c r="R80" s="192" t="str">
        <f>IF(R79&gt;$C$12,"$\phi"&amp;IF(VLOOKUP(VLOOKUP(R79,tablas!$S$3:$U$66,2,TRUE)&amp;VLOOKUP(R79,tablas!$S$3:$U$66,3,TRUE),tablas!$R$3:$S$66,2,FALSE)&lt;R79,VLOOKUP(R79+0.1,tablas!$S$3:$U$66,2,TRUE),VLOOKUP(R79,tablas!$S$3:$U$66,2,TRUE))&amp;"@"&amp;IF(VLOOKUP(VLOOKUP(R79,tablas!$S$3:$U$66,2,TRUE)&amp;VLOOKUP(R79,tablas!$S$3:$U$66,3,TRUE),tablas!$R$3:$S$66,2,FALSE)&lt;R79,VLOOKUP(R79+0.1,tablas!$S$3:$U$66,3,TRUE),VLOOKUP(R79,tablas!$S$3:$U$66,3,TRUE))&amp;"$",$C$13)</f>
        <v>$\phi8@17$</v>
      </c>
      <c r="S80" s="192" t="str">
        <f>IF(S79&gt;$C$12,"$\phi"&amp;IF(VLOOKUP(VLOOKUP(S79,tablas!$S$3:$U$66,2,TRUE)&amp;VLOOKUP(S79,tablas!$S$3:$U$66,3,TRUE),tablas!$R$3:$S$66,2,FALSE)&lt;S79,VLOOKUP(S79+0.1,tablas!$S$3:$U$66,2,TRUE),VLOOKUP(S79,tablas!$S$3:$U$66,2,TRUE))&amp;"@"&amp;IF(VLOOKUP(VLOOKUP(S79,tablas!$S$3:$U$66,2,TRUE)&amp;VLOOKUP(S79,tablas!$S$3:$U$66,3,TRUE),tablas!$R$3:$S$66,2,FALSE)&lt;S79,VLOOKUP(S79+0.1,tablas!$S$3:$U$66,3,TRUE),VLOOKUP(S79,tablas!$S$3:$U$66,3,TRUE))&amp;"$",$C$13)</f>
        <v>$\phi8@17$</v>
      </c>
      <c r="T80" s="192" t="str">
        <f>IF(T79&gt;$C$12,"$\phi"&amp;IF(VLOOKUP(VLOOKUP(T79,tablas!$S$3:$U$66,2,TRUE)&amp;VLOOKUP(T79,tablas!$S$3:$U$66,3,TRUE),tablas!$R$3:$S$66,2,FALSE)&lt;T79,VLOOKUP(T79+0.1,tablas!$S$3:$U$66,2,TRUE),VLOOKUP(T79,tablas!$S$3:$U$66,2,TRUE))&amp;"@"&amp;IF(VLOOKUP(VLOOKUP(T79,tablas!$S$3:$U$66,2,TRUE)&amp;VLOOKUP(T79,tablas!$S$3:$U$66,3,TRUE),tablas!$R$3:$S$66,2,FALSE)&lt;T79,VLOOKUP(T79+0.1,tablas!$S$3:$U$66,3,TRUE),VLOOKUP(T79,tablas!$S$3:$U$66,3,TRUE))&amp;"$",$C$13)</f>
        <v>$\phi8@17$</v>
      </c>
      <c r="U80" s="192" t="str">
        <f>IF(U79&gt;$C$12,"$\phi"&amp;IF(VLOOKUP(VLOOKUP(U79,tablas!$S$3:$U$66,2,TRUE)&amp;VLOOKUP(U79,tablas!$S$3:$U$66,3,TRUE),tablas!$R$3:$S$66,2,FALSE)&lt;U79,VLOOKUP(U79+0.1,tablas!$S$3:$U$66,2,TRUE),VLOOKUP(U79,tablas!$S$3:$U$66,2,TRUE))&amp;"@"&amp;IF(VLOOKUP(VLOOKUP(U79,tablas!$S$3:$U$66,2,TRUE)&amp;VLOOKUP(U79,tablas!$S$3:$U$66,3,TRUE),tablas!$R$3:$S$66,2,FALSE)&lt;U79,VLOOKUP(U79+0.1,tablas!$S$3:$U$66,3,TRUE),VLOOKUP(U79,tablas!$S$3:$U$66,3,TRUE))&amp;"$",$C$13)</f>
        <v>$\phi8@17$</v>
      </c>
      <c r="V80" s="192" t="str">
        <f>IF(V79&gt;$C$12,"$\phi"&amp;IF(VLOOKUP(VLOOKUP(V79,tablas!$S$3:$U$66,2,TRUE)&amp;VLOOKUP(V79,tablas!$S$3:$U$66,3,TRUE),tablas!$R$3:$S$66,2,FALSE)&lt;V79,VLOOKUP(V79+0.1,tablas!$S$3:$U$66,2,TRUE),VLOOKUP(V79,tablas!$S$3:$U$66,2,TRUE))&amp;"@"&amp;IF(VLOOKUP(VLOOKUP(V79,tablas!$S$3:$U$66,2,TRUE)&amp;VLOOKUP(V79,tablas!$S$3:$U$66,3,TRUE),tablas!$R$3:$S$66,2,FALSE)&lt;V79,VLOOKUP(V79+0.1,tablas!$S$3:$U$66,3,TRUE),VLOOKUP(V79,tablas!$S$3:$U$66,3,TRUE))&amp;"$",$C$13)</f>
        <v>$\phi8@17$</v>
      </c>
      <c r="W80" s="192" t="str">
        <f>IF(W79&gt;$C$12,"$\phi"&amp;IF(VLOOKUP(VLOOKUP(W79,tablas!$S$3:$U$66,2,TRUE)&amp;VLOOKUP(W79,tablas!$S$3:$U$66,3,TRUE),tablas!$R$3:$S$66,2,FALSE)&lt;W79,VLOOKUP(W79+0.1,tablas!$S$3:$U$66,2,TRUE),VLOOKUP(W79,tablas!$S$3:$U$66,2,TRUE))&amp;"@"&amp;IF(VLOOKUP(VLOOKUP(W79,tablas!$S$3:$U$66,2,TRUE)&amp;VLOOKUP(W79,tablas!$S$3:$U$66,3,TRUE),tablas!$R$3:$S$66,2,FALSE)&lt;W79,VLOOKUP(W79+0.1,tablas!$S$3:$U$66,3,TRUE),VLOOKUP(W79,tablas!$S$3:$U$66,3,TRUE))&amp;"$",$C$13)</f>
        <v>$\phi8@17$</v>
      </c>
      <c r="X80" s="192" t="str">
        <f>IF(X79&gt;$C$12,"$\phi"&amp;IF(VLOOKUP(VLOOKUP(X79,tablas!$S$3:$U$66,2,TRUE)&amp;VLOOKUP(X79,tablas!$S$3:$U$66,3,TRUE),tablas!$R$3:$S$66,2,FALSE)&lt;X79,VLOOKUP(X79+0.1,tablas!$S$3:$U$66,2,TRUE),VLOOKUP(X79,tablas!$S$3:$U$66,2,TRUE))&amp;"@"&amp;IF(VLOOKUP(VLOOKUP(X79,tablas!$S$3:$U$66,2,TRUE)&amp;VLOOKUP(X79,tablas!$S$3:$U$66,3,TRUE),tablas!$R$3:$S$66,2,FALSE)&lt;X79,VLOOKUP(X79+0.1,tablas!$S$3:$U$66,3,TRUE),VLOOKUP(X79,tablas!$S$3:$U$66,3,TRUE))&amp;"$",$C$13)</f>
        <v>$\phi8@17$</v>
      </c>
    </row>
    <row r="81" spans="2:26" x14ac:dyDescent="0.25">
      <c r="B81" s="93" t="s">
        <v>103</v>
      </c>
      <c r="C81" s="88">
        <f t="shared" ref="C81:X81" si="19">IF(C53&lt;=2,C68/C59,IF(OR(C51=6,C51="5a",C51="3a"),C67*C48^2/12,(IF(OR(C51="2a",C51=4,C51="5b"),C67*C48^2/8,"-"))))</f>
        <v>3157.8048780487807</v>
      </c>
      <c r="D81" s="88">
        <f t="shared" si="19"/>
        <v>1482.063829787234</v>
      </c>
      <c r="E81" s="88">
        <f t="shared" si="19"/>
        <v>1482.063829787234</v>
      </c>
      <c r="F81" s="88">
        <f t="shared" si="19"/>
        <v>2660.2039062500003</v>
      </c>
      <c r="G81" s="88">
        <f t="shared" si="19"/>
        <v>2330.2529032258067</v>
      </c>
      <c r="H81" s="88">
        <f t="shared" si="19"/>
        <v>1428.5638297872338</v>
      </c>
      <c r="I81" s="88">
        <f t="shared" si="19"/>
        <v>670.04318181818178</v>
      </c>
      <c r="J81" s="88">
        <f t="shared" si="19"/>
        <v>227.0333333333333</v>
      </c>
      <c r="K81" s="88">
        <f t="shared" si="19"/>
        <v>974.1583333333333</v>
      </c>
      <c r="L81" s="88">
        <f t="shared" si="19"/>
        <v>1428.5638297872338</v>
      </c>
      <c r="M81" s="88">
        <f t="shared" si="19"/>
        <v>2172.8938709677423</v>
      </c>
      <c r="N81" s="88">
        <f t="shared" si="19"/>
        <v>350.56537500000002</v>
      </c>
      <c r="O81" s="88">
        <f t="shared" si="19"/>
        <v>350.56537500000002</v>
      </c>
      <c r="P81" s="88">
        <f t="shared" si="19"/>
        <v>350.56537500000002</v>
      </c>
      <c r="Q81" s="88">
        <f t="shared" si="19"/>
        <v>350.56537500000002</v>
      </c>
      <c r="R81" s="88">
        <f t="shared" si="19"/>
        <v>166.29600000000002</v>
      </c>
      <c r="S81" s="88">
        <f t="shared" si="19"/>
        <v>166.29600000000002</v>
      </c>
      <c r="T81" s="88">
        <f t="shared" si="19"/>
        <v>276.07350000000002</v>
      </c>
      <c r="U81" s="88">
        <f t="shared" si="19"/>
        <v>276.07350000000002</v>
      </c>
      <c r="V81" s="88">
        <f t="shared" si="19"/>
        <v>84.1935</v>
      </c>
      <c r="W81" s="88">
        <f t="shared" si="19"/>
        <v>75.337499999999991</v>
      </c>
      <c r="X81" s="88">
        <f t="shared" si="19"/>
        <v>734.75928143712576</v>
      </c>
    </row>
    <row r="82" spans="2:26" x14ac:dyDescent="0.25">
      <c r="B82" s="94" t="s">
        <v>15</v>
      </c>
      <c r="C82" s="89">
        <f t="shared" ref="C82:X82" si="20">C81/(0.9*(0.9*($C$7/100))*($L$9*1000))</f>
        <v>6.5062158558093506</v>
      </c>
      <c r="D82" s="89">
        <f t="shared" si="20"/>
        <v>3.0535855003940102</v>
      </c>
      <c r="E82" s="89">
        <f t="shared" si="20"/>
        <v>3.0535855003940102</v>
      </c>
      <c r="F82" s="89">
        <f t="shared" si="20"/>
        <v>5.4809785604056422</v>
      </c>
      <c r="G82" s="89">
        <f t="shared" si="20"/>
        <v>4.8011606076122195</v>
      </c>
      <c r="H82" s="89">
        <f t="shared" si="20"/>
        <v>2.9433562234980659</v>
      </c>
      <c r="I82" s="89">
        <f t="shared" si="20"/>
        <v>1.3805303816986054</v>
      </c>
      <c r="J82" s="89">
        <f t="shared" si="20"/>
        <v>0.46777047036652414</v>
      </c>
      <c r="K82" s="89">
        <f t="shared" si="20"/>
        <v>2.0071171713175859</v>
      </c>
      <c r="L82" s="89">
        <f t="shared" si="20"/>
        <v>2.9433562234980659</v>
      </c>
      <c r="M82" s="89">
        <f t="shared" si="20"/>
        <v>4.476944302213119</v>
      </c>
      <c r="N82" s="89">
        <f t="shared" si="20"/>
        <v>0.72229098674776226</v>
      </c>
      <c r="O82" s="89">
        <f t="shared" si="20"/>
        <v>0.72229098674776226</v>
      </c>
      <c r="P82" s="89">
        <f t="shared" si="20"/>
        <v>0.72229098674776226</v>
      </c>
      <c r="Q82" s="89">
        <f t="shared" si="20"/>
        <v>0.72229098674776226</v>
      </c>
      <c r="R82" s="89">
        <f t="shared" si="20"/>
        <v>0.34262967907827713</v>
      </c>
      <c r="S82" s="89">
        <f t="shared" si="20"/>
        <v>0.34262967907827713</v>
      </c>
      <c r="T82" s="89">
        <f t="shared" si="20"/>
        <v>0.56881088364733212</v>
      </c>
      <c r="U82" s="89">
        <f t="shared" si="20"/>
        <v>0.56881088364733212</v>
      </c>
      <c r="V82" s="89">
        <f t="shared" si="20"/>
        <v>0.17346894624932002</v>
      </c>
      <c r="W82" s="89">
        <f t="shared" si="20"/>
        <v>0.15522239529248869</v>
      </c>
      <c r="X82" s="89">
        <f t="shared" si="20"/>
        <v>1.5138688651476155</v>
      </c>
    </row>
    <row r="83" spans="2:26" x14ac:dyDescent="0.25">
      <c r="B83" s="94" t="s">
        <v>98</v>
      </c>
      <c r="C83" s="91">
        <f t="shared" ref="C83:X83" si="21">(C82*($L$9))/(0.85*$L$6*100)</f>
        <v>0.16059171777891593</v>
      </c>
      <c r="D83" s="91">
        <f t="shared" si="21"/>
        <v>7.5371083862089752E-2</v>
      </c>
      <c r="E83" s="91">
        <f t="shared" si="21"/>
        <v>7.5371083862089752E-2</v>
      </c>
      <c r="F83" s="91">
        <f t="shared" si="21"/>
        <v>0.13528597600078518</v>
      </c>
      <c r="G83" s="91">
        <f t="shared" si="21"/>
        <v>0.11850615571268917</v>
      </c>
      <c r="H83" s="91">
        <f t="shared" si="21"/>
        <v>7.2650315089802325E-2</v>
      </c>
      <c r="I83" s="91">
        <f t="shared" si="21"/>
        <v>3.4075375050000183E-2</v>
      </c>
      <c r="J83" s="91">
        <f t="shared" si="21"/>
        <v>1.1545891656105672E-2</v>
      </c>
      <c r="K83" s="91">
        <f t="shared" si="21"/>
        <v>4.9541300422371787E-2</v>
      </c>
      <c r="L83" s="91">
        <f t="shared" si="21"/>
        <v>7.2650315089802325E-2</v>
      </c>
      <c r="M83" s="91">
        <f t="shared" si="21"/>
        <v>0.11050358485278057</v>
      </c>
      <c r="N83" s="91">
        <f t="shared" si="21"/>
        <v>1.7828174298041653E-2</v>
      </c>
      <c r="O83" s="91">
        <f t="shared" si="21"/>
        <v>1.7828174298041653E-2</v>
      </c>
      <c r="P83" s="91">
        <f t="shared" si="21"/>
        <v>1.7828174298041653E-2</v>
      </c>
      <c r="Q83" s="91">
        <f t="shared" si="21"/>
        <v>1.7828174298041653E-2</v>
      </c>
      <c r="R83" s="91">
        <f t="shared" si="21"/>
        <v>8.4570647431085715E-3</v>
      </c>
      <c r="S83" s="91">
        <f t="shared" si="21"/>
        <v>8.4570647431085715E-3</v>
      </c>
      <c r="T83" s="91">
        <f t="shared" si="21"/>
        <v>1.4039853414132534E-2</v>
      </c>
      <c r="U83" s="91">
        <f t="shared" si="21"/>
        <v>1.4039853414132534E-2</v>
      </c>
      <c r="V83" s="91">
        <f t="shared" si="21"/>
        <v>4.2817017874687991E-3</v>
      </c>
      <c r="W83" s="91">
        <f t="shared" si="21"/>
        <v>3.8313255585458571E-3</v>
      </c>
      <c r="X83" s="91">
        <f t="shared" si="21"/>
        <v>3.7366544076307927E-2</v>
      </c>
    </row>
    <row r="84" spans="2:26" ht="15.75" thickBot="1" x14ac:dyDescent="0.3">
      <c r="B84" s="94" t="s">
        <v>15</v>
      </c>
      <c r="C84" s="76">
        <f t="shared" ref="C84:X84" si="22">ROUNDUP(C81/(0.9*(($C$7-C83/2)/100)*($L$9*1000)),2)</f>
        <v>5.89</v>
      </c>
      <c r="D84" s="76">
        <f t="shared" si="22"/>
        <v>2.76</v>
      </c>
      <c r="E84" s="76">
        <f t="shared" si="22"/>
        <v>2.76</v>
      </c>
      <c r="F84" s="76">
        <f t="shared" si="22"/>
        <v>4.96</v>
      </c>
      <c r="G84" s="76">
        <f t="shared" si="22"/>
        <v>4.34</v>
      </c>
      <c r="H84" s="76">
        <f t="shared" si="22"/>
        <v>2.6599999999999997</v>
      </c>
      <c r="I84" s="76">
        <f t="shared" si="22"/>
        <v>1.25</v>
      </c>
      <c r="J84" s="76">
        <f t="shared" si="22"/>
        <v>0.43</v>
      </c>
      <c r="K84" s="76">
        <f t="shared" si="22"/>
        <v>1.81</v>
      </c>
      <c r="L84" s="76">
        <f t="shared" si="22"/>
        <v>2.6599999999999997</v>
      </c>
      <c r="M84" s="76">
        <f t="shared" si="22"/>
        <v>4.05</v>
      </c>
      <c r="N84" s="76">
        <f t="shared" si="22"/>
        <v>0.66</v>
      </c>
      <c r="O84" s="76">
        <f t="shared" si="22"/>
        <v>0.66</v>
      </c>
      <c r="P84" s="76">
        <f t="shared" si="22"/>
        <v>0.66</v>
      </c>
      <c r="Q84" s="76">
        <f t="shared" si="22"/>
        <v>0.66</v>
      </c>
      <c r="R84" s="76">
        <f t="shared" si="22"/>
        <v>0.31</v>
      </c>
      <c r="S84" s="76">
        <f t="shared" si="22"/>
        <v>0.31</v>
      </c>
      <c r="T84" s="76">
        <f t="shared" si="22"/>
        <v>0.52</v>
      </c>
      <c r="U84" s="76">
        <f t="shared" si="22"/>
        <v>0.52</v>
      </c>
      <c r="V84" s="76">
        <f t="shared" si="22"/>
        <v>0.16</v>
      </c>
      <c r="W84" s="76">
        <f t="shared" si="22"/>
        <v>0.14000000000000001</v>
      </c>
      <c r="X84" s="76">
        <f t="shared" si="22"/>
        <v>1.37</v>
      </c>
    </row>
    <row r="85" spans="2:26" ht="16.5" thickBot="1" x14ac:dyDescent="0.3">
      <c r="B85" s="61" t="s">
        <v>105</v>
      </c>
      <c r="C85" s="192" t="str">
        <f>IF(C84&gt;$C$12,"$\phi"&amp;IF(VLOOKUP(VLOOKUP(C84,tablas!$S$3:$U$66,2,TRUE)&amp;VLOOKUP(C84,tablas!$S$3:$U$66,3,TRUE),tablas!$R$3:$S$66,2,FALSE)&lt;C84,VLOOKUP(C84+0.1,tablas!$S$3:$U$66,2,TRUE),VLOOKUP(C84,tablas!$S$3:$U$66,2,TRUE))&amp;"@"&amp;IF(VLOOKUP(VLOOKUP(C84,tablas!$S$3:$U$66,2,TRUE)&amp;VLOOKUP(C84,tablas!$S$3:$U$66,3,TRUE),tablas!$R$3:$S$66,2,FALSE)&lt;C84,VLOOKUP(C84+0.1,tablas!$S$3:$U$66,3,TRUE),VLOOKUP(C84,tablas!$S$3:$U$66,3,TRUE))&amp;"$",$C$13)</f>
        <v>$\phi12@19$</v>
      </c>
      <c r="D85" s="192" t="str">
        <f>IF(D84&gt;$C$12,"$\phi"&amp;IF(VLOOKUP(VLOOKUP(D84,tablas!$S$3:$U$66,2,TRUE)&amp;VLOOKUP(D84,tablas!$S$3:$U$66,3,TRUE),tablas!$R$3:$S$66,2,FALSE)&lt;D84,VLOOKUP(D84+0.1,tablas!$S$3:$U$66,2,TRUE),VLOOKUP(D84,tablas!$S$3:$U$66,2,TRUE))&amp;"@"&amp;IF(VLOOKUP(VLOOKUP(D84,tablas!$S$3:$U$66,2,TRUE)&amp;VLOOKUP(D84,tablas!$S$3:$U$66,3,TRUE),tablas!$R$3:$S$66,2,FALSE)&lt;D84,VLOOKUP(D84+0.1,tablas!$S$3:$U$66,3,TRUE),VLOOKUP(D84,tablas!$S$3:$U$66,3,TRUE))&amp;"$",$C$13)</f>
        <v>$\phi8@17$</v>
      </c>
      <c r="E85" s="192" t="str">
        <f>IF(E84&gt;$C$12,"$\phi"&amp;IF(VLOOKUP(VLOOKUP(E84,tablas!$S$3:$U$66,2,TRUE)&amp;VLOOKUP(E84,tablas!$S$3:$U$66,3,TRUE),tablas!$R$3:$S$66,2,FALSE)&lt;E84,VLOOKUP(E84+0.1,tablas!$S$3:$U$66,2,TRUE),VLOOKUP(E84,tablas!$S$3:$U$66,2,TRUE))&amp;"@"&amp;IF(VLOOKUP(VLOOKUP(E84,tablas!$S$3:$U$66,2,TRUE)&amp;VLOOKUP(E84,tablas!$S$3:$U$66,3,TRUE),tablas!$R$3:$S$66,2,FALSE)&lt;E84,VLOOKUP(E84+0.1,tablas!$S$3:$U$66,3,TRUE),VLOOKUP(E84,tablas!$S$3:$U$66,3,TRUE))&amp;"$",$C$13)</f>
        <v>$\phi8@17$</v>
      </c>
      <c r="F85" s="192" t="str">
        <f>IF(F84&gt;$C$12,"$\phi"&amp;IF(VLOOKUP(VLOOKUP(F84,tablas!$S$3:$U$66,2,TRUE)&amp;VLOOKUP(F84,tablas!$S$3:$U$66,3,TRUE),tablas!$R$3:$S$66,2,FALSE)&lt;F84,VLOOKUP(F84+0.1,tablas!$S$3:$U$66,2,TRUE),VLOOKUP(F84,tablas!$S$3:$U$66,2,TRUE))&amp;"@"&amp;IF(VLOOKUP(VLOOKUP(F84,tablas!$S$3:$U$66,2,TRUE)&amp;VLOOKUP(F84,tablas!$S$3:$U$66,3,TRUE),tablas!$R$3:$S$66,2,FALSE)&lt;F84,VLOOKUP(F84+0.1,tablas!$S$3:$U$66,3,TRUE),VLOOKUP(F84,tablas!$S$3:$U$66,3,TRUE))&amp;"$",$C$13)</f>
        <v>$\phi8@10$</v>
      </c>
      <c r="G85" s="192" t="str">
        <f>IF(G84&gt;$C$12,"$\phi"&amp;IF(VLOOKUP(VLOOKUP(G84,tablas!$S$3:$U$66,2,TRUE)&amp;VLOOKUP(G84,tablas!$S$3:$U$66,3,TRUE),tablas!$R$3:$S$66,2,FALSE)&lt;G84,VLOOKUP(G84+0.1,tablas!$S$3:$U$66,2,TRUE),VLOOKUP(G84,tablas!$S$3:$U$66,2,TRUE))&amp;"@"&amp;IF(VLOOKUP(VLOOKUP(G84,tablas!$S$3:$U$66,2,TRUE)&amp;VLOOKUP(G84,tablas!$S$3:$U$66,3,TRUE),tablas!$R$3:$S$66,2,FALSE)&lt;G84,VLOOKUP(G84+0.1,tablas!$S$3:$U$66,3,TRUE),VLOOKUP(G84,tablas!$S$3:$U$66,3,TRUE))&amp;"$",$C$13)</f>
        <v>$\phi10@18$</v>
      </c>
      <c r="H85" s="192" t="str">
        <f>IF(H84&gt;$C$12,"$\phi"&amp;IF(VLOOKUP(VLOOKUP(H84,tablas!$S$3:$U$66,2,TRUE)&amp;VLOOKUP(H84,tablas!$S$3:$U$66,3,TRUE),tablas!$R$3:$S$66,2,FALSE)&lt;H84,VLOOKUP(H84+0.1,tablas!$S$3:$U$66,2,TRUE),VLOOKUP(H84,tablas!$S$3:$U$66,2,TRUE))&amp;"@"&amp;IF(VLOOKUP(VLOOKUP(H84,tablas!$S$3:$U$66,2,TRUE)&amp;VLOOKUP(H84,tablas!$S$3:$U$66,3,TRUE),tablas!$R$3:$S$66,2,FALSE)&lt;H84,VLOOKUP(H84+0.1,tablas!$S$3:$U$66,3,TRUE),VLOOKUP(H84,tablas!$S$3:$U$66,3,TRUE))&amp;"$",$C$13)</f>
        <v>$\phi8@17$</v>
      </c>
      <c r="I85" s="192" t="str">
        <f>IF(I84&gt;$C$12,"$\phi"&amp;IF(VLOOKUP(VLOOKUP(I84,tablas!$S$3:$U$66,2,TRUE)&amp;VLOOKUP(I84,tablas!$S$3:$U$66,3,TRUE),tablas!$R$3:$S$66,2,FALSE)&lt;I84,VLOOKUP(I84+0.1,tablas!$S$3:$U$66,2,TRUE),VLOOKUP(I84,tablas!$S$3:$U$66,2,TRUE))&amp;"@"&amp;IF(VLOOKUP(VLOOKUP(I84,tablas!$S$3:$U$66,2,TRUE)&amp;VLOOKUP(I84,tablas!$S$3:$U$66,3,TRUE),tablas!$R$3:$S$66,2,FALSE)&lt;I84,VLOOKUP(I84+0.1,tablas!$S$3:$U$66,3,TRUE),VLOOKUP(I84,tablas!$S$3:$U$66,3,TRUE))&amp;"$",$C$13)</f>
        <v>$\phi8@17$</v>
      </c>
      <c r="J85" s="192" t="str">
        <f>IF(J84&gt;$C$12,"$\phi"&amp;IF(VLOOKUP(VLOOKUP(J84,tablas!$S$3:$U$66,2,TRUE)&amp;VLOOKUP(J84,tablas!$S$3:$U$66,3,TRUE),tablas!$R$3:$S$66,2,FALSE)&lt;J84,VLOOKUP(J84+0.1,tablas!$S$3:$U$66,2,TRUE),VLOOKUP(J84,tablas!$S$3:$U$66,2,TRUE))&amp;"@"&amp;IF(VLOOKUP(VLOOKUP(J84,tablas!$S$3:$U$66,2,TRUE)&amp;VLOOKUP(J84,tablas!$S$3:$U$66,3,TRUE),tablas!$R$3:$S$66,2,FALSE)&lt;J84,VLOOKUP(J84+0.1,tablas!$S$3:$U$66,3,TRUE),VLOOKUP(J84,tablas!$S$3:$U$66,3,TRUE))&amp;"$",$C$13)</f>
        <v>$\phi8@17$</v>
      </c>
      <c r="K85" s="192" t="str">
        <f>IF(K84&gt;$C$12,"$\phi"&amp;IF(VLOOKUP(VLOOKUP(K84,tablas!$S$3:$U$66,2,TRUE)&amp;VLOOKUP(K84,tablas!$S$3:$U$66,3,TRUE),tablas!$R$3:$S$66,2,FALSE)&lt;K84,VLOOKUP(K84+0.1,tablas!$S$3:$U$66,2,TRUE),VLOOKUP(K84,tablas!$S$3:$U$66,2,TRUE))&amp;"@"&amp;IF(VLOOKUP(VLOOKUP(K84,tablas!$S$3:$U$66,2,TRUE)&amp;VLOOKUP(K84,tablas!$S$3:$U$66,3,TRUE),tablas!$R$3:$S$66,2,FALSE)&lt;K84,VLOOKUP(K84+0.1,tablas!$S$3:$U$66,3,TRUE),VLOOKUP(K84,tablas!$S$3:$U$66,3,TRUE))&amp;"$",$C$13)</f>
        <v>$\phi8@17$</v>
      </c>
      <c r="L85" s="192" t="str">
        <f>IF(L84&gt;$C$12,"$\phi"&amp;IF(VLOOKUP(VLOOKUP(L84,tablas!$S$3:$U$66,2,TRUE)&amp;VLOOKUP(L84,tablas!$S$3:$U$66,3,TRUE),tablas!$R$3:$S$66,2,FALSE)&lt;L84,VLOOKUP(L84+0.1,tablas!$S$3:$U$66,2,TRUE),VLOOKUP(L84,tablas!$S$3:$U$66,2,TRUE))&amp;"@"&amp;IF(VLOOKUP(VLOOKUP(L84,tablas!$S$3:$U$66,2,TRUE)&amp;VLOOKUP(L84,tablas!$S$3:$U$66,3,TRUE),tablas!$R$3:$S$66,2,FALSE)&lt;L84,VLOOKUP(L84+0.1,tablas!$S$3:$U$66,3,TRUE),VLOOKUP(L84,tablas!$S$3:$U$66,3,TRUE))&amp;"$",$C$13)</f>
        <v>$\phi8@17$</v>
      </c>
      <c r="M85" s="192" t="str">
        <f>IF(M84&gt;$C$12,"$\phi"&amp;IF(VLOOKUP(VLOOKUP(M84,tablas!$S$3:$U$66,2,TRUE)&amp;VLOOKUP(M84,tablas!$S$3:$U$66,3,TRUE),tablas!$R$3:$S$66,2,FALSE)&lt;M84,VLOOKUP(M84+0.1,tablas!$S$3:$U$66,2,TRUE),VLOOKUP(M84,tablas!$S$3:$U$66,2,TRUE))&amp;"@"&amp;IF(VLOOKUP(VLOOKUP(M84,tablas!$S$3:$U$66,2,TRUE)&amp;VLOOKUP(M84,tablas!$S$3:$U$66,3,TRUE),tablas!$R$3:$S$66,2,FALSE)&lt;M84,VLOOKUP(M84+0.1,tablas!$S$3:$U$66,3,TRUE),VLOOKUP(M84,tablas!$S$3:$U$66,3,TRUE))&amp;"$",$C$13)</f>
        <v>$\phi10@19$</v>
      </c>
      <c r="N85" s="192" t="str">
        <f>IF(N84&gt;$C$12,"$\phi"&amp;IF(VLOOKUP(VLOOKUP(N84,tablas!$S$3:$U$66,2,TRUE)&amp;VLOOKUP(N84,tablas!$S$3:$U$66,3,TRUE),tablas!$R$3:$S$66,2,FALSE)&lt;N84,VLOOKUP(N84+0.1,tablas!$S$3:$U$66,2,TRUE),VLOOKUP(N84,tablas!$S$3:$U$66,2,TRUE))&amp;"@"&amp;IF(VLOOKUP(VLOOKUP(N84,tablas!$S$3:$U$66,2,TRUE)&amp;VLOOKUP(N84,tablas!$S$3:$U$66,3,TRUE),tablas!$R$3:$S$66,2,FALSE)&lt;N84,VLOOKUP(N84+0.1,tablas!$S$3:$U$66,3,TRUE),VLOOKUP(N84,tablas!$S$3:$U$66,3,TRUE))&amp;"$",$C$13)</f>
        <v>$\phi8@17$</v>
      </c>
      <c r="O85" s="192" t="str">
        <f>IF(O84&gt;$C$12,"$\phi"&amp;IF(VLOOKUP(VLOOKUP(O84,tablas!$S$3:$U$66,2,TRUE)&amp;VLOOKUP(O84,tablas!$S$3:$U$66,3,TRUE),tablas!$R$3:$S$66,2,FALSE)&lt;O84,VLOOKUP(O84+0.1,tablas!$S$3:$U$66,2,TRUE),VLOOKUP(O84,tablas!$S$3:$U$66,2,TRUE))&amp;"@"&amp;IF(VLOOKUP(VLOOKUP(O84,tablas!$S$3:$U$66,2,TRUE)&amp;VLOOKUP(O84,tablas!$S$3:$U$66,3,TRUE),tablas!$R$3:$S$66,2,FALSE)&lt;O84,VLOOKUP(O84+0.1,tablas!$S$3:$U$66,3,TRUE),VLOOKUP(O84,tablas!$S$3:$U$66,3,TRUE))&amp;"$",$C$13)</f>
        <v>$\phi8@17$</v>
      </c>
      <c r="P85" s="192" t="str">
        <f>IF(P84&gt;$C$12,"$\phi"&amp;IF(VLOOKUP(VLOOKUP(P84,tablas!$S$3:$U$66,2,TRUE)&amp;VLOOKUP(P84,tablas!$S$3:$U$66,3,TRUE),tablas!$R$3:$S$66,2,FALSE)&lt;P84,VLOOKUP(P84+0.1,tablas!$S$3:$U$66,2,TRUE),VLOOKUP(P84,tablas!$S$3:$U$66,2,TRUE))&amp;"@"&amp;IF(VLOOKUP(VLOOKUP(P84,tablas!$S$3:$U$66,2,TRUE)&amp;VLOOKUP(P84,tablas!$S$3:$U$66,3,TRUE),tablas!$R$3:$S$66,2,FALSE)&lt;P84,VLOOKUP(P84+0.1,tablas!$S$3:$U$66,3,TRUE),VLOOKUP(P84,tablas!$S$3:$U$66,3,TRUE))&amp;"$",$C$13)</f>
        <v>$\phi8@17$</v>
      </c>
      <c r="Q85" s="192" t="str">
        <f>IF(Q84&gt;$C$12,"$\phi"&amp;IF(VLOOKUP(VLOOKUP(Q84,tablas!$S$3:$U$66,2,TRUE)&amp;VLOOKUP(Q84,tablas!$S$3:$U$66,3,TRUE),tablas!$R$3:$S$66,2,FALSE)&lt;Q84,VLOOKUP(Q84+0.1,tablas!$S$3:$U$66,2,TRUE),VLOOKUP(Q84,tablas!$S$3:$U$66,2,TRUE))&amp;"@"&amp;IF(VLOOKUP(VLOOKUP(Q84,tablas!$S$3:$U$66,2,TRUE)&amp;VLOOKUP(Q84,tablas!$S$3:$U$66,3,TRUE),tablas!$R$3:$S$66,2,FALSE)&lt;Q84,VLOOKUP(Q84+0.1,tablas!$S$3:$U$66,3,TRUE),VLOOKUP(Q84,tablas!$S$3:$U$66,3,TRUE))&amp;"$",$C$13)</f>
        <v>$\phi8@17$</v>
      </c>
      <c r="R85" s="192" t="str">
        <f>IF(R84&gt;$C$12,"$\phi"&amp;IF(VLOOKUP(VLOOKUP(R84,tablas!$S$3:$U$66,2,TRUE)&amp;VLOOKUP(R84,tablas!$S$3:$U$66,3,TRUE),tablas!$R$3:$S$66,2,FALSE)&lt;R84,VLOOKUP(R84+0.1,tablas!$S$3:$U$66,2,TRUE),VLOOKUP(R84,tablas!$S$3:$U$66,2,TRUE))&amp;"@"&amp;IF(VLOOKUP(VLOOKUP(R84,tablas!$S$3:$U$66,2,TRUE)&amp;VLOOKUP(R84,tablas!$S$3:$U$66,3,TRUE),tablas!$R$3:$S$66,2,FALSE)&lt;R84,VLOOKUP(R84+0.1,tablas!$S$3:$U$66,3,TRUE),VLOOKUP(R84,tablas!$S$3:$U$66,3,TRUE))&amp;"$",$C$13)</f>
        <v>$\phi8@17$</v>
      </c>
      <c r="S85" s="192" t="str">
        <f>IF(S84&gt;$C$12,"$\phi"&amp;IF(VLOOKUP(VLOOKUP(S84,tablas!$S$3:$U$66,2,TRUE)&amp;VLOOKUP(S84,tablas!$S$3:$U$66,3,TRUE),tablas!$R$3:$S$66,2,FALSE)&lt;S84,VLOOKUP(S84+0.1,tablas!$S$3:$U$66,2,TRUE),VLOOKUP(S84,tablas!$S$3:$U$66,2,TRUE))&amp;"@"&amp;IF(VLOOKUP(VLOOKUP(S84,tablas!$S$3:$U$66,2,TRUE)&amp;VLOOKUP(S84,tablas!$S$3:$U$66,3,TRUE),tablas!$R$3:$S$66,2,FALSE)&lt;S84,VLOOKUP(S84+0.1,tablas!$S$3:$U$66,3,TRUE),VLOOKUP(S84,tablas!$S$3:$U$66,3,TRUE))&amp;"$",$C$13)</f>
        <v>$\phi8@17$</v>
      </c>
      <c r="T85" s="192" t="str">
        <f>IF(T84&gt;$C$12,"$\phi"&amp;IF(VLOOKUP(VLOOKUP(T84,tablas!$S$3:$U$66,2,TRUE)&amp;VLOOKUP(T84,tablas!$S$3:$U$66,3,TRUE),tablas!$R$3:$S$66,2,FALSE)&lt;T84,VLOOKUP(T84+0.1,tablas!$S$3:$U$66,2,TRUE),VLOOKUP(T84,tablas!$S$3:$U$66,2,TRUE))&amp;"@"&amp;IF(VLOOKUP(VLOOKUP(T84,tablas!$S$3:$U$66,2,TRUE)&amp;VLOOKUP(T84,tablas!$S$3:$U$66,3,TRUE),tablas!$R$3:$S$66,2,FALSE)&lt;T84,VLOOKUP(T84+0.1,tablas!$S$3:$U$66,3,TRUE),VLOOKUP(T84,tablas!$S$3:$U$66,3,TRUE))&amp;"$",$C$13)</f>
        <v>$\phi8@17$</v>
      </c>
      <c r="U85" s="192" t="str">
        <f>IF(U84&gt;$C$12,"$\phi"&amp;IF(VLOOKUP(VLOOKUP(U84,tablas!$S$3:$U$66,2,TRUE)&amp;VLOOKUP(U84,tablas!$S$3:$U$66,3,TRUE),tablas!$R$3:$S$66,2,FALSE)&lt;U84,VLOOKUP(U84+0.1,tablas!$S$3:$U$66,2,TRUE),VLOOKUP(U84,tablas!$S$3:$U$66,2,TRUE))&amp;"@"&amp;IF(VLOOKUP(VLOOKUP(U84,tablas!$S$3:$U$66,2,TRUE)&amp;VLOOKUP(U84,tablas!$S$3:$U$66,3,TRUE),tablas!$R$3:$S$66,2,FALSE)&lt;U84,VLOOKUP(U84+0.1,tablas!$S$3:$U$66,3,TRUE),VLOOKUP(U84,tablas!$S$3:$U$66,3,TRUE))&amp;"$",$C$13)</f>
        <v>$\phi8@17$</v>
      </c>
      <c r="V85" s="192" t="str">
        <f>IF(V84&gt;$C$12,"$\phi"&amp;IF(VLOOKUP(VLOOKUP(V84,tablas!$S$3:$U$66,2,TRUE)&amp;VLOOKUP(V84,tablas!$S$3:$U$66,3,TRUE),tablas!$R$3:$S$66,2,FALSE)&lt;V84,VLOOKUP(V84+0.1,tablas!$S$3:$U$66,2,TRUE),VLOOKUP(V84,tablas!$S$3:$U$66,2,TRUE))&amp;"@"&amp;IF(VLOOKUP(VLOOKUP(V84,tablas!$S$3:$U$66,2,TRUE)&amp;VLOOKUP(V84,tablas!$S$3:$U$66,3,TRUE),tablas!$R$3:$S$66,2,FALSE)&lt;V84,VLOOKUP(V84+0.1,tablas!$S$3:$U$66,3,TRUE),VLOOKUP(V84,tablas!$S$3:$U$66,3,TRUE))&amp;"$",$C$13)</f>
        <v>$\phi8@17$</v>
      </c>
      <c r="W85" s="192" t="str">
        <f>IF(W84&gt;$C$12,"$\phi"&amp;IF(VLOOKUP(VLOOKUP(W84,tablas!$S$3:$U$66,2,TRUE)&amp;VLOOKUP(W84,tablas!$S$3:$U$66,3,TRUE),tablas!$R$3:$S$66,2,FALSE)&lt;W84,VLOOKUP(W84+0.1,tablas!$S$3:$U$66,2,TRUE),VLOOKUP(W84,tablas!$S$3:$U$66,2,TRUE))&amp;"@"&amp;IF(VLOOKUP(VLOOKUP(W84,tablas!$S$3:$U$66,2,TRUE)&amp;VLOOKUP(W84,tablas!$S$3:$U$66,3,TRUE),tablas!$R$3:$S$66,2,FALSE)&lt;W84,VLOOKUP(W84+0.1,tablas!$S$3:$U$66,3,TRUE),VLOOKUP(W84,tablas!$S$3:$U$66,3,TRUE))&amp;"$",$C$13)</f>
        <v>$\phi8@17$</v>
      </c>
      <c r="X85" s="192" t="str">
        <f>IF(X84&gt;$C$12,"$\phi"&amp;IF(VLOOKUP(VLOOKUP(X84,tablas!$S$3:$U$66,2,TRUE)&amp;VLOOKUP(X84,tablas!$S$3:$U$66,3,TRUE),tablas!$R$3:$S$66,2,FALSE)&lt;X84,VLOOKUP(X84+0.1,tablas!$S$3:$U$66,2,TRUE),VLOOKUP(X84,tablas!$S$3:$U$66,2,TRUE))&amp;"@"&amp;IF(VLOOKUP(VLOOKUP(X84,tablas!$S$3:$U$66,2,TRUE)&amp;VLOOKUP(X84,tablas!$S$3:$U$66,3,TRUE),tablas!$R$3:$S$66,2,FALSE)&lt;X84,VLOOKUP(X84+0.1,tablas!$S$3:$U$66,3,TRUE),VLOOKUP(X84,tablas!$S$3:$U$66,3,TRUE))&amp;"$",$C$13)</f>
        <v>$\phi8@17$</v>
      </c>
    </row>
    <row r="86" spans="2:26" x14ac:dyDescent="0.25">
      <c r="B86" s="93" t="s">
        <v>104</v>
      </c>
      <c r="C86" s="88">
        <f t="shared" ref="C86:X86" si="23">IF(C53&lt;=2,C68/C60,IF(OR(C51=6,C51="5a",C51="3a"),C67*C48^2/17.5,(IF(OR(C51="2a",C51=4,C51="5b"),C67*C48^2/11.25,IF(OR(C51=1,C51="2b",C51="3b"),C67*C48^2/8)))))</f>
        <v>2320.2508960573477</v>
      </c>
      <c r="D86" s="88">
        <f t="shared" si="23"/>
        <v>1216.7161572052403</v>
      </c>
      <c r="E86" s="88">
        <f t="shared" si="23"/>
        <v>1216.7161572052403</v>
      </c>
      <c r="F86" s="88">
        <f t="shared" si="23"/>
        <v>2084.7312244897957</v>
      </c>
      <c r="G86" s="88">
        <f t="shared" si="23"/>
        <v>2015.9397209302329</v>
      </c>
      <c r="H86" s="88">
        <f t="shared" si="23"/>
        <v>1323.0049261083741</v>
      </c>
      <c r="I86" s="88">
        <f t="shared" si="23"/>
        <v>479.38048780487804</v>
      </c>
      <c r="J86" s="88">
        <f t="shared" si="23"/>
        <v>155.67999999999998</v>
      </c>
      <c r="K86" s="88">
        <f t="shared" si="23"/>
        <v>667.99428571428564</v>
      </c>
      <c r="L86" s="88">
        <f t="shared" si="23"/>
        <v>1323.0049261083741</v>
      </c>
      <c r="M86" s="88">
        <f t="shared" si="23"/>
        <v>1879.8058604651167</v>
      </c>
      <c r="N86" s="88">
        <f t="shared" si="23"/>
        <v>249.29093333333336</v>
      </c>
      <c r="O86" s="88">
        <f t="shared" si="23"/>
        <v>249.29093333333336</v>
      </c>
      <c r="P86" s="88">
        <f t="shared" si="23"/>
        <v>249.29093333333336</v>
      </c>
      <c r="Q86" s="88">
        <f t="shared" si="23"/>
        <v>249.29093333333336</v>
      </c>
      <c r="R86" s="88">
        <f t="shared" si="23"/>
        <v>118.25493333333335</v>
      </c>
      <c r="S86" s="88">
        <f t="shared" si="23"/>
        <v>118.25493333333335</v>
      </c>
      <c r="T86" s="88">
        <f t="shared" si="23"/>
        <v>196.31893333333335</v>
      </c>
      <c r="U86" s="88">
        <f t="shared" si="23"/>
        <v>196.31893333333335</v>
      </c>
      <c r="V86" s="88">
        <f t="shared" si="23"/>
        <v>59.870933333333333</v>
      </c>
      <c r="W86" s="88">
        <f t="shared" si="23"/>
        <v>53.573333333333331</v>
      </c>
      <c r="X86" s="88">
        <f t="shared" si="23"/>
        <v>555.22533936651575</v>
      </c>
    </row>
    <row r="87" spans="2:26" x14ac:dyDescent="0.25">
      <c r="B87" s="94" t="s">
        <v>15</v>
      </c>
      <c r="C87" s="89">
        <f t="shared" ref="C87:X87" si="24">C86/(0.9*(0.9*($C$7/100))*($L$9*1000))</f>
        <v>4.7805528689638592</v>
      </c>
      <c r="D87" s="89">
        <f t="shared" si="24"/>
        <v>2.5068736859129865</v>
      </c>
      <c r="E87" s="89">
        <f t="shared" si="24"/>
        <v>2.5068736859129865</v>
      </c>
      <c r="F87" s="89">
        <f t="shared" si="24"/>
        <v>4.2952974840729929</v>
      </c>
      <c r="G87" s="89">
        <f t="shared" si="24"/>
        <v>4.1535622000738277</v>
      </c>
      <c r="H87" s="89">
        <f t="shared" si="24"/>
        <v>2.7258668473775192</v>
      </c>
      <c r="I87" s="89">
        <f t="shared" si="24"/>
        <v>0.98769653324778284</v>
      </c>
      <c r="J87" s="89">
        <f t="shared" si="24"/>
        <v>0.32075689396561657</v>
      </c>
      <c r="K87" s="89">
        <f t="shared" si="24"/>
        <v>1.3763089174749159</v>
      </c>
      <c r="L87" s="89">
        <f t="shared" si="24"/>
        <v>2.7258668473775192</v>
      </c>
      <c r="M87" s="89">
        <f t="shared" si="24"/>
        <v>3.8730773963332101</v>
      </c>
      <c r="N87" s="89">
        <f t="shared" si="24"/>
        <v>0.51362914613174204</v>
      </c>
      <c r="O87" s="89">
        <f t="shared" si="24"/>
        <v>0.51362914613174204</v>
      </c>
      <c r="P87" s="89">
        <f t="shared" si="24"/>
        <v>0.51362914613174204</v>
      </c>
      <c r="Q87" s="89">
        <f t="shared" si="24"/>
        <v>0.51362914613174204</v>
      </c>
      <c r="R87" s="89">
        <f t="shared" si="24"/>
        <v>0.2436477717889971</v>
      </c>
      <c r="S87" s="89">
        <f t="shared" si="24"/>
        <v>0.2436477717889971</v>
      </c>
      <c r="T87" s="89">
        <f t="shared" si="24"/>
        <v>0.40448773948254729</v>
      </c>
      <c r="U87" s="89">
        <f t="shared" si="24"/>
        <v>0.40448773948254729</v>
      </c>
      <c r="V87" s="89">
        <f t="shared" si="24"/>
        <v>0.12335569511062758</v>
      </c>
      <c r="W87" s="89">
        <f t="shared" si="24"/>
        <v>0.11038036998576974</v>
      </c>
      <c r="X87" s="89">
        <f t="shared" si="24"/>
        <v>1.1439642555640352</v>
      </c>
    </row>
    <row r="88" spans="2:26" x14ac:dyDescent="0.25">
      <c r="B88" s="94" t="s">
        <v>98</v>
      </c>
      <c r="C88" s="91">
        <f t="shared" ref="C88:X88" si="25">(C87*($L$9))/(0.85*$L$6*100)</f>
        <v>0.11799749872644359</v>
      </c>
      <c r="D88" s="91">
        <f t="shared" si="25"/>
        <v>6.1876697668440499E-2</v>
      </c>
      <c r="E88" s="91">
        <f t="shared" si="25"/>
        <v>6.1876697668440499E-2</v>
      </c>
      <c r="F88" s="91">
        <f t="shared" si="25"/>
        <v>0.10602003017204388</v>
      </c>
      <c r="G88" s="91">
        <f t="shared" si="25"/>
        <v>0.10252160447702413</v>
      </c>
      <c r="H88" s="91">
        <f t="shared" si="25"/>
        <v>6.7282065206319394E-2</v>
      </c>
      <c r="I88" s="91">
        <f t="shared" si="25"/>
        <v>2.4379130117073301E-2</v>
      </c>
      <c r="J88" s="91">
        <f t="shared" si="25"/>
        <v>7.9171828499010333E-3</v>
      </c>
      <c r="K88" s="91">
        <f t="shared" si="25"/>
        <v>3.3971177432483506E-2</v>
      </c>
      <c r="L88" s="91">
        <f t="shared" si="25"/>
        <v>6.7282065206319394E-2</v>
      </c>
      <c r="M88" s="91">
        <f t="shared" si="25"/>
        <v>9.5598450151707842E-2</v>
      </c>
      <c r="N88" s="91">
        <f t="shared" si="25"/>
        <v>1.2677812834162952E-2</v>
      </c>
      <c r="O88" s="91">
        <f t="shared" si="25"/>
        <v>1.2677812834162952E-2</v>
      </c>
      <c r="P88" s="91">
        <f t="shared" si="25"/>
        <v>1.2677812834162952E-2</v>
      </c>
      <c r="Q88" s="91">
        <f t="shared" si="25"/>
        <v>1.2677812834162952E-2</v>
      </c>
      <c r="R88" s="91">
        <f t="shared" si="25"/>
        <v>6.0139127062105394E-3</v>
      </c>
      <c r="S88" s="91">
        <f t="shared" si="25"/>
        <v>6.0139127062105394E-3</v>
      </c>
      <c r="T88" s="91">
        <f t="shared" si="25"/>
        <v>9.9838957611609134E-3</v>
      </c>
      <c r="U88" s="91">
        <f t="shared" si="25"/>
        <v>9.9838957611609134E-3</v>
      </c>
      <c r="V88" s="91">
        <f t="shared" si="25"/>
        <v>3.0447657155333683E-3</v>
      </c>
      <c r="W88" s="91">
        <f t="shared" si="25"/>
        <v>2.7244981749659429E-3</v>
      </c>
      <c r="X88" s="91">
        <f t="shared" si="25"/>
        <v>2.8236257288431779E-2</v>
      </c>
    </row>
    <row r="89" spans="2:26" ht="15.75" thickBot="1" x14ac:dyDescent="0.3">
      <c r="B89" s="94" t="s">
        <v>15</v>
      </c>
      <c r="C89" s="76">
        <f t="shared" ref="C89:X89" si="26">ROUNDUP(C86/(0.9*(($C$7-C88/2)/100)*($L$9*1000)),2)</f>
        <v>4.33</v>
      </c>
      <c r="D89" s="76">
        <f t="shared" si="26"/>
        <v>2.2699999999999996</v>
      </c>
      <c r="E89" s="76">
        <f t="shared" si="26"/>
        <v>2.2699999999999996</v>
      </c>
      <c r="F89" s="76">
        <f t="shared" si="26"/>
        <v>3.8899999999999997</v>
      </c>
      <c r="G89" s="76">
        <f t="shared" si="26"/>
        <v>3.76</v>
      </c>
      <c r="H89" s="76">
        <f t="shared" si="26"/>
        <v>2.46</v>
      </c>
      <c r="I89" s="76">
        <f t="shared" si="26"/>
        <v>0.89</v>
      </c>
      <c r="J89" s="76">
        <f t="shared" si="26"/>
        <v>0.29000000000000004</v>
      </c>
      <c r="K89" s="76">
        <f t="shared" si="26"/>
        <v>1.25</v>
      </c>
      <c r="L89" s="76">
        <f t="shared" si="26"/>
        <v>2.46</v>
      </c>
      <c r="M89" s="76">
        <f t="shared" si="26"/>
        <v>3.5</v>
      </c>
      <c r="N89" s="76">
        <f t="shared" si="26"/>
        <v>0.47000000000000003</v>
      </c>
      <c r="O89" s="76">
        <f t="shared" si="26"/>
        <v>0.47000000000000003</v>
      </c>
      <c r="P89" s="76">
        <f t="shared" si="26"/>
        <v>0.47000000000000003</v>
      </c>
      <c r="Q89" s="76">
        <f t="shared" si="26"/>
        <v>0.47000000000000003</v>
      </c>
      <c r="R89" s="76">
        <f t="shared" si="26"/>
        <v>0.22</v>
      </c>
      <c r="S89" s="76">
        <f t="shared" si="26"/>
        <v>0.22</v>
      </c>
      <c r="T89" s="76">
        <f t="shared" si="26"/>
        <v>0.37</v>
      </c>
      <c r="U89" s="76">
        <f t="shared" si="26"/>
        <v>0.37</v>
      </c>
      <c r="V89" s="76">
        <f t="shared" si="26"/>
        <v>0.12</v>
      </c>
      <c r="W89" s="76">
        <f t="shared" si="26"/>
        <v>9.9999999999999992E-2</v>
      </c>
      <c r="X89" s="76">
        <f t="shared" si="26"/>
        <v>1.04</v>
      </c>
    </row>
    <row r="90" spans="2:26" ht="16.5" thickBot="1" x14ac:dyDescent="0.3">
      <c r="B90" s="61" t="s">
        <v>106</v>
      </c>
      <c r="C90" s="192" t="str">
        <f>IF(C89&gt;$C$12,"$\phi"&amp;IF(VLOOKUP(VLOOKUP(C89,tablas!$S$3:$U$66,2,TRUE)&amp;VLOOKUP(C89,tablas!$S$3:$U$66,3,TRUE),tablas!$R$3:$S$66,2,FALSE)&lt;C89,VLOOKUP(C89+0.1,tablas!$S$3:$U$66,2,TRUE),VLOOKUP(C89,tablas!$S$3:$U$66,2,TRUE))&amp;"@"&amp;IF(VLOOKUP(VLOOKUP(C89,tablas!$S$3:$U$66,2,TRUE)&amp;VLOOKUP(C89,tablas!$S$3:$U$66,3,TRUE),tablas!$R$3:$S$66,2,FALSE)&lt;C89,VLOOKUP(C89+0.1,tablas!$S$3:$U$66,3,TRUE),VLOOKUP(C89,tablas!$S$3:$U$66,3,TRUE))&amp;"$",$C$13)</f>
        <v>$\phi10@18$</v>
      </c>
      <c r="D90" s="192" t="str">
        <f>IF(D89&gt;$C$12,"$\phi"&amp;IF(VLOOKUP(VLOOKUP(D89,tablas!$S$3:$U$66,2,TRUE)&amp;VLOOKUP(D89,tablas!$S$3:$U$66,3,TRUE),tablas!$R$3:$S$66,2,FALSE)&lt;D89,VLOOKUP(D89+0.1,tablas!$S$3:$U$66,2,TRUE),VLOOKUP(D89,tablas!$S$3:$U$66,2,TRUE))&amp;"@"&amp;IF(VLOOKUP(VLOOKUP(D89,tablas!$S$3:$U$66,2,TRUE)&amp;VLOOKUP(D89,tablas!$S$3:$U$66,3,TRUE),tablas!$R$3:$S$66,2,FALSE)&lt;D89,VLOOKUP(D89+0.1,tablas!$S$3:$U$66,3,TRUE),VLOOKUP(D89,tablas!$S$3:$U$66,3,TRUE))&amp;"$",$C$13)</f>
        <v>$\phi8@17$</v>
      </c>
      <c r="E90" s="192" t="str">
        <f>IF(E89&gt;$C$12,"$\phi"&amp;IF(VLOOKUP(VLOOKUP(E89,tablas!$S$3:$U$66,2,TRUE)&amp;VLOOKUP(E89,tablas!$S$3:$U$66,3,TRUE),tablas!$R$3:$S$66,2,FALSE)&lt;E89,VLOOKUP(E89+0.1,tablas!$S$3:$U$66,2,TRUE),VLOOKUP(E89,tablas!$S$3:$U$66,2,TRUE))&amp;"@"&amp;IF(VLOOKUP(VLOOKUP(E89,tablas!$S$3:$U$66,2,TRUE)&amp;VLOOKUP(E89,tablas!$S$3:$U$66,3,TRUE),tablas!$R$3:$S$66,2,FALSE)&lt;E89,VLOOKUP(E89+0.1,tablas!$S$3:$U$66,3,TRUE),VLOOKUP(E89,tablas!$S$3:$U$66,3,TRUE))&amp;"$",$C$13)</f>
        <v>$\phi8@17$</v>
      </c>
      <c r="F90" s="192" t="str">
        <f>IF(F89&gt;$C$12,"$\phi"&amp;IF(VLOOKUP(VLOOKUP(F89,tablas!$S$3:$U$66,2,TRUE)&amp;VLOOKUP(F89,tablas!$S$3:$U$66,3,TRUE),tablas!$R$3:$S$66,2,FALSE)&lt;F89,VLOOKUP(F89+0.1,tablas!$S$3:$U$66,2,TRUE),VLOOKUP(F89,tablas!$S$3:$U$66,2,TRUE))&amp;"@"&amp;IF(VLOOKUP(VLOOKUP(F89,tablas!$S$3:$U$66,2,TRUE)&amp;VLOOKUP(F89,tablas!$S$3:$U$66,3,TRUE),tablas!$R$3:$S$66,2,FALSE)&lt;F89,VLOOKUP(F89+0.1,tablas!$S$3:$U$66,3,TRUE),VLOOKUP(F89,tablas!$S$3:$U$66,3,TRUE))&amp;"$",$C$13)</f>
        <v>$\phi10@20$</v>
      </c>
      <c r="G90" s="192" t="str">
        <f>IF(G89&gt;$C$12,"$\phi"&amp;IF(VLOOKUP(VLOOKUP(G89,tablas!$S$3:$U$66,2,TRUE)&amp;VLOOKUP(G89,tablas!$S$3:$U$66,3,TRUE),tablas!$R$3:$S$66,2,FALSE)&lt;G89,VLOOKUP(G89+0.1,tablas!$S$3:$U$66,2,TRUE),VLOOKUP(G89,tablas!$S$3:$U$66,2,TRUE))&amp;"@"&amp;IF(VLOOKUP(VLOOKUP(G89,tablas!$S$3:$U$66,2,TRUE)&amp;VLOOKUP(G89,tablas!$S$3:$U$66,3,TRUE),tablas!$R$3:$S$66,2,FALSE)&lt;G89,VLOOKUP(G89+0.1,tablas!$S$3:$U$66,3,TRUE),VLOOKUP(G89,tablas!$S$3:$U$66,3,TRUE))&amp;"$",$C$13)</f>
        <v>$\phi10@21$</v>
      </c>
      <c r="H90" s="192" t="str">
        <f>IF(H89&gt;$C$12,"$\phi"&amp;IF(VLOOKUP(VLOOKUP(H89,tablas!$S$3:$U$66,2,TRUE)&amp;VLOOKUP(H89,tablas!$S$3:$U$66,3,TRUE),tablas!$R$3:$S$66,2,FALSE)&lt;H89,VLOOKUP(H89+0.1,tablas!$S$3:$U$66,2,TRUE),VLOOKUP(H89,tablas!$S$3:$U$66,2,TRUE))&amp;"@"&amp;IF(VLOOKUP(VLOOKUP(H89,tablas!$S$3:$U$66,2,TRUE)&amp;VLOOKUP(H89,tablas!$S$3:$U$66,3,TRUE),tablas!$R$3:$S$66,2,FALSE)&lt;H89,VLOOKUP(H89+0.1,tablas!$S$3:$U$66,3,TRUE),VLOOKUP(H89,tablas!$S$3:$U$66,3,TRUE))&amp;"$",$C$13)</f>
        <v>$\phi8@17$</v>
      </c>
      <c r="I90" s="192" t="str">
        <f>IF(I89&gt;$C$12,"$\phi"&amp;IF(VLOOKUP(VLOOKUP(I89,tablas!$S$3:$U$66,2,TRUE)&amp;VLOOKUP(I89,tablas!$S$3:$U$66,3,TRUE),tablas!$R$3:$S$66,2,FALSE)&lt;I89,VLOOKUP(I89+0.1,tablas!$S$3:$U$66,2,TRUE),VLOOKUP(I89,tablas!$S$3:$U$66,2,TRUE))&amp;"@"&amp;IF(VLOOKUP(VLOOKUP(I89,tablas!$S$3:$U$66,2,TRUE)&amp;VLOOKUP(I89,tablas!$S$3:$U$66,3,TRUE),tablas!$R$3:$S$66,2,FALSE)&lt;I89,VLOOKUP(I89+0.1,tablas!$S$3:$U$66,3,TRUE),VLOOKUP(I89,tablas!$S$3:$U$66,3,TRUE))&amp;"$",$C$13)</f>
        <v>$\phi8@17$</v>
      </c>
      <c r="J90" s="192" t="str">
        <f>IF(J89&gt;$C$12,"$\phi"&amp;IF(VLOOKUP(VLOOKUP(J89,tablas!$S$3:$U$66,2,TRUE)&amp;VLOOKUP(J89,tablas!$S$3:$U$66,3,TRUE),tablas!$R$3:$S$66,2,FALSE)&lt;J89,VLOOKUP(J89+0.1,tablas!$S$3:$U$66,2,TRUE),VLOOKUP(J89,tablas!$S$3:$U$66,2,TRUE))&amp;"@"&amp;IF(VLOOKUP(VLOOKUP(J89,tablas!$S$3:$U$66,2,TRUE)&amp;VLOOKUP(J89,tablas!$S$3:$U$66,3,TRUE),tablas!$R$3:$S$66,2,FALSE)&lt;J89,VLOOKUP(J89+0.1,tablas!$S$3:$U$66,3,TRUE),VLOOKUP(J89,tablas!$S$3:$U$66,3,TRUE))&amp;"$",$C$13)</f>
        <v>$\phi8@17$</v>
      </c>
      <c r="K90" s="192" t="str">
        <f>IF(K89&gt;$C$12,"$\phi"&amp;IF(VLOOKUP(VLOOKUP(K89,tablas!$S$3:$U$66,2,TRUE)&amp;VLOOKUP(K89,tablas!$S$3:$U$66,3,TRUE),tablas!$R$3:$S$66,2,FALSE)&lt;K89,VLOOKUP(K89+0.1,tablas!$S$3:$U$66,2,TRUE),VLOOKUP(K89,tablas!$S$3:$U$66,2,TRUE))&amp;"@"&amp;IF(VLOOKUP(VLOOKUP(K89,tablas!$S$3:$U$66,2,TRUE)&amp;VLOOKUP(K89,tablas!$S$3:$U$66,3,TRUE),tablas!$R$3:$S$66,2,FALSE)&lt;K89,VLOOKUP(K89+0.1,tablas!$S$3:$U$66,3,TRUE),VLOOKUP(K89,tablas!$S$3:$U$66,3,TRUE))&amp;"$",$C$13)</f>
        <v>$\phi8@17$</v>
      </c>
      <c r="L90" s="192" t="str">
        <f>IF(L89&gt;$C$12,"$\phi"&amp;IF(VLOOKUP(VLOOKUP(L89,tablas!$S$3:$U$66,2,TRUE)&amp;VLOOKUP(L89,tablas!$S$3:$U$66,3,TRUE),tablas!$R$3:$S$66,2,FALSE)&lt;L89,VLOOKUP(L89+0.1,tablas!$S$3:$U$66,2,TRUE),VLOOKUP(L89,tablas!$S$3:$U$66,2,TRUE))&amp;"@"&amp;IF(VLOOKUP(VLOOKUP(L89,tablas!$S$3:$U$66,2,TRUE)&amp;VLOOKUP(L89,tablas!$S$3:$U$66,3,TRUE),tablas!$R$3:$S$66,2,FALSE)&lt;L89,VLOOKUP(L89+0.1,tablas!$S$3:$U$66,3,TRUE),VLOOKUP(L89,tablas!$S$3:$U$66,3,TRUE))&amp;"$",$C$13)</f>
        <v>$\phi8@17$</v>
      </c>
      <c r="M90" s="192" t="str">
        <f>IF(M89&gt;$C$12,"$\phi"&amp;IF(VLOOKUP(VLOOKUP(M89,tablas!$S$3:$U$66,2,TRUE)&amp;VLOOKUP(M89,tablas!$S$3:$U$66,3,TRUE),tablas!$R$3:$S$66,2,FALSE)&lt;M89,VLOOKUP(M89+0.1,tablas!$S$3:$U$66,2,TRUE),VLOOKUP(M89,tablas!$S$3:$U$66,2,TRUE))&amp;"@"&amp;IF(VLOOKUP(VLOOKUP(M89,tablas!$S$3:$U$66,2,TRUE)&amp;VLOOKUP(M89,tablas!$S$3:$U$66,3,TRUE),tablas!$R$3:$S$66,2,FALSE)&lt;M89,VLOOKUP(M89+0.1,tablas!$S$3:$U$66,3,TRUE),VLOOKUP(M89,tablas!$S$3:$U$66,3,TRUE))&amp;"$",$C$13)</f>
        <v>$\phi8@14$</v>
      </c>
      <c r="N90" s="192" t="str">
        <f>IF(N89&gt;$C$12,"$\phi"&amp;IF(VLOOKUP(VLOOKUP(N89,tablas!$S$3:$U$66,2,TRUE)&amp;VLOOKUP(N89,tablas!$S$3:$U$66,3,TRUE),tablas!$R$3:$S$66,2,FALSE)&lt;N89,VLOOKUP(N89+0.1,tablas!$S$3:$U$66,2,TRUE),VLOOKUP(N89,tablas!$S$3:$U$66,2,TRUE))&amp;"@"&amp;IF(VLOOKUP(VLOOKUP(N89,tablas!$S$3:$U$66,2,TRUE)&amp;VLOOKUP(N89,tablas!$S$3:$U$66,3,TRUE),tablas!$R$3:$S$66,2,FALSE)&lt;N89,VLOOKUP(N89+0.1,tablas!$S$3:$U$66,3,TRUE),VLOOKUP(N89,tablas!$S$3:$U$66,3,TRUE))&amp;"$",$C$13)</f>
        <v>$\phi8@17$</v>
      </c>
      <c r="O90" s="192" t="str">
        <f>IF(O89&gt;$C$12,"$\phi"&amp;IF(VLOOKUP(VLOOKUP(O89,tablas!$S$3:$U$66,2,TRUE)&amp;VLOOKUP(O89,tablas!$S$3:$U$66,3,TRUE),tablas!$R$3:$S$66,2,FALSE)&lt;O89,VLOOKUP(O89+0.1,tablas!$S$3:$U$66,2,TRUE),VLOOKUP(O89,tablas!$S$3:$U$66,2,TRUE))&amp;"@"&amp;IF(VLOOKUP(VLOOKUP(O89,tablas!$S$3:$U$66,2,TRUE)&amp;VLOOKUP(O89,tablas!$S$3:$U$66,3,TRUE),tablas!$R$3:$S$66,2,FALSE)&lt;O89,VLOOKUP(O89+0.1,tablas!$S$3:$U$66,3,TRUE),VLOOKUP(O89,tablas!$S$3:$U$66,3,TRUE))&amp;"$",$C$13)</f>
        <v>$\phi8@17$</v>
      </c>
      <c r="P90" s="192" t="str">
        <f>IF(P89&gt;$C$12,"$\phi"&amp;IF(VLOOKUP(VLOOKUP(P89,tablas!$S$3:$U$66,2,TRUE)&amp;VLOOKUP(P89,tablas!$S$3:$U$66,3,TRUE),tablas!$R$3:$S$66,2,FALSE)&lt;P89,VLOOKUP(P89+0.1,tablas!$S$3:$U$66,2,TRUE),VLOOKUP(P89,tablas!$S$3:$U$66,2,TRUE))&amp;"@"&amp;IF(VLOOKUP(VLOOKUP(P89,tablas!$S$3:$U$66,2,TRUE)&amp;VLOOKUP(P89,tablas!$S$3:$U$66,3,TRUE),tablas!$R$3:$S$66,2,FALSE)&lt;P89,VLOOKUP(P89+0.1,tablas!$S$3:$U$66,3,TRUE),VLOOKUP(P89,tablas!$S$3:$U$66,3,TRUE))&amp;"$",$C$13)</f>
        <v>$\phi8@17$</v>
      </c>
      <c r="Q90" s="192" t="str">
        <f>IF(Q89&gt;$C$12,"$\phi"&amp;IF(VLOOKUP(VLOOKUP(Q89,tablas!$S$3:$U$66,2,TRUE)&amp;VLOOKUP(Q89,tablas!$S$3:$U$66,3,TRUE),tablas!$R$3:$S$66,2,FALSE)&lt;Q89,VLOOKUP(Q89+0.1,tablas!$S$3:$U$66,2,TRUE),VLOOKUP(Q89,tablas!$S$3:$U$66,2,TRUE))&amp;"@"&amp;IF(VLOOKUP(VLOOKUP(Q89,tablas!$S$3:$U$66,2,TRUE)&amp;VLOOKUP(Q89,tablas!$S$3:$U$66,3,TRUE),tablas!$R$3:$S$66,2,FALSE)&lt;Q89,VLOOKUP(Q89+0.1,tablas!$S$3:$U$66,3,TRUE),VLOOKUP(Q89,tablas!$S$3:$U$66,3,TRUE))&amp;"$",$C$13)</f>
        <v>$\phi8@17$</v>
      </c>
      <c r="R90" s="192" t="str">
        <f>IF(R89&gt;$C$12,"$\phi"&amp;IF(VLOOKUP(VLOOKUP(R89,tablas!$S$3:$U$66,2,TRUE)&amp;VLOOKUP(R89,tablas!$S$3:$U$66,3,TRUE),tablas!$R$3:$S$66,2,FALSE)&lt;R89,VLOOKUP(R89+0.1,tablas!$S$3:$U$66,2,TRUE),VLOOKUP(R89,tablas!$S$3:$U$66,2,TRUE))&amp;"@"&amp;IF(VLOOKUP(VLOOKUP(R89,tablas!$S$3:$U$66,2,TRUE)&amp;VLOOKUP(R89,tablas!$S$3:$U$66,3,TRUE),tablas!$R$3:$S$66,2,FALSE)&lt;R89,VLOOKUP(R89+0.1,tablas!$S$3:$U$66,3,TRUE),VLOOKUP(R89,tablas!$S$3:$U$66,3,TRUE))&amp;"$",$C$13)</f>
        <v>$\phi8@17$</v>
      </c>
      <c r="S90" s="192" t="str">
        <f>IF(S89&gt;$C$12,"$\phi"&amp;IF(VLOOKUP(VLOOKUP(S89,tablas!$S$3:$U$66,2,TRUE)&amp;VLOOKUP(S89,tablas!$S$3:$U$66,3,TRUE),tablas!$R$3:$S$66,2,FALSE)&lt;S89,VLOOKUP(S89+0.1,tablas!$S$3:$U$66,2,TRUE),VLOOKUP(S89,tablas!$S$3:$U$66,2,TRUE))&amp;"@"&amp;IF(VLOOKUP(VLOOKUP(S89,tablas!$S$3:$U$66,2,TRUE)&amp;VLOOKUP(S89,tablas!$S$3:$U$66,3,TRUE),tablas!$R$3:$S$66,2,FALSE)&lt;S89,VLOOKUP(S89+0.1,tablas!$S$3:$U$66,3,TRUE),VLOOKUP(S89,tablas!$S$3:$U$66,3,TRUE))&amp;"$",$C$13)</f>
        <v>$\phi8@17$</v>
      </c>
      <c r="T90" s="192" t="str">
        <f>IF(T89&gt;$C$12,"$\phi"&amp;IF(VLOOKUP(VLOOKUP(T89,tablas!$S$3:$U$66,2,TRUE)&amp;VLOOKUP(T89,tablas!$S$3:$U$66,3,TRUE),tablas!$R$3:$S$66,2,FALSE)&lt;T89,VLOOKUP(T89+0.1,tablas!$S$3:$U$66,2,TRUE),VLOOKUP(T89,tablas!$S$3:$U$66,2,TRUE))&amp;"@"&amp;IF(VLOOKUP(VLOOKUP(T89,tablas!$S$3:$U$66,2,TRUE)&amp;VLOOKUP(T89,tablas!$S$3:$U$66,3,TRUE),tablas!$R$3:$S$66,2,FALSE)&lt;T89,VLOOKUP(T89+0.1,tablas!$S$3:$U$66,3,TRUE),VLOOKUP(T89,tablas!$S$3:$U$66,3,TRUE))&amp;"$",$C$13)</f>
        <v>$\phi8@17$</v>
      </c>
      <c r="U90" s="192" t="str">
        <f>IF(U89&gt;$C$12,"$\phi"&amp;IF(VLOOKUP(VLOOKUP(U89,tablas!$S$3:$U$66,2,TRUE)&amp;VLOOKUP(U89,tablas!$S$3:$U$66,3,TRUE),tablas!$R$3:$S$66,2,FALSE)&lt;U89,VLOOKUP(U89+0.1,tablas!$S$3:$U$66,2,TRUE),VLOOKUP(U89,tablas!$S$3:$U$66,2,TRUE))&amp;"@"&amp;IF(VLOOKUP(VLOOKUP(U89,tablas!$S$3:$U$66,2,TRUE)&amp;VLOOKUP(U89,tablas!$S$3:$U$66,3,TRUE),tablas!$R$3:$S$66,2,FALSE)&lt;U89,VLOOKUP(U89+0.1,tablas!$S$3:$U$66,3,TRUE),VLOOKUP(U89,tablas!$S$3:$U$66,3,TRUE))&amp;"$",$C$13)</f>
        <v>$\phi8@17$</v>
      </c>
      <c r="V90" s="192" t="str">
        <f>IF(V89&gt;$C$12,"$\phi"&amp;IF(VLOOKUP(VLOOKUP(V89,tablas!$S$3:$U$66,2,TRUE)&amp;VLOOKUP(V89,tablas!$S$3:$U$66,3,TRUE),tablas!$R$3:$S$66,2,FALSE)&lt;V89,VLOOKUP(V89+0.1,tablas!$S$3:$U$66,2,TRUE),VLOOKUP(V89,tablas!$S$3:$U$66,2,TRUE))&amp;"@"&amp;IF(VLOOKUP(VLOOKUP(V89,tablas!$S$3:$U$66,2,TRUE)&amp;VLOOKUP(V89,tablas!$S$3:$U$66,3,TRUE),tablas!$R$3:$S$66,2,FALSE)&lt;V89,VLOOKUP(V89+0.1,tablas!$S$3:$U$66,3,TRUE),VLOOKUP(V89,tablas!$S$3:$U$66,3,TRUE))&amp;"$",$C$13)</f>
        <v>$\phi8@17$</v>
      </c>
      <c r="W90" s="192" t="str">
        <f>IF(W89&gt;$C$12,"$\phi"&amp;IF(VLOOKUP(VLOOKUP(W89,tablas!$S$3:$U$66,2,TRUE)&amp;VLOOKUP(W89,tablas!$S$3:$U$66,3,TRUE),tablas!$R$3:$S$66,2,FALSE)&lt;W89,VLOOKUP(W89+0.1,tablas!$S$3:$U$66,2,TRUE),VLOOKUP(W89,tablas!$S$3:$U$66,2,TRUE))&amp;"@"&amp;IF(VLOOKUP(VLOOKUP(W89,tablas!$S$3:$U$66,2,TRUE)&amp;VLOOKUP(W89,tablas!$S$3:$U$66,3,TRUE),tablas!$R$3:$S$66,2,FALSE)&lt;W89,VLOOKUP(W89+0.1,tablas!$S$3:$U$66,3,TRUE),VLOOKUP(W89,tablas!$S$3:$U$66,3,TRUE))&amp;"$",$C$13)</f>
        <v>$\phi8@17$</v>
      </c>
      <c r="X90" s="192" t="str">
        <f>IF(X89&gt;$C$12,"$\phi"&amp;IF(VLOOKUP(VLOOKUP(X89,tablas!$S$3:$U$66,2,TRUE)&amp;VLOOKUP(X89,tablas!$S$3:$U$66,3,TRUE),tablas!$R$3:$S$66,2,FALSE)&lt;X89,VLOOKUP(X89+0.1,tablas!$S$3:$U$66,2,TRUE),VLOOKUP(X89,tablas!$S$3:$U$66,2,TRUE))&amp;"@"&amp;IF(VLOOKUP(VLOOKUP(X89,tablas!$S$3:$U$66,2,TRUE)&amp;VLOOKUP(X89,tablas!$S$3:$U$66,3,TRUE),tablas!$R$3:$S$66,2,FALSE)&lt;X89,VLOOKUP(X89+0.1,tablas!$S$3:$U$66,3,TRUE),VLOOKUP(X89,tablas!$S$3:$U$66,3,TRUE))&amp;"$",$C$13)</f>
        <v>$\phi8@17$</v>
      </c>
    </row>
    <row r="92" spans="2:26" ht="15.75" thickBot="1" x14ac:dyDescent="0.3">
      <c r="B92" s="299" t="s">
        <v>107</v>
      </c>
      <c r="C92" s="299"/>
      <c r="P92" s="40"/>
      <c r="T92" s="40"/>
      <c r="U92" s="41"/>
    </row>
    <row r="93" spans="2:26" ht="15.75" thickBot="1" x14ac:dyDescent="0.3">
      <c r="B93" s="73" t="s">
        <v>43</v>
      </c>
      <c r="C93" s="74" t="s">
        <v>186</v>
      </c>
      <c r="D93" s="75" t="s">
        <v>188</v>
      </c>
      <c r="E93" s="74" t="s">
        <v>186</v>
      </c>
      <c r="F93" s="75" t="s">
        <v>191</v>
      </c>
      <c r="G93" s="74" t="s">
        <v>186</v>
      </c>
      <c r="H93" s="75" t="s">
        <v>192</v>
      </c>
      <c r="I93" s="74" t="s">
        <v>186</v>
      </c>
      <c r="J93" s="75" t="s">
        <v>198</v>
      </c>
      <c r="K93" s="74" t="s">
        <v>186</v>
      </c>
      <c r="L93" s="75" t="s">
        <v>207</v>
      </c>
      <c r="M93" s="74" t="s">
        <v>188</v>
      </c>
      <c r="N93" s="75" t="s">
        <v>189</v>
      </c>
      <c r="O93" s="74" t="s">
        <v>188</v>
      </c>
      <c r="P93" s="75" t="s">
        <v>194</v>
      </c>
      <c r="Q93" s="74" t="s">
        <v>188</v>
      </c>
      <c r="R93" s="75" t="s">
        <v>199</v>
      </c>
      <c r="S93" s="74" t="s">
        <v>189</v>
      </c>
      <c r="T93" s="75" t="s">
        <v>200</v>
      </c>
      <c r="U93" s="74" t="s">
        <v>189</v>
      </c>
      <c r="V93" s="75" t="s">
        <v>194</v>
      </c>
      <c r="W93" s="74" t="s">
        <v>189</v>
      </c>
      <c r="X93" s="75" t="s">
        <v>190</v>
      </c>
      <c r="Y93" s="74" t="s">
        <v>190</v>
      </c>
      <c r="Z93" s="75" t="s">
        <v>201</v>
      </c>
    </row>
    <row r="94" spans="2:26" ht="15.75" hidden="1" thickBot="1" x14ac:dyDescent="0.3">
      <c r="B94" s="141"/>
      <c r="C94" s="143" t="str">
        <f>C93&amp;"-"&amp;D93</f>
        <v>1401-1402</v>
      </c>
      <c r="D94" s="143"/>
      <c r="E94" s="143" t="str">
        <f>E93&amp;"-"&amp;F93</f>
        <v>1401-1405</v>
      </c>
      <c r="F94" s="142"/>
      <c r="G94" s="143" t="str">
        <f>G93&amp;"-"&amp;H93</f>
        <v>1401-1406</v>
      </c>
      <c r="H94" s="142"/>
      <c r="I94" s="143" t="str">
        <f>I93&amp;"-"&amp;J93</f>
        <v>1401-1412</v>
      </c>
      <c r="J94" s="142"/>
      <c r="K94" s="143" t="str">
        <f>K93&amp;"-"&amp;L93</f>
        <v>1401-1421</v>
      </c>
      <c r="L94" s="142"/>
      <c r="M94" s="143" t="str">
        <f>M93&amp;"-"&amp;N93</f>
        <v>1402-1403</v>
      </c>
      <c r="N94" s="142"/>
      <c r="O94" s="143" t="str">
        <f>O93&amp;"-"&amp;P93</f>
        <v>1402-1408</v>
      </c>
      <c r="P94" s="142"/>
      <c r="Q94" s="143" t="str">
        <f>Q93&amp;"-"&amp;R93</f>
        <v>1402-1413</v>
      </c>
      <c r="R94" s="142"/>
      <c r="S94" s="143" t="str">
        <f>S93&amp;"-"&amp;T93</f>
        <v>1403-1414</v>
      </c>
      <c r="T94" s="142"/>
      <c r="U94" s="143" t="str">
        <f>U93&amp;"-"&amp;V93</f>
        <v>1403-1408</v>
      </c>
      <c r="V94" s="142"/>
      <c r="W94" s="143" t="str">
        <f>W93&amp;"-"&amp;X93</f>
        <v>1403-1404</v>
      </c>
      <c r="X94" s="142"/>
      <c r="Y94" s="143" t="str">
        <f>Y93&amp;"-"&amp;Z93</f>
        <v>1404-1415</v>
      </c>
      <c r="Z94" s="142"/>
    </row>
    <row r="95" spans="2:26" x14ac:dyDescent="0.25">
      <c r="B95" s="102" t="s">
        <v>114</v>
      </c>
      <c r="C95" s="99" t="s">
        <v>109</v>
      </c>
      <c r="D95" s="100" t="s">
        <v>109</v>
      </c>
      <c r="E95" s="99" t="s">
        <v>108</v>
      </c>
      <c r="F95" s="100" t="s">
        <v>108</v>
      </c>
      <c r="G95" s="99" t="s">
        <v>108</v>
      </c>
      <c r="H95" s="100" t="s">
        <v>109</v>
      </c>
      <c r="I95" s="99" t="s">
        <v>108</v>
      </c>
      <c r="J95" s="100" t="s">
        <v>108</v>
      </c>
      <c r="K95" s="99" t="s">
        <v>109</v>
      </c>
      <c r="L95" s="100" t="s">
        <v>108</v>
      </c>
      <c r="M95" s="99" t="s">
        <v>109</v>
      </c>
      <c r="N95" s="100" t="s">
        <v>109</v>
      </c>
      <c r="O95" s="99" t="s">
        <v>108</v>
      </c>
      <c r="P95" s="100" t="s">
        <v>108</v>
      </c>
      <c r="Q95" s="99" t="s">
        <v>108</v>
      </c>
      <c r="R95" s="100" t="s">
        <v>108</v>
      </c>
      <c r="S95" s="99" t="s">
        <v>108</v>
      </c>
      <c r="T95" s="100" t="s">
        <v>108</v>
      </c>
      <c r="U95" s="99" t="s">
        <v>108</v>
      </c>
      <c r="V95" s="100" t="s">
        <v>108</v>
      </c>
      <c r="W95" s="99" t="s">
        <v>109</v>
      </c>
      <c r="X95" s="100" t="s">
        <v>109</v>
      </c>
      <c r="Y95" s="99" t="s">
        <v>108</v>
      </c>
      <c r="Z95" s="100" t="s">
        <v>108</v>
      </c>
    </row>
    <row r="96" spans="2:26" x14ac:dyDescent="0.25">
      <c r="B96" s="103" t="s">
        <v>110</v>
      </c>
      <c r="C96" s="101">
        <f t="shared" ref="C96:Z96" si="27">HLOOKUP(C93,$B$46:$AE$90,IF(C95="x",36,41),FALSE)</f>
        <v>2320.2508960573477</v>
      </c>
      <c r="D96" s="85">
        <f t="shared" si="27"/>
        <v>1216.7161572052403</v>
      </c>
      <c r="E96" s="101">
        <f t="shared" si="27"/>
        <v>3157.8048780487807</v>
      </c>
      <c r="F96" s="85">
        <f t="shared" si="27"/>
        <v>2330.2529032258067</v>
      </c>
      <c r="G96" s="101">
        <f t="shared" si="27"/>
        <v>3157.8048780487807</v>
      </c>
      <c r="H96" s="85">
        <f t="shared" si="27"/>
        <v>1323.0049261083741</v>
      </c>
      <c r="I96" s="101">
        <f t="shared" si="27"/>
        <v>3157.8048780487807</v>
      </c>
      <c r="J96" s="85">
        <f t="shared" si="27"/>
        <v>350.56537500000002</v>
      </c>
      <c r="K96" s="101">
        <f t="shared" si="27"/>
        <v>2320.2508960573477</v>
      </c>
      <c r="L96" s="85">
        <f t="shared" si="27"/>
        <v>75.337499999999991</v>
      </c>
      <c r="M96" s="101">
        <f t="shared" si="27"/>
        <v>1216.7161572052403</v>
      </c>
      <c r="N96" s="85">
        <f t="shared" si="27"/>
        <v>1216.7161572052403</v>
      </c>
      <c r="O96" s="101">
        <f t="shared" si="27"/>
        <v>1482.063829787234</v>
      </c>
      <c r="P96" s="85">
        <f t="shared" si="27"/>
        <v>227.0333333333333</v>
      </c>
      <c r="Q96" s="101">
        <f t="shared" si="27"/>
        <v>1482.063829787234</v>
      </c>
      <c r="R96" s="85">
        <f t="shared" si="27"/>
        <v>350.56537500000002</v>
      </c>
      <c r="S96" s="101">
        <f t="shared" si="27"/>
        <v>1482.063829787234</v>
      </c>
      <c r="T96" s="85">
        <f t="shared" si="27"/>
        <v>350.56537500000002</v>
      </c>
      <c r="U96" s="101">
        <f t="shared" si="27"/>
        <v>1482.063829787234</v>
      </c>
      <c r="V96" s="85">
        <f t="shared" si="27"/>
        <v>227.0333333333333</v>
      </c>
      <c r="W96" s="101">
        <f t="shared" si="27"/>
        <v>1216.7161572052403</v>
      </c>
      <c r="X96" s="85">
        <f t="shared" si="27"/>
        <v>2084.7312244897957</v>
      </c>
      <c r="Y96" s="101">
        <f t="shared" si="27"/>
        <v>2660.2039062500003</v>
      </c>
      <c r="Z96" s="85">
        <f t="shared" si="27"/>
        <v>350.56537500000002</v>
      </c>
    </row>
    <row r="97" spans="2:26" x14ac:dyDescent="0.25">
      <c r="B97" s="103" t="s">
        <v>111</v>
      </c>
      <c r="C97" s="283">
        <f>(MAX(C96:D96)-MIN(C96:D96))/(MAX(C96:D96))</f>
        <v>0.47561009058428666</v>
      </c>
      <c r="D97" s="284"/>
      <c r="E97" s="283">
        <f>(MAX(E96:F96)-MIN(E96:F96))/(MAX(E96:F96))</f>
        <v>0.26206558251133028</v>
      </c>
      <c r="F97" s="284"/>
      <c r="G97" s="283">
        <f>(MAX(G96:H96)-MIN(G96:H96))/(MAX(G96:H96))</f>
        <v>0.58103651834059367</v>
      </c>
      <c r="H97" s="284"/>
      <c r="I97" s="283">
        <f>(MAX(I96:J96)-MIN(I96:J96))/(MAX(I96:J96))</f>
        <v>0.88898447227156863</v>
      </c>
      <c r="J97" s="284"/>
      <c r="K97" s="283">
        <f>(MAX(K96:L96)-MIN(K96:L96))/(MAX(K96:L96))</f>
        <v>0.96753045106974589</v>
      </c>
      <c r="L97" s="284"/>
      <c r="M97" s="283">
        <f>(MAX(M96:N96)-MIN(M96:N96))/(MAX(M96:N96))</f>
        <v>0</v>
      </c>
      <c r="N97" s="284"/>
      <c r="O97" s="283">
        <f>(MAX(O96:P96)-MIN(O96:P96))/(MAX(O96:P96))</f>
        <v>0.84681271563996918</v>
      </c>
      <c r="P97" s="284"/>
      <c r="Q97" s="283">
        <f>(MAX(Q96:R96)-MIN(Q96:R96))/(MAX(Q96:R96))</f>
        <v>0.76346135169473284</v>
      </c>
      <c r="R97" s="284"/>
      <c r="S97" s="283">
        <f>(MAX(S96:T96)-MIN(S96:T96))/(MAX(S96:T96))</f>
        <v>0.76346135169473284</v>
      </c>
      <c r="T97" s="284"/>
      <c r="U97" s="283">
        <f>(MAX(U96:V96)-MIN(U96:V96))/(MAX(U96:V96))</f>
        <v>0.84681271563996918</v>
      </c>
      <c r="V97" s="284"/>
      <c r="W97" s="283">
        <f>(MAX(W96:X96)-MIN(W96:X96))/(MAX(W96:X96))</f>
        <v>0.41636785456455572</v>
      </c>
      <c r="X97" s="284"/>
      <c r="Y97" s="283">
        <f>(MAX(Y96:Z96)-MIN(Y96:Z96))/(MAX(Y96:Z96))</f>
        <v>0.8682186075374273</v>
      </c>
      <c r="Z97" s="284"/>
    </row>
    <row r="98" spans="2:26" x14ac:dyDescent="0.25">
      <c r="B98" s="103" t="s">
        <v>112</v>
      </c>
      <c r="C98" s="285">
        <f>IF(C97&lt;25%,(C96*0.5+D96*0.5)*0.9,IF(C97&lt;50%,(MAX(C96:D96)*0.6+MIN(C96:D96)*0.4)*0.9,IF(C97&lt;70%,(MAX(C96:D96)*0.65+MIN(C96:D96)*0.35)*0.9,IF(C97&lt;100%,(MAX(C96:D96)*0.7+MIN(C96:D96)*0.3)*0.9,0.7*MAX(C96:D96)))))</f>
        <v>1690.9533004648542</v>
      </c>
      <c r="D98" s="286"/>
      <c r="E98" s="285">
        <f>IF(E97&lt;25%,(E96*0.5+F96*0.5)*0.9,IF(E97&lt;50%,(MAX(E96:F96)*0.6+MIN(E96:F96)*0.4)*0.9,IF(E97&lt;70%,(MAX(E96:F96)*0.65+MIN(E96:F96)*0.35)*0.9,IF(E97&lt;100%,(MAX(E96:F96)*0.7+MIN(E96:F96)*0.3)*0.9,0.7*MAX(E96:F96)))))</f>
        <v>2544.1056793076323</v>
      </c>
      <c r="F98" s="286"/>
      <c r="G98" s="285">
        <f>IF(G97&lt;25%,(G96*0.5+H96*0.5)*0.9,IF(G97&lt;50%,(MAX(G96:H96)*0.6+MIN(G96:H96)*0.4)*0.9,IF(G97&lt;70%,(MAX(G96:H96)*0.65+MIN(G96:H96)*0.35)*0.9,IF(G97&lt;100%,(MAX(G96:H96)*0.7+MIN(G96:H96)*0.3)*0.9,0.7*MAX(G96:H96)))))</f>
        <v>2264.0624053826746</v>
      </c>
      <c r="H98" s="286"/>
      <c r="I98" s="285">
        <f>IF(I97&lt;25%,(I96*0.5+J96*0.5)*0.9,IF(I97&lt;50%,(MAX(I96:J96)*0.6+MIN(I96:J96)*0.4)*0.9,IF(I97&lt;70%,(MAX(I96:J96)*0.65+MIN(I96:J96)*0.35)*0.9,IF(I97&lt;100%,(MAX(I96:J96)*0.7+MIN(I96:J96)*0.3)*0.9,0.7*MAX(I96:J96)))))</f>
        <v>2084.0697244207317</v>
      </c>
      <c r="J98" s="286"/>
      <c r="K98" s="285">
        <f>IF(K97&lt;25%,(K96*0.5+L96*0.5)*0.9,IF(K97&lt;50%,(MAX(K96:L96)*0.6+MIN(K96:L96)*0.4)*0.9,IF(K97&lt;70%,(MAX(K96:L96)*0.65+MIN(K96:L96)*0.35)*0.9,IF(K97&lt;100%,(MAX(K96:L96)*0.7+MIN(K96:L96)*0.3)*0.9,0.7*MAX(K96:L96)))))</f>
        <v>1482.0991895161289</v>
      </c>
      <c r="L98" s="286"/>
      <c r="M98" s="285">
        <f>IF(M97&lt;25%,(M96*0.5+N96*0.5)*0.9,IF(M97&lt;50%,(MAX(M96:N96)*0.6+MIN(M96:N96)*0.4)*0.9,IF(M97&lt;70%,(MAX(M96:N96)*0.65+MIN(M96:N96)*0.35)*0.9,IF(M97&lt;100%,(MAX(M96:N96)*0.7+MIN(M96:N96)*0.3)*0.9,0.7*MAX(M96:N96)))))</f>
        <v>1095.0445414847163</v>
      </c>
      <c r="N98" s="286"/>
      <c r="O98" s="285">
        <f>IF(O97&lt;25%,(O96*0.5+P96*0.5)*0.9,IF(O97&lt;50%,(MAX(O96:P96)*0.6+MIN(O96:P96)*0.4)*0.9,IF(O97&lt;70%,(MAX(O96:P96)*0.65+MIN(O96:P96)*0.35)*0.9,IF(O97&lt;100%,(MAX(O96:P96)*0.7+MIN(O96:P96)*0.3)*0.9,0.7*MAX(O96:P96)))))</f>
        <v>994.9992127659574</v>
      </c>
      <c r="P98" s="286"/>
      <c r="Q98" s="285">
        <f>IF(Q97&lt;25%,(Q96*0.5+R96*0.5)*0.9,IF(Q97&lt;50%,(MAX(Q96:R96)*0.6+MIN(Q96:R96)*0.4)*0.9,IF(Q97&lt;70%,(MAX(Q96:R96)*0.65+MIN(Q96:R96)*0.35)*0.9,IF(Q97&lt;100%,(MAX(Q96:R96)*0.7+MIN(Q96:R96)*0.3)*0.9,0.7*MAX(Q96:R96)))))</f>
        <v>1028.3528640159575</v>
      </c>
      <c r="R98" s="286"/>
      <c r="S98" s="285">
        <f>IF(S97&lt;25%,(S96*0.5+T96*0.5)*0.9,IF(S97&lt;50%,(MAX(S96:T96)*0.6+MIN(S96:T96)*0.4)*0.9,IF(S97&lt;70%,(MAX(S96:T96)*0.65+MIN(S96:T96)*0.35)*0.9,IF(S97&lt;100%,(MAX(S96:T96)*0.7+MIN(S96:T96)*0.3)*0.9,0.7*MAX(S96:T96)))))</f>
        <v>1028.3528640159575</v>
      </c>
      <c r="T98" s="286"/>
      <c r="U98" s="285">
        <f>IF(U97&lt;25%,(U96*0.5+V96*0.5)*0.9,IF(U97&lt;50%,(MAX(U96:V96)*0.6+MIN(U96:V96)*0.4)*0.9,IF(U97&lt;70%,(MAX(U96:V96)*0.65+MIN(U96:V96)*0.35)*0.9,IF(U97&lt;100%,(MAX(U96:V96)*0.7+MIN(U96:V96)*0.3)*0.9,0.7*MAX(U96:V96)))))</f>
        <v>994.9992127659574</v>
      </c>
      <c r="V98" s="286"/>
      <c r="W98" s="285">
        <f>IF(W97&lt;25%,(W96*0.5+X96*0.5)*0.9,IF(W97&lt;50%,(MAX(W96:X96)*0.6+MIN(W96:X96)*0.4)*0.9,IF(W97&lt;70%,(MAX(W96:X96)*0.65+MIN(W96:X96)*0.35)*0.9,IF(W97&lt;100%,(MAX(W96:X96)*0.7+MIN(W96:X96)*0.3)*0.9,0.7*MAX(W96:X96)))))</f>
        <v>1563.772677818376</v>
      </c>
      <c r="X98" s="286"/>
      <c r="Y98" s="285">
        <f>IF(Y97&lt;25%,(Y96*0.5+Z96*0.5)*0.9,IF(Y97&lt;50%,(MAX(Y96:Z96)*0.6+MIN(Y96:Z96)*0.4)*0.9,IF(Y97&lt;70%,(MAX(Y96:Z96)*0.65+MIN(Y96:Z96)*0.35)*0.9,IF(Y97&lt;100%,(MAX(Y96:Z96)*0.7+MIN(Y96:Z96)*0.3)*0.9,0.7*MAX(Y96:Z96)))))</f>
        <v>1770.5811121875001</v>
      </c>
      <c r="Z98" s="286"/>
    </row>
    <row r="99" spans="2:26" x14ac:dyDescent="0.25">
      <c r="B99" s="104" t="s">
        <v>15</v>
      </c>
      <c r="C99" s="287">
        <f>C98/(0.9*(0.9*($C$7/100))*($L$9*1000))</f>
        <v>3.4839730761691592</v>
      </c>
      <c r="D99" s="288"/>
      <c r="E99" s="287">
        <f>E98/(0.9*(0.9*($C$7/100))*($L$9*1000))</f>
        <v>5.2417743808774491</v>
      </c>
      <c r="F99" s="288"/>
      <c r="G99" s="287">
        <f>G98/(0.9*(0.9*($C$7/100))*($L$9*1000))</f>
        <v>4.6647843325723883</v>
      </c>
      <c r="H99" s="288"/>
      <c r="I99" s="287">
        <f>I98/(0.9*(0.9*($C$7/100))*($L$9*1000))</f>
        <v>4.2939345555817861</v>
      </c>
      <c r="J99" s="288"/>
      <c r="K99" s="287">
        <f>K98/(0.9*(0.9*($C$7/100))*($L$9*1000))</f>
        <v>3.053658354176203</v>
      </c>
      <c r="L99" s="288"/>
      <c r="M99" s="287">
        <f>M98/(0.9*(0.9*($C$7/100))*($L$9*1000))</f>
        <v>2.2561863173216881</v>
      </c>
      <c r="N99" s="288"/>
      <c r="O99" s="287">
        <f>O98/(0.9*(0.9*($C$7/100))*($L$9*1000))</f>
        <v>2.0500568922471878</v>
      </c>
      <c r="P99" s="288"/>
      <c r="Q99" s="287">
        <f>Q98/(0.9*(0.9*($C$7/100))*($L$9*1000))</f>
        <v>2.1187774316701224</v>
      </c>
      <c r="R99" s="288"/>
      <c r="S99" s="287">
        <f>S98/(0.9*(0.9*($C$7/100))*($L$9*1000))</f>
        <v>2.1187774316701224</v>
      </c>
      <c r="T99" s="288"/>
      <c r="U99" s="287">
        <f>U98/(0.9*(0.9*($C$7/100))*($L$9*1000))</f>
        <v>2.0500568922471878</v>
      </c>
      <c r="V99" s="288"/>
      <c r="W99" s="287">
        <f>W98/(0.9*(0.9*($C$7/100))*($L$9*1000))</f>
        <v>3.2219351683280908</v>
      </c>
      <c r="X99" s="288"/>
      <c r="Y99" s="287">
        <f>Y98/(0.9*(0.9*($C$7/100))*($L$9*1000))</f>
        <v>3.6480350594774507</v>
      </c>
      <c r="Z99" s="288"/>
    </row>
    <row r="100" spans="2:26" x14ac:dyDescent="0.25">
      <c r="B100" s="104" t="s">
        <v>98</v>
      </c>
      <c r="C100" s="281">
        <f>(C99*($L$9))/(0.85*$L$6*100)</f>
        <v>8.5994260472918124E-2</v>
      </c>
      <c r="D100" s="282"/>
      <c r="E100" s="281">
        <f>(E99*($L$9))/(0.85*$L$6*100)</f>
        <v>0.12938174365718269</v>
      </c>
      <c r="F100" s="282"/>
      <c r="G100" s="281">
        <f>(G99*($L$9))/(0.85*$L$6*100)</f>
        <v>0.11514000544065642</v>
      </c>
      <c r="H100" s="282"/>
      <c r="I100" s="281">
        <f>(I99*($L$9))/(0.85*$L$6*100)</f>
        <v>0.10598638926118825</v>
      </c>
      <c r="J100" s="282"/>
      <c r="K100" s="281">
        <f>(K99*($L$9))/(0.85*$L$6*100)</f>
        <v>7.5372882098466834E-2</v>
      </c>
      <c r="L100" s="282"/>
      <c r="M100" s="281">
        <f>(M99*($L$9))/(0.85*$L$6*100)</f>
        <v>5.5689027901596452E-2</v>
      </c>
      <c r="N100" s="282"/>
      <c r="O100" s="281">
        <f>(O99*($L$9))/(0.85*$L$6*100)</f>
        <v>5.0601173580265078E-2</v>
      </c>
      <c r="P100" s="282"/>
      <c r="Q100" s="281">
        <f>(Q99*($L$9))/(0.85*$L$6*100)</f>
        <v>5.2297389893587801E-2</v>
      </c>
      <c r="R100" s="282"/>
      <c r="S100" s="281">
        <f>(S99*($L$9))/(0.85*$L$6*100)</f>
        <v>5.2297389893587801E-2</v>
      </c>
      <c r="T100" s="282"/>
      <c r="U100" s="281">
        <f>(U99*($L$9))/(0.85*$L$6*100)</f>
        <v>5.0601173580265078E-2</v>
      </c>
      <c r="V100" s="282"/>
      <c r="W100" s="281">
        <f>(W99*($L$9))/(0.85*$L$6*100)</f>
        <v>7.9526427453542256E-2</v>
      </c>
      <c r="X100" s="282"/>
      <c r="Y100" s="281">
        <f>(Y99*($L$9))/(0.85*$L$6*100)</f>
        <v>9.0043771940965911E-2</v>
      </c>
      <c r="Z100" s="282"/>
    </row>
    <row r="101" spans="2:26" ht="15.75" thickBot="1" x14ac:dyDescent="0.3">
      <c r="B101" s="105" t="s">
        <v>15</v>
      </c>
      <c r="C101" s="289">
        <f>ROUNDUP(C98/(0.9*(($C$7-C100/2)/100)*($L$9*1000)),2)</f>
        <v>3.15</v>
      </c>
      <c r="D101" s="290"/>
      <c r="E101" s="289">
        <f>ROUNDUP(E98/(0.9*(($C$7-E100/2)/100)*($L$9*1000)),2)</f>
        <v>4.74</v>
      </c>
      <c r="F101" s="290"/>
      <c r="G101" s="289">
        <f>ROUNDUP(G98/(0.9*(($C$7-G100/2)/100)*($L$9*1000)),2)</f>
        <v>4.22</v>
      </c>
      <c r="H101" s="290"/>
      <c r="I101" s="289">
        <f>ROUNDUP(I98/(0.9*(($C$7-I100/2)/100)*($L$9*1000)),2)</f>
        <v>3.88</v>
      </c>
      <c r="J101" s="290"/>
      <c r="K101" s="289">
        <f>ROUNDUP(K98/(0.9*(($C$7-K100/2)/100)*($L$9*1000)),2)</f>
        <v>2.76</v>
      </c>
      <c r="L101" s="290"/>
      <c r="M101" s="289">
        <f>ROUNDUP(M98/(0.9*(($C$7-M100/2)/100)*($L$9*1000)),2)</f>
        <v>2.0399999999999996</v>
      </c>
      <c r="N101" s="290"/>
      <c r="O101" s="289">
        <f>ROUNDUP(O98/(0.9*(($C$7-O100/2)/100)*($L$9*1000)),2)</f>
        <v>1.85</v>
      </c>
      <c r="P101" s="290"/>
      <c r="Q101" s="289">
        <f>ROUNDUP(Q98/(0.9*(($C$7-Q100/2)/100)*($L$9*1000)),2)</f>
        <v>1.92</v>
      </c>
      <c r="R101" s="290"/>
      <c r="S101" s="289">
        <f>ROUNDUP(S98/(0.9*(($C$7-S100/2)/100)*($L$9*1000)),2)</f>
        <v>1.92</v>
      </c>
      <c r="T101" s="290"/>
      <c r="U101" s="289">
        <f>ROUNDUP(U98/(0.9*(($C$7-U100/2)/100)*($L$9*1000)),2)</f>
        <v>1.85</v>
      </c>
      <c r="V101" s="290"/>
      <c r="W101" s="289">
        <f>ROUNDUP(W98/(0.9*(($C$7-W100/2)/100)*($L$9*1000)),2)</f>
        <v>2.9099999999999997</v>
      </c>
      <c r="X101" s="290"/>
      <c r="Y101" s="289">
        <f>ROUNDUP(Y98/(0.9*(($C$7-Y100/2)/100)*($L$9*1000)),2)</f>
        <v>3.3</v>
      </c>
      <c r="Z101" s="290"/>
    </row>
    <row r="102" spans="2:26" ht="16.5" thickBot="1" x14ac:dyDescent="0.3">
      <c r="B102" s="61" t="s">
        <v>113</v>
      </c>
      <c r="C102" s="279" t="str">
        <f>IF(C101&gt;$C$12,"$\phi"&amp;IF(VLOOKUP(VLOOKUP(C101,tablas!$S$3:$U$66,2,TRUE)&amp;VLOOKUP(C101,tablas!$S$3:$U$66,3,TRUE),tablas!$R$3:$S$66,2,FALSE)&lt;C101,VLOOKUP(C101+0.1,tablas!$S$3:$U$66,2,TRUE),VLOOKUP(C101,tablas!$S$3:$U$66,2,TRUE))&amp;"@"&amp;IF(VLOOKUP(VLOOKUP(C101,tablas!$S$3:$U$66,2,TRUE)&amp;VLOOKUP(C101,tablas!$S$3:$U$66,3,TRUE),tablas!$R$3:$S$66,2,FALSE)&lt;C101,VLOOKUP(C101+0.1,tablas!$S$3:$U$66,3,TRUE)&amp;"$",VLOOKUP(C101,tablas!$S$3:$U$66,3,TRUE)&amp;"$"),$C$13)</f>
        <v>$\phi10@25$</v>
      </c>
      <c r="D102" s="280"/>
      <c r="E102" s="279" t="str">
        <f>IF(E101&gt;$C$12,"$\phi"&amp;IF(VLOOKUP(VLOOKUP(E101,tablas!$S$3:$U$66,2,TRUE)&amp;VLOOKUP(E101,tablas!$S$3:$U$66,3,TRUE),tablas!$R$3:$S$66,2,FALSE)&lt;E101,VLOOKUP(E101+0.1,tablas!$S$3:$U$66,2,TRUE),VLOOKUP(E101,tablas!$S$3:$U$66,2,TRUE))&amp;"@"&amp;IF(VLOOKUP(VLOOKUP(E101,tablas!$S$3:$U$66,2,TRUE)&amp;VLOOKUP(E101,tablas!$S$3:$U$66,3,TRUE),tablas!$R$3:$S$66,2,FALSE)&lt;E101,VLOOKUP(E101+0.1,tablas!$S$3:$U$66,3,TRUE)&amp;"$",VLOOKUP(E101,tablas!$S$3:$U$66,3,TRUE)&amp;"$"),$C$13)</f>
        <v>$\phi12@24$</v>
      </c>
      <c r="F102" s="280"/>
      <c r="G102" s="279" t="str">
        <f>IF(G101&gt;$C$12,"$\phi"&amp;IF(VLOOKUP(VLOOKUP(G101,tablas!$S$3:$U$66,2,TRUE)&amp;VLOOKUP(G101,tablas!$S$3:$U$66,3,TRUE),tablas!$R$3:$S$66,2,FALSE)&lt;G101,VLOOKUP(G101+0.1,tablas!$S$3:$U$66,2,TRUE),VLOOKUP(G101,tablas!$S$3:$U$66,2,TRUE))&amp;"@"&amp;IF(VLOOKUP(VLOOKUP(G101,tablas!$S$3:$U$66,2,TRUE)&amp;VLOOKUP(G101,tablas!$S$3:$U$66,3,TRUE),tablas!$R$3:$S$66,2,FALSE)&lt;G101,VLOOKUP(G101+0.1,tablas!$S$3:$U$66,3,TRUE)&amp;"$",VLOOKUP(G101,tablas!$S$3:$U$66,3,TRUE)&amp;"$"),$C$13)</f>
        <v>$\phi8@12$</v>
      </c>
      <c r="H102" s="280"/>
      <c r="I102" s="279" t="str">
        <f>IF(I101&gt;$C$12,"$\phi"&amp;IF(VLOOKUP(VLOOKUP(I101,tablas!$S$3:$U$66,2,TRUE)&amp;VLOOKUP(I101,tablas!$S$3:$U$66,3,TRUE),tablas!$R$3:$S$66,2,FALSE)&lt;I101,VLOOKUP(I101+0.1,tablas!$S$3:$U$66,2,TRUE),VLOOKUP(I101,tablas!$S$3:$U$66,2,TRUE))&amp;"@"&amp;IF(VLOOKUP(VLOOKUP(I101,tablas!$S$3:$U$66,2,TRUE)&amp;VLOOKUP(I101,tablas!$S$3:$U$66,3,TRUE),tablas!$R$3:$S$66,2,FALSE)&lt;I101,VLOOKUP(I101+0.1,tablas!$S$3:$U$66,3,TRUE)&amp;"$",VLOOKUP(I101,tablas!$S$3:$U$66,3,TRUE)&amp;"$"),$C$13)</f>
        <v>$\phi10@20$</v>
      </c>
      <c r="J102" s="280"/>
      <c r="K102" s="279" t="str">
        <f>IF(K101&gt;$C$12,"$\phi"&amp;IF(VLOOKUP(VLOOKUP(K101,tablas!$S$3:$U$66,2,TRUE)&amp;VLOOKUP(K101,tablas!$S$3:$U$66,3,TRUE),tablas!$R$3:$S$66,2,FALSE)&lt;K101,VLOOKUP(K101+0.1,tablas!$S$3:$U$66,2,TRUE),VLOOKUP(K101,tablas!$S$3:$U$66,2,TRUE))&amp;"@"&amp;IF(VLOOKUP(VLOOKUP(K101,tablas!$S$3:$U$66,2,TRUE)&amp;VLOOKUP(K101,tablas!$S$3:$U$66,3,TRUE),tablas!$R$3:$S$66,2,FALSE)&lt;K101,VLOOKUP(K101+0.1,tablas!$S$3:$U$66,3,TRUE)&amp;"$",VLOOKUP(K101,tablas!$S$3:$U$66,3,TRUE)&amp;"$"),$C$13)</f>
        <v>$\phi8@17$</v>
      </c>
      <c r="L102" s="280"/>
      <c r="M102" s="279" t="str">
        <f>IF(M101&gt;$C$12,"$\phi"&amp;IF(VLOOKUP(VLOOKUP(M101,tablas!$S$3:$U$66,2,TRUE)&amp;VLOOKUP(M101,tablas!$S$3:$U$66,3,TRUE),tablas!$R$3:$S$66,2,FALSE)&lt;M101,VLOOKUP(M101+0.1,tablas!$S$3:$U$66,2,TRUE),VLOOKUP(M101,tablas!$S$3:$U$66,2,TRUE))&amp;"@"&amp;IF(VLOOKUP(VLOOKUP(M101,tablas!$S$3:$U$66,2,TRUE)&amp;VLOOKUP(M101,tablas!$S$3:$U$66,3,TRUE),tablas!$R$3:$S$66,2,FALSE)&lt;M101,VLOOKUP(M101+0.1,tablas!$S$3:$U$66,3,TRUE)&amp;"$",VLOOKUP(M101,tablas!$S$3:$U$66,3,TRUE)&amp;"$"),$C$13)</f>
        <v>$\phi8@17$</v>
      </c>
      <c r="N102" s="280"/>
      <c r="O102" s="279" t="str">
        <f>IF(O101&gt;$C$12,"$\phi"&amp;IF(VLOOKUP(VLOOKUP(O101,tablas!$S$3:$U$66,2,TRUE)&amp;VLOOKUP(O101,tablas!$S$3:$U$66,3,TRUE),tablas!$R$3:$S$66,2,FALSE)&lt;O101,VLOOKUP(O101+0.1,tablas!$S$3:$U$66,2,TRUE),VLOOKUP(O101,tablas!$S$3:$U$66,2,TRUE))&amp;"@"&amp;IF(VLOOKUP(VLOOKUP(O101,tablas!$S$3:$U$66,2,TRUE)&amp;VLOOKUP(O101,tablas!$S$3:$U$66,3,TRUE),tablas!$R$3:$S$66,2,FALSE)&lt;O101,VLOOKUP(O101+0.1,tablas!$S$3:$U$66,3,TRUE)&amp;"$",VLOOKUP(O101,tablas!$S$3:$U$66,3,TRUE)&amp;"$"),$C$13)</f>
        <v>$\phi8@17$</v>
      </c>
      <c r="P102" s="280"/>
      <c r="Q102" s="279" t="str">
        <f>IF(Q101&gt;$C$12,"$\phi"&amp;IF(VLOOKUP(VLOOKUP(Q101,tablas!$S$3:$U$66,2,TRUE)&amp;VLOOKUP(Q101,tablas!$S$3:$U$66,3,TRUE),tablas!$R$3:$S$66,2,FALSE)&lt;Q101,VLOOKUP(Q101+0.1,tablas!$S$3:$U$66,2,TRUE),VLOOKUP(Q101,tablas!$S$3:$U$66,2,TRUE))&amp;"@"&amp;IF(VLOOKUP(VLOOKUP(Q101,tablas!$S$3:$U$66,2,TRUE)&amp;VLOOKUP(Q101,tablas!$S$3:$U$66,3,TRUE),tablas!$R$3:$S$66,2,FALSE)&lt;Q101,VLOOKUP(Q101+0.1,tablas!$S$3:$U$66,3,TRUE)&amp;"$",VLOOKUP(Q101,tablas!$S$3:$U$66,3,TRUE)&amp;"$"),$C$13)</f>
        <v>$\phi8@17$</v>
      </c>
      <c r="R102" s="280"/>
      <c r="S102" s="279" t="str">
        <f>IF(S101&gt;$C$12,"$\phi"&amp;IF(VLOOKUP(VLOOKUP(S101,tablas!$S$3:$U$66,2,TRUE)&amp;VLOOKUP(S101,tablas!$S$3:$U$66,3,TRUE),tablas!$R$3:$S$66,2,FALSE)&lt;S101,VLOOKUP(S101+0.1,tablas!$S$3:$U$66,2,TRUE),VLOOKUP(S101,tablas!$S$3:$U$66,2,TRUE))&amp;"@"&amp;IF(VLOOKUP(VLOOKUP(S101,tablas!$S$3:$U$66,2,TRUE)&amp;VLOOKUP(S101,tablas!$S$3:$U$66,3,TRUE),tablas!$R$3:$S$66,2,FALSE)&lt;S101,VLOOKUP(S101+0.1,tablas!$S$3:$U$66,3,TRUE)&amp;"$",VLOOKUP(S101,tablas!$S$3:$U$66,3,TRUE)&amp;"$"),$C$13)</f>
        <v>$\phi8@17$</v>
      </c>
      <c r="T102" s="280"/>
      <c r="U102" s="279" t="str">
        <f>IF(U101&gt;$C$12,"$\phi"&amp;IF(VLOOKUP(VLOOKUP(U101,tablas!$S$3:$U$66,2,TRUE)&amp;VLOOKUP(U101,tablas!$S$3:$U$66,3,TRUE),tablas!$R$3:$S$66,2,FALSE)&lt;U101,VLOOKUP(U101+0.1,tablas!$S$3:$U$66,2,TRUE),VLOOKUP(U101,tablas!$S$3:$U$66,2,TRUE))&amp;"@"&amp;IF(VLOOKUP(VLOOKUP(U101,tablas!$S$3:$U$66,2,TRUE)&amp;VLOOKUP(U101,tablas!$S$3:$U$66,3,TRUE),tablas!$R$3:$S$66,2,FALSE)&lt;U101,VLOOKUP(U101+0.1,tablas!$S$3:$U$66,3,TRUE)&amp;"$",VLOOKUP(U101,tablas!$S$3:$U$66,3,TRUE)&amp;"$"),$C$13)</f>
        <v>$\phi8@17$</v>
      </c>
      <c r="V102" s="280"/>
      <c r="W102" s="279" t="str">
        <f>IF(W101&gt;$C$12,"$\phi"&amp;IF(VLOOKUP(VLOOKUP(W101,tablas!$S$3:$U$66,2,TRUE)&amp;VLOOKUP(W101,tablas!$S$3:$U$66,3,TRUE),tablas!$R$3:$S$66,2,FALSE)&lt;W101,VLOOKUP(W101+0.1,tablas!$S$3:$U$66,2,TRUE),VLOOKUP(W101,tablas!$S$3:$U$66,2,TRUE))&amp;"@"&amp;IF(VLOOKUP(VLOOKUP(W101,tablas!$S$3:$U$66,2,TRUE)&amp;VLOOKUP(W101,tablas!$S$3:$U$66,3,TRUE),tablas!$R$3:$S$66,2,FALSE)&lt;W101,VLOOKUP(W101+0.1,tablas!$S$3:$U$66,3,TRUE)&amp;"$",VLOOKUP(W101,tablas!$S$3:$U$66,3,TRUE)&amp;"$"),$C$13)</f>
        <v>$\phi8@17$</v>
      </c>
      <c r="X102" s="280"/>
      <c r="Y102" s="279" t="str">
        <f>IF(Y101&gt;$C$12,"$\phi"&amp;IF(VLOOKUP(VLOOKUP(Y101,tablas!$S$3:$U$66,2,TRUE)&amp;VLOOKUP(Y101,tablas!$S$3:$U$66,3,TRUE),tablas!$R$3:$S$66,2,FALSE)&lt;Y101,VLOOKUP(Y101+0.1,tablas!$S$3:$U$66,2,TRUE),VLOOKUP(Y101,tablas!$S$3:$U$66,2,TRUE))&amp;"@"&amp;IF(VLOOKUP(VLOOKUP(Y101,tablas!$S$3:$U$66,2,TRUE)&amp;VLOOKUP(Y101,tablas!$S$3:$U$66,3,TRUE),tablas!$R$3:$S$66,2,FALSE)&lt;Y101,VLOOKUP(Y101+0.1,tablas!$S$3:$U$66,3,TRUE)&amp;"$",VLOOKUP(Y101,tablas!$S$3:$U$66,3,TRUE)&amp;"$"),$C$13)</f>
        <v>$\phi8@15$</v>
      </c>
      <c r="Z102" s="280"/>
    </row>
    <row r="103" spans="2:26" ht="15.75" thickBot="1" x14ac:dyDescent="0.3">
      <c r="P103" s="40"/>
      <c r="T103" s="40"/>
    </row>
    <row r="104" spans="2:26" ht="15.75" thickBot="1" x14ac:dyDescent="0.3">
      <c r="B104" s="73" t="s">
        <v>43</v>
      </c>
      <c r="C104" s="74" t="s">
        <v>190</v>
      </c>
      <c r="D104" s="75" t="s">
        <v>194</v>
      </c>
      <c r="E104" s="74" t="s">
        <v>190</v>
      </c>
      <c r="F104" s="75" t="s">
        <v>202</v>
      </c>
      <c r="G104" s="74" t="s">
        <v>190</v>
      </c>
      <c r="H104" s="75" t="s">
        <v>196</v>
      </c>
      <c r="I104" s="74" t="s">
        <v>190</v>
      </c>
      <c r="J104" s="75" t="s">
        <v>197</v>
      </c>
      <c r="K104" s="74" t="s">
        <v>191</v>
      </c>
      <c r="L104" s="75" t="s">
        <v>206</v>
      </c>
      <c r="M104" s="74" t="s">
        <v>191</v>
      </c>
      <c r="N104" s="75" t="s">
        <v>192</v>
      </c>
      <c r="O104" s="74" t="s">
        <v>191</v>
      </c>
      <c r="P104" s="75" t="s">
        <v>205</v>
      </c>
      <c r="Q104" s="74" t="s">
        <v>192</v>
      </c>
      <c r="R104" s="75" t="s">
        <v>205</v>
      </c>
      <c r="S104" s="74" t="s">
        <v>192</v>
      </c>
      <c r="T104" s="75" t="s">
        <v>194</v>
      </c>
      <c r="U104" s="74" t="s">
        <v>192</v>
      </c>
      <c r="V104" s="75" t="s">
        <v>193</v>
      </c>
      <c r="W104" s="74" t="s">
        <v>192</v>
      </c>
      <c r="X104" s="75" t="s">
        <v>208</v>
      </c>
      <c r="Y104" s="74" t="s">
        <v>193</v>
      </c>
      <c r="Z104" s="75" t="s">
        <v>194</v>
      </c>
    </row>
    <row r="105" spans="2:26" ht="15.75" hidden="1" thickBot="1" x14ac:dyDescent="0.3">
      <c r="B105" s="141"/>
      <c r="C105" s="143" t="str">
        <f>C104&amp;"-"&amp;D104</f>
        <v>1404-1408</v>
      </c>
      <c r="D105" s="143"/>
      <c r="E105" s="143" t="str">
        <f>E104&amp;"-"&amp;F104</f>
        <v>1404-1416</v>
      </c>
      <c r="F105" s="142"/>
      <c r="G105" s="143" t="str">
        <f>G104&amp;"-"&amp;H104</f>
        <v>1404-1410</v>
      </c>
      <c r="H105" s="142"/>
      <c r="I105" s="143" t="str">
        <f>I104&amp;"-"&amp;J104</f>
        <v>1404-1411</v>
      </c>
      <c r="J105" s="142"/>
      <c r="K105" s="143" t="str">
        <f>K104&amp;"-"&amp;L104</f>
        <v>1405-1420</v>
      </c>
      <c r="L105" s="142"/>
      <c r="M105" s="143" t="str">
        <f>M104&amp;"-"&amp;N104</f>
        <v>1405-1406</v>
      </c>
      <c r="N105" s="142"/>
      <c r="O105" s="143" t="str">
        <f>O104&amp;"-"&amp;P104</f>
        <v>1405-1419</v>
      </c>
      <c r="P105" s="142"/>
      <c r="Q105" s="143" t="str">
        <f>Q104&amp;"-"&amp;R104</f>
        <v>1406-1419</v>
      </c>
      <c r="R105" s="142"/>
      <c r="S105" s="143" t="str">
        <f>S104&amp;"-"&amp;T104</f>
        <v>1406-1408</v>
      </c>
      <c r="T105" s="142"/>
      <c r="U105" s="143" t="str">
        <f>U104&amp;"-"&amp;V104</f>
        <v>1406-1407</v>
      </c>
      <c r="V105" s="142"/>
      <c r="W105" s="143" t="str">
        <f>W104&amp;"-"&amp;X104</f>
        <v>1406-1422</v>
      </c>
      <c r="X105" s="142"/>
      <c r="Y105" s="143" t="str">
        <f>Y104&amp;"-"&amp;Z104</f>
        <v>1407-1408</v>
      </c>
      <c r="Z105" s="142"/>
    </row>
    <row r="106" spans="2:26" x14ac:dyDescent="0.25">
      <c r="B106" s="102" t="s">
        <v>114</v>
      </c>
      <c r="C106" s="99" t="s">
        <v>109</v>
      </c>
      <c r="D106" s="100" t="s">
        <v>109</v>
      </c>
      <c r="E106" s="99" t="s">
        <v>109</v>
      </c>
      <c r="F106" s="100" t="s">
        <v>108</v>
      </c>
      <c r="G106" s="99" t="s">
        <v>108</v>
      </c>
      <c r="H106" s="100" t="s">
        <v>108</v>
      </c>
      <c r="I106" s="99" t="s">
        <v>108</v>
      </c>
      <c r="J106" s="100" t="s">
        <v>108</v>
      </c>
      <c r="K106" s="99" t="s">
        <v>109</v>
      </c>
      <c r="L106" s="100" t="s">
        <v>108</v>
      </c>
      <c r="M106" s="99" t="s">
        <v>109</v>
      </c>
      <c r="N106" s="100" t="s">
        <v>108</v>
      </c>
      <c r="O106" s="99" t="s">
        <v>108</v>
      </c>
      <c r="P106" s="100" t="s">
        <v>108</v>
      </c>
      <c r="Q106" s="99" t="s">
        <v>109</v>
      </c>
      <c r="R106" s="100" t="s">
        <v>108</v>
      </c>
      <c r="S106" s="99" t="s">
        <v>109</v>
      </c>
      <c r="T106" s="100" t="s">
        <v>108</v>
      </c>
      <c r="U106" s="99" t="s">
        <v>108</v>
      </c>
      <c r="V106" s="100" t="s">
        <v>108</v>
      </c>
      <c r="W106" s="99" t="s">
        <v>108</v>
      </c>
      <c r="X106" s="100" t="s">
        <v>109</v>
      </c>
      <c r="Y106" s="99" t="s">
        <v>109</v>
      </c>
      <c r="Z106" s="100" t="s">
        <v>108</v>
      </c>
    </row>
    <row r="107" spans="2:26" x14ac:dyDescent="0.25">
      <c r="B107" s="103" t="s">
        <v>110</v>
      </c>
      <c r="C107" s="101">
        <f t="shared" ref="C107:Z107" si="28">HLOOKUP(C104,$B$46:$AE$90,IF(C106="x",36,41),FALSE)</f>
        <v>2084.7312244897957</v>
      </c>
      <c r="D107" s="85">
        <f t="shared" si="28"/>
        <v>155.67999999999998</v>
      </c>
      <c r="E107" s="101">
        <f t="shared" si="28"/>
        <v>2084.7312244897957</v>
      </c>
      <c r="F107" s="85">
        <f t="shared" si="28"/>
        <v>166.29600000000002</v>
      </c>
      <c r="G107" s="101">
        <f t="shared" si="28"/>
        <v>2660.2039062500003</v>
      </c>
      <c r="H107" s="85">
        <f t="shared" si="28"/>
        <v>1428.5638297872338</v>
      </c>
      <c r="I107" s="101">
        <f t="shared" si="28"/>
        <v>2660.2039062500003</v>
      </c>
      <c r="J107" s="85">
        <f t="shared" si="28"/>
        <v>2172.8938709677423</v>
      </c>
      <c r="K107" s="101">
        <f t="shared" si="28"/>
        <v>2015.9397209302329</v>
      </c>
      <c r="L107" s="85">
        <f t="shared" si="28"/>
        <v>84.1935</v>
      </c>
      <c r="M107" s="101">
        <f t="shared" si="28"/>
        <v>2015.9397209302329</v>
      </c>
      <c r="N107" s="85">
        <f t="shared" si="28"/>
        <v>1428.5638297872338</v>
      </c>
      <c r="O107" s="101">
        <f t="shared" si="28"/>
        <v>2330.2529032258067</v>
      </c>
      <c r="P107" s="85">
        <f t="shared" si="28"/>
        <v>276.07350000000002</v>
      </c>
      <c r="Q107" s="101">
        <f t="shared" si="28"/>
        <v>1323.0049261083741</v>
      </c>
      <c r="R107" s="85">
        <f t="shared" si="28"/>
        <v>276.07350000000002</v>
      </c>
      <c r="S107" s="101">
        <f t="shared" si="28"/>
        <v>1323.0049261083741</v>
      </c>
      <c r="T107" s="85">
        <f t="shared" si="28"/>
        <v>227.0333333333333</v>
      </c>
      <c r="U107" s="101">
        <f t="shared" si="28"/>
        <v>1428.5638297872338</v>
      </c>
      <c r="V107" s="85">
        <f t="shared" si="28"/>
        <v>670.04318181818178</v>
      </c>
      <c r="W107" s="101">
        <f t="shared" si="28"/>
        <v>1428.5638297872338</v>
      </c>
      <c r="X107" s="85">
        <f t="shared" si="28"/>
        <v>555.22533936651575</v>
      </c>
      <c r="Y107" s="101">
        <f t="shared" si="28"/>
        <v>479.38048780487804</v>
      </c>
      <c r="Z107" s="85">
        <f t="shared" si="28"/>
        <v>227.0333333333333</v>
      </c>
    </row>
    <row r="108" spans="2:26" x14ac:dyDescent="0.25">
      <c r="B108" s="103" t="s">
        <v>111</v>
      </c>
      <c r="C108" s="283">
        <f>(MAX(C107:D107)-MIN(C107:D107))/(MAX(C107:D107))</f>
        <v>0.92532370687828103</v>
      </c>
      <c r="D108" s="284"/>
      <c r="E108" s="283">
        <f>(MAX(E107:F107)-MIN(E107:F107))/(MAX(E107:F107))</f>
        <v>0.92023144372450305</v>
      </c>
      <c r="F108" s="284"/>
      <c r="G108" s="283">
        <f>(MAX(G107:H107)-MIN(G107:H107))/(MAX(G107:H107))</f>
        <v>0.46298709417315609</v>
      </c>
      <c r="H108" s="284"/>
      <c r="I108" s="283">
        <f>(MAX(I107:J107)-MIN(I107:J107))/(MAX(I107:J107))</f>
        <v>0.18318521904931812</v>
      </c>
      <c r="J108" s="284"/>
      <c r="K108" s="283">
        <f>(MAX(K107:L107)-MIN(K107:L107))/(MAX(K107:L107))</f>
        <v>0.95823610243606394</v>
      </c>
      <c r="L108" s="284"/>
      <c r="M108" s="283">
        <f>(MAX(M107:N107)-MIN(M107:N107))/(MAX(M107:N107))</f>
        <v>0.29136580079485763</v>
      </c>
      <c r="N108" s="284"/>
      <c r="O108" s="283">
        <f>(MAX(O107:P107)-MIN(O107:P107))/(MAX(O107:P107))</f>
        <v>0.88152637869570849</v>
      </c>
      <c r="P108" s="284"/>
      <c r="Q108" s="283">
        <f>(MAX(Q107:R107)-MIN(Q107:R107))/(MAX(Q107:R107))</f>
        <v>0.79132844137468816</v>
      </c>
      <c r="R108" s="284"/>
      <c r="S108" s="283">
        <f>(MAX(S107:T107)-MIN(S107:T107))/(MAX(S107:T107))</f>
        <v>0.82839570068635116</v>
      </c>
      <c r="T108" s="284"/>
      <c r="U108" s="283">
        <f>(MAX(U107:V107)-MIN(U107:V107))/(MAX(U107:V107))</f>
        <v>0.53096727787236775</v>
      </c>
      <c r="V108" s="284"/>
      <c r="W108" s="291">
        <f>(MAX(W107:X107)-MIN(W107:X107))/(MAX(W107:X107))</f>
        <v>0.61134019510405113</v>
      </c>
      <c r="X108" s="284"/>
      <c r="Y108" s="283">
        <f>(MAX(Y107:Z107)-MIN(Y107:Z107))/(MAX(Y107:Z107))</f>
        <v>0.5264026402640265</v>
      </c>
      <c r="Z108" s="284"/>
    </row>
    <row r="109" spans="2:26" x14ac:dyDescent="0.25">
      <c r="B109" s="103" t="s">
        <v>112</v>
      </c>
      <c r="C109" s="285">
        <f>IF(C108&lt;25%,(C107*0.5+D107*0.5)*0.9,IF(C108&lt;50%,(MAX(C107:D107)*0.6+MIN(C107:D107)*0.4)*0.9,IF(C108&lt;70%,(MAX(C107:D107)*0.65+MIN(C107:D107)*0.35)*0.9,IF(C108&lt;100%,(MAX(C107:D107)*0.7+MIN(C107:D107)*0.3)*0.9,0.7*MAX(C107:D107)))))</f>
        <v>1355.4142714285713</v>
      </c>
      <c r="D109" s="286"/>
      <c r="E109" s="285">
        <f>IF(E108&lt;25%,(E107*0.5+F107*0.5)*0.9,IF(E108&lt;50%,(MAX(E107:F107)*0.6+MIN(E107:F107)*0.4)*0.9,IF(E108&lt;70%,(MAX(E107:F107)*0.65+MIN(E107:F107)*0.35)*0.9,IF(E108&lt;100%,(MAX(E107:F107)*0.7+MIN(E107:F107)*0.3)*0.9,0.7*MAX(E107:F107)))))</f>
        <v>1358.2805914285714</v>
      </c>
      <c r="F109" s="286"/>
      <c r="G109" s="285">
        <f>IF(G108&lt;25%,(G107*0.5+H107*0.5)*0.9,IF(G108&lt;50%,(MAX(G107:H107)*0.6+MIN(G107:H107)*0.4)*0.9,IF(G108&lt;70%,(MAX(G107:H107)*0.65+MIN(G107:H107)*0.35)*0.9,IF(G108&lt;100%,(MAX(G107:H107)*0.7+MIN(G107:H107)*0.3)*0.9,0.7*MAX(G107:H107)))))</f>
        <v>1950.7930880984043</v>
      </c>
      <c r="H109" s="286"/>
      <c r="I109" s="285">
        <f>IF(I108&lt;25%,(I107*0.5+J107*0.5)*0.9,IF(I108&lt;50%,(MAX(I107:J107)*0.6+MIN(I107:J107)*0.4)*0.9,IF(I108&lt;70%,(MAX(I107:J107)*0.65+MIN(I107:J107)*0.35)*0.9,IF(I108&lt;100%,(MAX(I107:J107)*0.7+MIN(I107:J107)*0.3)*0.9,0.7*MAX(I107:J107)))))</f>
        <v>2174.8939997479843</v>
      </c>
      <c r="J109" s="286"/>
      <c r="K109" s="285">
        <f>IF(K108&lt;25%,(K107*0.5+L107*0.5)*0.9,IF(K108&lt;50%,(MAX(K107:L107)*0.6+MIN(K107:L107)*0.4)*0.9,IF(K108&lt;70%,(MAX(K107:L107)*0.65+MIN(K107:L107)*0.35)*0.9,IF(K108&lt;100%,(MAX(K107:L107)*0.7+MIN(K107:L107)*0.3)*0.9,0.7*MAX(K107:L107)))))</f>
        <v>1292.7742691860465</v>
      </c>
      <c r="L109" s="286"/>
      <c r="M109" s="285">
        <f>IF(M108&lt;25%,(M107*0.5+N107*0.5)*0.9,IF(M108&lt;50%,(MAX(M107:N107)*0.6+MIN(M107:N107)*0.4)*0.9,IF(M108&lt;70%,(MAX(M107:N107)*0.65+MIN(M107:N107)*0.35)*0.9,IF(M108&lt;100%,(MAX(M107:N107)*0.7+MIN(M107:N107)*0.3)*0.9,0.7*MAX(M107:N107)))))</f>
        <v>1602.89042802573</v>
      </c>
      <c r="N109" s="286"/>
      <c r="O109" s="285">
        <f>IF(O108&lt;25%,(O107*0.5+P107*0.5)*0.9,IF(O108&lt;50%,(MAX(O107:P107)*0.6+MIN(O107:P107)*0.4)*0.9,IF(O108&lt;70%,(MAX(O107:P107)*0.65+MIN(O107:P107)*0.35)*0.9,IF(O108&lt;100%,(MAX(O107:P107)*0.7+MIN(O107:P107)*0.3)*0.9,0.7*MAX(O107:P107)))))</f>
        <v>1542.5991740322581</v>
      </c>
      <c r="P109" s="286"/>
      <c r="Q109" s="285">
        <f>IF(Q108&lt;25%,(Q107*0.5+R107*0.5)*0.9,IF(Q108&lt;50%,(MAX(Q107:R107)*0.6+MIN(Q107:R107)*0.4)*0.9,IF(Q108&lt;70%,(MAX(Q107:R107)*0.65+MIN(Q107:R107)*0.35)*0.9,IF(Q108&lt;100%,(MAX(Q107:R107)*0.7+MIN(Q107:R107)*0.3)*0.9,0.7*MAX(Q107:R107)))))</f>
        <v>908.03294844827553</v>
      </c>
      <c r="R109" s="286"/>
      <c r="S109" s="285">
        <f>IF(S108&lt;25%,(S107*0.5+T107*0.5)*0.9,IF(S108&lt;50%,(MAX(S107:T107)*0.6+MIN(S107:T107)*0.4)*0.9,IF(S108&lt;70%,(MAX(S107:T107)*0.65+MIN(S107:T107)*0.35)*0.9,IF(S108&lt;100%,(MAX(S107:T107)*0.7+MIN(S107:T107)*0.3)*0.9,0.7*MAX(S107:T107)))))</f>
        <v>894.79210344827561</v>
      </c>
      <c r="T109" s="286"/>
      <c r="U109" s="285">
        <f>IF(U108&lt;25%,(U107*0.5+V107*0.5)*0.9,IF(U108&lt;50%,(MAX(U107:V107)*0.6+MIN(U107:V107)*0.4)*0.9,IF(U108&lt;70%,(MAX(U107:V107)*0.65+MIN(U107:V107)*0.35)*0.9,IF(U108&lt;100%,(MAX(U107:V107)*0.7+MIN(U107:V107)*0.3)*0.9,0.7*MAX(U107:V107)))))</f>
        <v>1046.773442698259</v>
      </c>
      <c r="V109" s="286"/>
      <c r="W109" s="292">
        <f>IF(W108&lt;25%,(W107*0.5+X107*0.5)*0.9,IF(W108&lt;50%,(MAX(W107:X107)*0.6+MIN(W107:X107)*0.4)*0.9,IF(W108&lt;70%,(MAX(W107:X107)*0.65+MIN(W107:X107)*0.35)*0.9,IF(W108&lt;100%,(MAX(W107:X107)*0.7+MIN(W107:X107)*0.3)*0.9,0.7*MAX(W107:X107)))))</f>
        <v>1010.6058223259844</v>
      </c>
      <c r="X109" s="286"/>
      <c r="Y109" s="285">
        <f>IF(Y108&lt;25%,(Y107*0.5+Z107*0.5)*0.9,IF(Y108&lt;50%,(MAX(Y107:Z107)*0.6+MIN(Y107:Z107)*0.4)*0.9,IF(Y108&lt;70%,(MAX(Y107:Z107)*0.65+MIN(Y107:Z107)*0.35)*0.9,IF(Y108&lt;100%,(MAX(Y107:Z107)*0.7+MIN(Y107:Z107)*0.3)*0.9,0.7*MAX(Y107:Z107)))))</f>
        <v>351.95308536585367</v>
      </c>
      <c r="Z109" s="286"/>
    </row>
    <row r="110" spans="2:26" x14ac:dyDescent="0.25">
      <c r="B110" s="104" t="s">
        <v>15</v>
      </c>
      <c r="C110" s="287">
        <f>C109/(0.9*(0.9*($C$7/100))*($L$9*1000))</f>
        <v>2.7926417763367017</v>
      </c>
      <c r="D110" s="288"/>
      <c r="E110" s="287">
        <f>E109/(0.9*(0.9*($C$7/100))*($L$9*1000))</f>
        <v>2.7985474283171201</v>
      </c>
      <c r="F110" s="288"/>
      <c r="G110" s="287">
        <f>G109/(0.9*(0.9*($C$7/100))*($L$9*1000))</f>
        <v>4.0193366630783505</v>
      </c>
      <c r="H110" s="288"/>
      <c r="I110" s="287">
        <f>I109/(0.9*(0.9*($C$7/100))*($L$9*1000))</f>
        <v>4.481065288178443</v>
      </c>
      <c r="J110" s="288"/>
      <c r="K110" s="287">
        <f>K109/(0.9*(0.9*($C$7/100))*($L$9*1000))</f>
        <v>2.6635808015338274</v>
      </c>
      <c r="L110" s="288"/>
      <c r="M110" s="287">
        <f>M109/(0.9*(0.9*($C$7/100))*($L$9*1000))</f>
        <v>3.3025318284991707</v>
      </c>
      <c r="N110" s="288"/>
      <c r="O110" s="287">
        <f>O109/(0.9*(0.9*($C$7/100))*($L$9*1000))</f>
        <v>3.1783101213804779</v>
      </c>
      <c r="P110" s="288"/>
      <c r="Q110" s="287">
        <f>Q109/(0.9*(0.9*($C$7/100))*($L$9*1000))</f>
        <v>1.8708750524326165</v>
      </c>
      <c r="R110" s="288"/>
      <c r="S110" s="287">
        <f>S109/(0.9*(0.9*($C$7/100))*($L$9*1000))</f>
        <v>1.8435941408467984</v>
      </c>
      <c r="T110" s="288"/>
      <c r="U110" s="287">
        <f>U109/(0.9*(0.9*($C$7/100))*($L$9*1000))</f>
        <v>2.1567304609814295</v>
      </c>
      <c r="V110" s="288"/>
      <c r="W110" s="293">
        <f>W109/(0.9*(0.9*($C$7/100))*($L$9*1000))</f>
        <v>2.0822121312490398</v>
      </c>
      <c r="X110" s="288"/>
      <c r="Y110" s="287">
        <f>Y109/(0.9*(0.9*($C$7/100))*($L$9*1000))</f>
        <v>0.72515017011540817</v>
      </c>
      <c r="Z110" s="288"/>
    </row>
    <row r="111" spans="2:26" x14ac:dyDescent="0.25">
      <c r="B111" s="104" t="s">
        <v>98</v>
      </c>
      <c r="C111" s="281">
        <f>(C110*($L$9))/(0.85*$L$6*100)</f>
        <v>6.8930258377860917E-2</v>
      </c>
      <c r="D111" s="282"/>
      <c r="E111" s="281">
        <f>(E110*($L$9))/(0.85*$L$6*100)</f>
        <v>6.9076026489026957E-2</v>
      </c>
      <c r="F111" s="282"/>
      <c r="G111" s="281">
        <f>(G110*($L$9))/(0.85*$L$6*100)</f>
        <v>9.9208540472752821E-2</v>
      </c>
      <c r="H111" s="282"/>
      <c r="I111" s="281">
        <f>(I110*($L$9))/(0.85*$L$6*100)</f>
        <v>0.1106053023841046</v>
      </c>
      <c r="J111" s="282"/>
      <c r="K111" s="281">
        <f>(K110*($L$9))/(0.85*$L$6*100)</f>
        <v>6.5744670303141767E-2</v>
      </c>
      <c r="L111" s="282"/>
      <c r="M111" s="281">
        <f>(M110*($L$9))/(0.85*$L$6*100)</f>
        <v>8.1515779849921866E-2</v>
      </c>
      <c r="N111" s="282"/>
      <c r="O111" s="281">
        <f>(O110*($L$9))/(0.85*$L$6*100)</f>
        <v>7.8449638520809953E-2</v>
      </c>
      <c r="P111" s="282"/>
      <c r="Q111" s="281">
        <f>(Q110*($L$9))/(0.85*$L$6*100)</f>
        <v>4.6178461501796997E-2</v>
      </c>
      <c r="R111" s="282"/>
      <c r="S111" s="281">
        <f>(S110*($L$9))/(0.85*$L$6*100)</f>
        <v>4.5505091827129737E-2</v>
      </c>
      <c r="T111" s="282"/>
      <c r="U111" s="281">
        <f>(U110*($L$9))/(0.85*$L$6*100)</f>
        <v>5.3234177468284419E-2</v>
      </c>
      <c r="V111" s="282"/>
      <c r="W111" s="294">
        <f>(W110*($L$9))/(0.85*$L$6*100)</f>
        <v>5.1394855373390377E-2</v>
      </c>
      <c r="X111" s="282"/>
      <c r="Y111" s="281">
        <f>(Y110*($L$9))/(0.85*$L$6*100)</f>
        <v>1.7898746990161172E-2</v>
      </c>
      <c r="Z111" s="282"/>
    </row>
    <row r="112" spans="2:26" ht="15.75" thickBot="1" x14ac:dyDescent="0.3">
      <c r="B112" s="105" t="s">
        <v>15</v>
      </c>
      <c r="C112" s="289">
        <f>ROUNDUP(C109/(0.9*(($C$7-C111/2)/100)*($L$9*1000)),2)</f>
        <v>2.5199999999999996</v>
      </c>
      <c r="D112" s="290"/>
      <c r="E112" s="289">
        <f>ROUNDUP(E109/(0.9*(($C$7-E111/2)/100)*($L$9*1000)),2)</f>
        <v>2.5299999999999998</v>
      </c>
      <c r="F112" s="290"/>
      <c r="G112" s="289">
        <f>ROUNDUP(G109/(0.9*(($C$7-G111/2)/100)*($L$9*1000)),2)</f>
        <v>3.6399999999999997</v>
      </c>
      <c r="H112" s="290"/>
      <c r="I112" s="289">
        <f>ROUNDUP(I109/(0.9*(($C$7-I111/2)/100)*($L$9*1000)),2)</f>
        <v>4.05</v>
      </c>
      <c r="J112" s="290"/>
      <c r="K112" s="289">
        <f>ROUNDUP(K109/(0.9*(($C$7-K111/2)/100)*($L$9*1000)),2)</f>
        <v>2.4099999999999997</v>
      </c>
      <c r="L112" s="290"/>
      <c r="M112" s="289">
        <f>ROUNDUP(M109/(0.9*(($C$7-M111/2)/100)*($L$9*1000)),2)</f>
        <v>2.9899999999999998</v>
      </c>
      <c r="N112" s="290"/>
      <c r="O112" s="289">
        <f>ROUNDUP(O109/(0.9*(($C$7-O111/2)/100)*($L$9*1000)),2)</f>
        <v>2.8699999999999997</v>
      </c>
      <c r="P112" s="290"/>
      <c r="Q112" s="289">
        <f>ROUNDUP(Q109/(0.9*(($C$7-Q111/2)/100)*($L$9*1000)),2)</f>
        <v>1.69</v>
      </c>
      <c r="R112" s="290"/>
      <c r="S112" s="289">
        <f>ROUNDUP(S109/(0.9*(($C$7-S111/2)/100)*($L$9*1000)),2)</f>
        <v>1.67</v>
      </c>
      <c r="T112" s="290"/>
      <c r="U112" s="289">
        <f>ROUNDUP(U109/(0.9*(($C$7-U111/2)/100)*($L$9*1000)),2)</f>
        <v>1.95</v>
      </c>
      <c r="V112" s="290"/>
      <c r="W112" s="295">
        <f>ROUNDUP(W109/(0.9*(($C$7-W111/2)/100)*($L$9*1000)),2)</f>
        <v>1.8800000000000001</v>
      </c>
      <c r="X112" s="296"/>
      <c r="Y112" s="289">
        <f>ROUNDUP(Y109/(0.9*(($C$7-Y111/2)/100)*($L$9*1000)),2)</f>
        <v>0.66</v>
      </c>
      <c r="Z112" s="290"/>
    </row>
    <row r="113" spans="2:26" ht="16.5" thickBot="1" x14ac:dyDescent="0.3">
      <c r="B113" s="61" t="s">
        <v>113</v>
      </c>
      <c r="C113" s="279" t="str">
        <f>IF(C112&gt;$C$12,"$\phi"&amp;IF(VLOOKUP(VLOOKUP(C112,tablas!$S$3:$U$66,2,TRUE)&amp;VLOOKUP(C112,tablas!$S$3:$U$66,3,TRUE),tablas!$R$3:$S$66,2,FALSE)&lt;C112,VLOOKUP(C112+0.1,tablas!$S$3:$U$66,2,TRUE),VLOOKUP(C112,tablas!$S$3:$U$66,2,TRUE))&amp;"@"&amp;IF(VLOOKUP(VLOOKUP(C112,tablas!$S$3:$U$66,2,TRUE)&amp;VLOOKUP(C112,tablas!$S$3:$U$66,3,TRUE),tablas!$R$3:$S$66,2,FALSE)&lt;C112,VLOOKUP(C112+0.1,tablas!$S$3:$U$66,3,TRUE)&amp;"$",VLOOKUP(C112,tablas!$S$3:$U$66,3,TRUE)&amp;"$"),$C$13)</f>
        <v>$\phi8@17$</v>
      </c>
      <c r="D113" s="280"/>
      <c r="E113" s="279" t="str">
        <f>IF(E112&gt;$C$12,"$\phi"&amp;IF(VLOOKUP(VLOOKUP(E112,tablas!$S$3:$U$66,2,TRUE)&amp;VLOOKUP(E112,tablas!$S$3:$U$66,3,TRUE),tablas!$R$3:$S$66,2,FALSE)&lt;E112,VLOOKUP(E112+0.1,tablas!$S$3:$U$66,2,TRUE),VLOOKUP(E112,tablas!$S$3:$U$66,2,TRUE))&amp;"@"&amp;IF(VLOOKUP(VLOOKUP(E112,tablas!$S$3:$U$66,2,TRUE)&amp;VLOOKUP(E112,tablas!$S$3:$U$66,3,TRUE),tablas!$R$3:$S$66,2,FALSE)&lt;E112,VLOOKUP(E112+0.1,tablas!$S$3:$U$66,3,TRUE)&amp;"$",VLOOKUP(E112,tablas!$S$3:$U$66,3,TRUE)&amp;"$"),$C$13)</f>
        <v>$\phi8@17$</v>
      </c>
      <c r="F113" s="280"/>
      <c r="G113" s="279" t="str">
        <f>IF(G112&gt;$C$12,"$\phi"&amp;IF(VLOOKUP(VLOOKUP(G112,tablas!$S$3:$U$66,2,TRUE)&amp;VLOOKUP(G112,tablas!$S$3:$U$66,3,TRUE),tablas!$R$3:$S$66,2,FALSE)&lt;G112,VLOOKUP(G112+0.1,tablas!$S$3:$U$66,2,TRUE),VLOOKUP(G112,tablas!$S$3:$U$66,2,TRUE))&amp;"@"&amp;IF(VLOOKUP(VLOOKUP(G112,tablas!$S$3:$U$66,2,TRUE)&amp;VLOOKUP(G112,tablas!$S$3:$U$66,3,TRUE),tablas!$R$3:$S$66,2,FALSE)&lt;G112,VLOOKUP(G112+0.1,tablas!$S$3:$U$66,3,TRUE)&amp;"$",VLOOKUP(G112,tablas!$S$3:$U$66,3,TRUE)&amp;"$"),$C$13)</f>
        <v>$\phi8@14$</v>
      </c>
      <c r="H113" s="280"/>
      <c r="I113" s="279" t="str">
        <f>IF(I112&gt;$C$12,"$\phi"&amp;IF(VLOOKUP(VLOOKUP(I112,tablas!$S$3:$U$66,2,TRUE)&amp;VLOOKUP(I112,tablas!$S$3:$U$66,3,TRUE),tablas!$R$3:$S$66,2,FALSE)&lt;I112,VLOOKUP(I112+0.1,tablas!$S$3:$U$66,2,TRUE),VLOOKUP(I112,tablas!$S$3:$U$66,2,TRUE))&amp;"@"&amp;IF(VLOOKUP(VLOOKUP(I112,tablas!$S$3:$U$66,2,TRUE)&amp;VLOOKUP(I112,tablas!$S$3:$U$66,3,TRUE),tablas!$R$3:$S$66,2,FALSE)&lt;I112,VLOOKUP(I112+0.1,tablas!$S$3:$U$66,3,TRUE)&amp;"$",VLOOKUP(I112,tablas!$S$3:$U$66,3,TRUE)&amp;"$"),$C$13)</f>
        <v>$\phi10@19$</v>
      </c>
      <c r="J113" s="280"/>
      <c r="K113" s="279" t="str">
        <f>IF(K112&gt;$C$12,"$\phi"&amp;IF(VLOOKUP(VLOOKUP(K112,tablas!$S$3:$U$66,2,TRUE)&amp;VLOOKUP(K112,tablas!$S$3:$U$66,3,TRUE),tablas!$R$3:$S$66,2,FALSE)&lt;K112,VLOOKUP(K112+0.1,tablas!$S$3:$U$66,2,TRUE),VLOOKUP(K112,tablas!$S$3:$U$66,2,TRUE))&amp;"@"&amp;IF(VLOOKUP(VLOOKUP(K112,tablas!$S$3:$U$66,2,TRUE)&amp;VLOOKUP(K112,tablas!$S$3:$U$66,3,TRUE),tablas!$R$3:$S$66,2,FALSE)&lt;K112,VLOOKUP(K112+0.1,tablas!$S$3:$U$66,3,TRUE)&amp;"$",VLOOKUP(K112,tablas!$S$3:$U$66,3,TRUE)&amp;"$"),$C$13)</f>
        <v>$\phi8@17$</v>
      </c>
      <c r="L113" s="280"/>
      <c r="M113" s="279" t="str">
        <f>IF(M112&gt;$C$12,"$\phi"&amp;IF(VLOOKUP(VLOOKUP(M112,tablas!$S$3:$U$66,2,TRUE)&amp;VLOOKUP(M112,tablas!$S$3:$U$66,3,TRUE),tablas!$R$3:$S$66,2,FALSE)&lt;M112,VLOOKUP(M112+0.1,tablas!$S$3:$U$66,2,TRUE),VLOOKUP(M112,tablas!$S$3:$U$66,2,TRUE))&amp;"@"&amp;IF(VLOOKUP(VLOOKUP(M112,tablas!$S$3:$U$66,2,TRUE)&amp;VLOOKUP(M112,tablas!$S$3:$U$66,3,TRUE),tablas!$R$3:$S$66,2,FALSE)&lt;M112,VLOOKUP(M112+0.1,tablas!$S$3:$U$66,3,TRUE)&amp;"$",VLOOKUP(M112,tablas!$S$3:$U$66,3,TRUE)&amp;"$"),$C$13)</f>
        <v>$\phi8@17$</v>
      </c>
      <c r="N113" s="280"/>
      <c r="O113" s="279" t="str">
        <f>IF(O112&gt;$C$12,"$\phi"&amp;IF(VLOOKUP(VLOOKUP(O112,tablas!$S$3:$U$66,2,TRUE)&amp;VLOOKUP(O112,tablas!$S$3:$U$66,3,TRUE),tablas!$R$3:$S$66,2,FALSE)&lt;O112,VLOOKUP(O112+0.1,tablas!$S$3:$U$66,2,TRUE),VLOOKUP(O112,tablas!$S$3:$U$66,2,TRUE))&amp;"@"&amp;IF(VLOOKUP(VLOOKUP(O112,tablas!$S$3:$U$66,2,TRUE)&amp;VLOOKUP(O112,tablas!$S$3:$U$66,3,TRUE),tablas!$R$3:$S$66,2,FALSE)&lt;O112,VLOOKUP(O112+0.1,tablas!$S$3:$U$66,3,TRUE)&amp;"$",VLOOKUP(O112,tablas!$S$3:$U$66,3,TRUE)&amp;"$"),$C$13)</f>
        <v>$\phi8@17$</v>
      </c>
      <c r="P113" s="280"/>
      <c r="Q113" s="279" t="str">
        <f>IF(Q112&gt;$C$12,"$\phi"&amp;IF(VLOOKUP(VLOOKUP(Q112,tablas!$S$3:$U$66,2,TRUE)&amp;VLOOKUP(Q112,tablas!$S$3:$U$66,3,TRUE),tablas!$R$3:$S$66,2,FALSE)&lt;Q112,VLOOKUP(Q112+0.1,tablas!$S$3:$U$66,2,TRUE),VLOOKUP(Q112,tablas!$S$3:$U$66,2,TRUE))&amp;"@"&amp;IF(VLOOKUP(VLOOKUP(Q112,tablas!$S$3:$U$66,2,TRUE)&amp;VLOOKUP(Q112,tablas!$S$3:$U$66,3,TRUE),tablas!$R$3:$S$66,2,FALSE)&lt;Q112,VLOOKUP(Q112+0.1,tablas!$S$3:$U$66,3,TRUE)&amp;"$",VLOOKUP(Q112,tablas!$S$3:$U$66,3,TRUE)&amp;"$"),$C$13)</f>
        <v>$\phi8@17$</v>
      </c>
      <c r="R113" s="280"/>
      <c r="S113" s="279" t="str">
        <f>IF(S112&gt;$C$12,"$\phi"&amp;IF(VLOOKUP(VLOOKUP(S112,tablas!$S$3:$U$66,2,TRUE)&amp;VLOOKUP(S112,tablas!$S$3:$U$66,3,TRUE),tablas!$R$3:$S$66,2,FALSE)&lt;S112,VLOOKUP(S112+0.1,tablas!$S$3:$U$66,2,TRUE),VLOOKUP(S112,tablas!$S$3:$U$66,2,TRUE))&amp;"@"&amp;IF(VLOOKUP(VLOOKUP(S112,tablas!$S$3:$U$66,2,TRUE)&amp;VLOOKUP(S112,tablas!$S$3:$U$66,3,TRUE),tablas!$R$3:$S$66,2,FALSE)&lt;S112,VLOOKUP(S112+0.1,tablas!$S$3:$U$66,3,TRUE)&amp;"$",VLOOKUP(S112,tablas!$S$3:$U$66,3,TRUE)&amp;"$"),$C$13)</f>
        <v>$\phi8@17$</v>
      </c>
      <c r="T113" s="280"/>
      <c r="U113" s="279" t="str">
        <f>IF(U112&gt;$C$12,"$\phi"&amp;IF(VLOOKUP(VLOOKUP(U112,tablas!$S$3:$U$66,2,TRUE)&amp;VLOOKUP(U112,tablas!$S$3:$U$66,3,TRUE),tablas!$R$3:$S$66,2,FALSE)&lt;U112,VLOOKUP(U112+0.1,tablas!$S$3:$U$66,2,TRUE),VLOOKUP(U112,tablas!$S$3:$U$66,2,TRUE))&amp;"@"&amp;IF(VLOOKUP(VLOOKUP(U112,tablas!$S$3:$U$66,2,TRUE)&amp;VLOOKUP(U112,tablas!$S$3:$U$66,3,TRUE),tablas!$R$3:$S$66,2,FALSE)&lt;U112,VLOOKUP(U112+0.1,tablas!$S$3:$U$66,3,TRUE)&amp;"$",VLOOKUP(U112,tablas!$S$3:$U$66,3,TRUE)&amp;"$"),$C$13)</f>
        <v>$\phi8@17$</v>
      </c>
      <c r="V113" s="280"/>
      <c r="W113" s="279" t="str">
        <f>IF(W112&gt;$C$12,"$\phi"&amp;IF(VLOOKUP(VLOOKUP(W112,tablas!$S$3:$U$66,2,TRUE)&amp;VLOOKUP(W112,tablas!$S$3:$U$66,3,TRUE),tablas!$R$3:$S$66,2,FALSE)&lt;W112,VLOOKUP(W112+0.1,tablas!$S$3:$U$66,2,TRUE),VLOOKUP(W112,tablas!$S$3:$U$66,2,TRUE))&amp;"@"&amp;IF(VLOOKUP(VLOOKUP(W112,tablas!$S$3:$U$66,2,TRUE)&amp;VLOOKUP(W112,tablas!$S$3:$U$66,3,TRUE),tablas!$R$3:$S$66,2,FALSE)&lt;W112,VLOOKUP(W112+0.1,tablas!$S$3:$U$66,3,TRUE)&amp;"$",VLOOKUP(W112,tablas!$S$3:$U$66,3,TRUE)&amp;"$"),$C$13)</f>
        <v>$\phi8@17$</v>
      </c>
      <c r="X113" s="280"/>
      <c r="Y113" s="279" t="str">
        <f>IF(Y112&gt;$C$12,"$\phi"&amp;IF(VLOOKUP(VLOOKUP(Y112,tablas!$S$3:$U$66,2,TRUE)&amp;VLOOKUP(Y112,tablas!$S$3:$U$66,3,TRUE),tablas!$R$3:$S$66,2,FALSE)&lt;Y112,VLOOKUP(Y112+0.1,tablas!$S$3:$U$66,2,TRUE),VLOOKUP(Y112,tablas!$S$3:$U$66,2,TRUE))&amp;"@"&amp;IF(VLOOKUP(VLOOKUP(Y112,tablas!$S$3:$U$66,2,TRUE)&amp;VLOOKUP(Y112,tablas!$S$3:$U$66,3,TRUE),tablas!$R$3:$S$66,2,FALSE)&lt;Y112,VLOOKUP(Y112+0.1,tablas!$S$3:$U$66,3,TRUE)&amp;"$",VLOOKUP(Y112,tablas!$S$3:$U$66,3,TRUE)&amp;"$"),$C$13)</f>
        <v>$\phi8@17$</v>
      </c>
      <c r="Z113" s="280"/>
    </row>
    <row r="114" spans="2:26" ht="15.75" thickBot="1" x14ac:dyDescent="0.3">
      <c r="P114" s="40"/>
      <c r="T114" s="40"/>
    </row>
    <row r="115" spans="2:26" ht="15.75" thickBot="1" x14ac:dyDescent="0.3">
      <c r="B115" s="73" t="s">
        <v>43</v>
      </c>
      <c r="C115" s="74" t="s">
        <v>193</v>
      </c>
      <c r="D115" s="75" t="s">
        <v>208</v>
      </c>
      <c r="E115" s="74" t="s">
        <v>194</v>
      </c>
      <c r="F115" s="75" t="s">
        <v>195</v>
      </c>
      <c r="G115" s="74" t="s">
        <v>194</v>
      </c>
      <c r="H115" s="75" t="s">
        <v>196</v>
      </c>
      <c r="I115" s="74" t="s">
        <v>195</v>
      </c>
      <c r="J115" s="75" t="s">
        <v>208</v>
      </c>
      <c r="K115" s="74" t="s">
        <v>195</v>
      </c>
      <c r="L115" s="75" t="s">
        <v>196</v>
      </c>
      <c r="M115" s="74" t="s">
        <v>196</v>
      </c>
      <c r="N115" s="75" t="s">
        <v>197</v>
      </c>
      <c r="O115" s="74" t="s">
        <v>196</v>
      </c>
      <c r="P115" s="75" t="s">
        <v>204</v>
      </c>
      <c r="Q115" s="74" t="s">
        <v>197</v>
      </c>
      <c r="R115" s="75" t="s">
        <v>204</v>
      </c>
      <c r="S115" s="74" t="s">
        <v>197</v>
      </c>
      <c r="T115" s="75" t="s">
        <v>203</v>
      </c>
      <c r="U115" s="74" t="s">
        <v>199</v>
      </c>
      <c r="V115" s="75" t="s">
        <v>200</v>
      </c>
    </row>
    <row r="116" spans="2:26" ht="15.75" hidden="1" thickBot="1" x14ac:dyDescent="0.3">
      <c r="B116" s="141"/>
      <c r="C116" s="143" t="str">
        <f>C115&amp;"-"&amp;D115</f>
        <v>1407-1422</v>
      </c>
      <c r="D116" s="143"/>
      <c r="E116" s="143" t="str">
        <f>E115&amp;"-"&amp;F115</f>
        <v>1408-1409</v>
      </c>
      <c r="F116" s="142"/>
      <c r="G116" s="143" t="str">
        <f>G115&amp;"-"&amp;H115</f>
        <v>1408-1410</v>
      </c>
      <c r="H116" s="142"/>
      <c r="I116" s="143" t="str">
        <f>I115&amp;"-"&amp;J115</f>
        <v>1409-1422</v>
      </c>
      <c r="J116" s="142"/>
      <c r="K116" s="143" t="str">
        <f>K115&amp;"-"&amp;L115</f>
        <v>1409-1410</v>
      </c>
      <c r="L116" s="142"/>
      <c r="M116" s="143" t="str">
        <f>M115&amp;"-"&amp;N115</f>
        <v>1410-1411</v>
      </c>
      <c r="N116" s="142"/>
      <c r="O116" s="143" t="str">
        <f>O115&amp;"-"&amp;P115</f>
        <v>1410-1418</v>
      </c>
      <c r="P116" s="142"/>
      <c r="Q116" s="143" t="str">
        <f>Q115&amp;"-"&amp;R115</f>
        <v>1411-1418</v>
      </c>
      <c r="R116" s="142"/>
      <c r="S116" s="143" t="str">
        <f>S115&amp;"-"&amp;T115</f>
        <v>1411-1417</v>
      </c>
      <c r="T116" s="142"/>
      <c r="U116" s="143" t="str">
        <f>U115&amp;"-"&amp;V115</f>
        <v>1413-1414</v>
      </c>
      <c r="V116" s="142"/>
    </row>
    <row r="117" spans="2:26" x14ac:dyDescent="0.25">
      <c r="B117" s="102" t="s">
        <v>114</v>
      </c>
      <c r="C117" s="99" t="s">
        <v>109</v>
      </c>
      <c r="D117" s="100" t="s">
        <v>108</v>
      </c>
      <c r="E117" s="99" t="s">
        <v>108</v>
      </c>
      <c r="F117" s="100" t="s">
        <v>109</v>
      </c>
      <c r="G117" s="99" t="s">
        <v>108</v>
      </c>
      <c r="H117" s="100" t="s">
        <v>108</v>
      </c>
      <c r="I117" s="99" t="s">
        <v>108</v>
      </c>
      <c r="J117" s="100" t="s">
        <v>109</v>
      </c>
      <c r="K117" s="99" t="s">
        <v>108</v>
      </c>
      <c r="L117" s="100" t="s">
        <v>109</v>
      </c>
      <c r="M117" s="99" t="s">
        <v>109</v>
      </c>
      <c r="N117" s="100" t="s">
        <v>109</v>
      </c>
      <c r="O117" s="99" t="s">
        <v>108</v>
      </c>
      <c r="P117" s="100" t="s">
        <v>108</v>
      </c>
      <c r="Q117" s="99" t="s">
        <v>108</v>
      </c>
      <c r="R117" s="100" t="s">
        <v>108</v>
      </c>
      <c r="S117" s="99" t="s">
        <v>109</v>
      </c>
      <c r="T117" s="100" t="s">
        <v>108</v>
      </c>
      <c r="U117" s="99" t="s">
        <v>109</v>
      </c>
      <c r="V117" s="100" t="s">
        <v>109</v>
      </c>
    </row>
    <row r="118" spans="2:26" x14ac:dyDescent="0.25">
      <c r="B118" s="103" t="s">
        <v>110</v>
      </c>
      <c r="C118" s="101">
        <f t="shared" ref="C118:V118" si="29">HLOOKUP(C115,$B$46:$AE$90,IF(C117="x",36,41),FALSE)</f>
        <v>479.38048780487804</v>
      </c>
      <c r="D118" s="85">
        <f t="shared" si="29"/>
        <v>734.75928143712576</v>
      </c>
      <c r="E118" s="101">
        <f t="shared" si="29"/>
        <v>227.0333333333333</v>
      </c>
      <c r="F118" s="85">
        <f t="shared" si="29"/>
        <v>667.99428571428564</v>
      </c>
      <c r="G118" s="101">
        <f t="shared" si="29"/>
        <v>227.0333333333333</v>
      </c>
      <c r="H118" s="85">
        <f t="shared" si="29"/>
        <v>1428.5638297872338</v>
      </c>
      <c r="I118" s="101">
        <f t="shared" si="29"/>
        <v>974.1583333333333</v>
      </c>
      <c r="J118" s="85">
        <f t="shared" si="29"/>
        <v>555.22533936651575</v>
      </c>
      <c r="K118" s="101">
        <f t="shared" si="29"/>
        <v>974.1583333333333</v>
      </c>
      <c r="L118" s="85">
        <f t="shared" si="29"/>
        <v>1323.0049261083741</v>
      </c>
      <c r="M118" s="101">
        <f t="shared" si="29"/>
        <v>1323.0049261083741</v>
      </c>
      <c r="N118" s="85">
        <f t="shared" si="29"/>
        <v>1879.8058604651167</v>
      </c>
      <c r="O118" s="101">
        <f t="shared" si="29"/>
        <v>1428.5638297872338</v>
      </c>
      <c r="P118" s="85">
        <f t="shared" si="29"/>
        <v>276.07350000000002</v>
      </c>
      <c r="Q118" s="101">
        <f t="shared" si="29"/>
        <v>2172.8938709677423</v>
      </c>
      <c r="R118" s="85">
        <f t="shared" si="29"/>
        <v>276.07350000000002</v>
      </c>
      <c r="S118" s="101">
        <f t="shared" si="29"/>
        <v>1879.8058604651167</v>
      </c>
      <c r="T118" s="85">
        <f t="shared" si="29"/>
        <v>166.29600000000002</v>
      </c>
      <c r="U118" s="101">
        <f t="shared" si="29"/>
        <v>249.29093333333336</v>
      </c>
      <c r="V118" s="85">
        <f t="shared" si="29"/>
        <v>249.29093333333336</v>
      </c>
    </row>
    <row r="119" spans="2:26" x14ac:dyDescent="0.25">
      <c r="B119" s="103" t="s">
        <v>111</v>
      </c>
      <c r="C119" s="283">
        <f>(MAX(C118:D118)-MIN(C118:D118))/(MAX(C118:D118))</f>
        <v>0.34756797237422959</v>
      </c>
      <c r="D119" s="284"/>
      <c r="E119" s="283">
        <f>(MAX(E118:F118)-MIN(E118:F118))/(MAX(E118:F118))</f>
        <v>0.66012683313515652</v>
      </c>
      <c r="F119" s="284"/>
      <c r="G119" s="283">
        <f>(MAX(G118:H118)-MIN(G118:H118))/(MAX(G118:H118))</f>
        <v>0.84107582132529068</v>
      </c>
      <c r="H119" s="284"/>
      <c r="I119" s="283">
        <f>(MAX(I118:J118)-MIN(I118:J118))/(MAX(I118:J118))</f>
        <v>0.43004610198562954</v>
      </c>
      <c r="J119" s="284"/>
      <c r="K119" s="283">
        <f>(MAX(K118:L118)-MIN(K118:L118))/(MAX(K118:L118))</f>
        <v>0.26367747080214954</v>
      </c>
      <c r="L119" s="284"/>
      <c r="M119" s="283">
        <f>(MAX(M118:N118)-MIN(M118:N118))/(MAX(M118:N118))</f>
        <v>0.29620129720149635</v>
      </c>
      <c r="N119" s="284"/>
      <c r="O119" s="283">
        <f>(MAX(O118:P118)-MIN(O118:P118))/(MAX(O118:P118))</f>
        <v>0.80674752206128753</v>
      </c>
      <c r="P119" s="284"/>
      <c r="Q119" s="283">
        <f>(MAX(Q118:R118)-MIN(Q118:R118))/(MAX(Q118:R118))</f>
        <v>0.87294662491866437</v>
      </c>
      <c r="R119" s="284"/>
      <c r="S119" s="283">
        <f>(MAX(S118:T118)-MIN(S118:T118))/(MAX(S118:T118))</f>
        <v>0.91153554550635685</v>
      </c>
      <c r="T119" s="284"/>
      <c r="U119" s="283">
        <f>(MAX(U118:V118)-MIN(U118:V118))/(MAX(U118:V118))</f>
        <v>0</v>
      </c>
      <c r="V119" s="284"/>
    </row>
    <row r="120" spans="2:26" x14ac:dyDescent="0.25">
      <c r="B120" s="103" t="s">
        <v>112</v>
      </c>
      <c r="C120" s="285">
        <f>IF(C119&lt;25%,(C118*0.5+D118*0.5)*0.9,IF(C119&lt;50%,(MAX(C118:D118)*0.6+MIN(C118:D118)*0.4)*0.9,IF(C119&lt;70%,(MAX(C118:D118)*0.65+MIN(C118:D118)*0.35)*0.9,IF(C119&lt;100%,(MAX(C118:D118)*0.7+MIN(C118:D118)*0.3)*0.9,0.7*MAX(C118:D118)))))</f>
        <v>569.34698758580407</v>
      </c>
      <c r="D120" s="286"/>
      <c r="E120" s="285">
        <f>IF(E119&lt;25%,(E118*0.5+F118*0.5)*0.9,IF(E119&lt;50%,(MAX(E118:F118)*0.6+MIN(E118:F118)*0.4)*0.9,IF(E119&lt;70%,(MAX(E118:F118)*0.65+MIN(E118:F118)*0.35)*0.9,IF(E119&lt;100%,(MAX(E118:F118)*0.7+MIN(E118:F118)*0.3)*0.9,0.7*MAX(E118:F118)))))</f>
        <v>462.29215714285709</v>
      </c>
      <c r="F120" s="286"/>
      <c r="G120" s="285">
        <f>IF(G119&lt;25%,(G118*0.5+H118*0.5)*0.9,IF(G119&lt;50%,(MAX(G118:H118)*0.6+MIN(G118:H118)*0.4)*0.9,IF(G119&lt;70%,(MAX(G118:H118)*0.65+MIN(G118:H118)*0.35)*0.9,IF(G119&lt;100%,(MAX(G118:H118)*0.7+MIN(G118:H118)*0.3)*0.9,0.7*MAX(G118:H118)))))</f>
        <v>961.29421276595713</v>
      </c>
      <c r="H120" s="286"/>
      <c r="I120" s="285">
        <f>IF(I119&lt;25%,(I118*0.5+J118*0.5)*0.9,IF(I119&lt;50%,(MAX(I118:J118)*0.6+MIN(I118:J118)*0.4)*0.9,IF(I119&lt;70%,(MAX(I118:J118)*0.65+MIN(I118:J118)*0.35)*0.9,IF(I119&lt;100%,(MAX(I118:J118)*0.7+MIN(I118:J118)*0.3)*0.9,0.7*MAX(I118:J118)))))</f>
        <v>725.92662217194572</v>
      </c>
      <c r="J120" s="286"/>
      <c r="K120" s="285">
        <f>IF(K119&lt;25%,(K118*0.5+L118*0.5)*0.9,IF(K119&lt;50%,(MAX(K118:L118)*0.6+MIN(K118:L118)*0.4)*0.9,IF(K119&lt;70%,(MAX(K118:L118)*0.65+MIN(K118:L118)*0.35)*0.9,IF(K119&lt;100%,(MAX(K118:L118)*0.7+MIN(K118:L118)*0.3)*0.9,0.7*MAX(K118:L118)))))</f>
        <v>1065.1196600985222</v>
      </c>
      <c r="L120" s="286"/>
      <c r="M120" s="285">
        <f>IF(M119&lt;25%,(M118*0.5+N118*0.5)*0.9,IF(M119&lt;50%,(MAX(M118:N118)*0.6+MIN(M118:N118)*0.4)*0.9,IF(M119&lt;70%,(MAX(M118:N118)*0.65+MIN(M118:N118)*0.35)*0.9,IF(M119&lt;100%,(MAX(M118:N118)*0.7+MIN(M118:N118)*0.3)*0.9,0.7*MAX(M118:N118)))))</f>
        <v>1491.3769380501776</v>
      </c>
      <c r="N120" s="286"/>
      <c r="O120" s="285">
        <f>IF(O119&lt;25%,(O118*0.5+P118*0.5)*0.9,IF(O119&lt;50%,(MAX(O118:P118)*0.6+MIN(O118:P118)*0.4)*0.9,IF(O119&lt;70%,(MAX(O118:P118)*0.65+MIN(O118:P118)*0.35)*0.9,IF(O119&lt;100%,(MAX(O118:P118)*0.7+MIN(O118:P118)*0.3)*0.9,0.7*MAX(O118:P118)))))</f>
        <v>974.53505776595716</v>
      </c>
      <c r="P120" s="286"/>
      <c r="Q120" s="285">
        <f>IF(Q119&lt;25%,(Q118*0.5+R118*0.5)*0.9,IF(Q119&lt;50%,(MAX(Q118:R118)*0.6+MIN(Q118:R118)*0.4)*0.9,IF(Q119&lt;70%,(MAX(Q118:R118)*0.65+MIN(Q118:R118)*0.35)*0.9,IF(Q119&lt;100%,(MAX(Q118:R118)*0.7+MIN(Q118:R118)*0.3)*0.9,0.7*MAX(Q118:R118)))))</f>
        <v>1443.4629837096775</v>
      </c>
      <c r="R120" s="286"/>
      <c r="S120" s="285">
        <f>IF(S119&lt;25%,(S118*0.5+T118*0.5)*0.9,IF(S119&lt;50%,(MAX(S118:T118)*0.6+MIN(S118:T118)*0.4)*0.9,IF(S119&lt;70%,(MAX(S118:T118)*0.65+MIN(S118:T118)*0.35)*0.9,IF(S119&lt;100%,(MAX(S118:T118)*0.7+MIN(S118:T118)*0.3)*0.9,0.7*MAX(S118:T118)))))</f>
        <v>1229.1776120930235</v>
      </c>
      <c r="T120" s="286"/>
      <c r="U120" s="285">
        <f>IF(U119&lt;25%,(U118*0.5+V118*0.5)*0.9,IF(U119&lt;50%,(MAX(U118:V118)*0.6+MIN(U118:V118)*0.4)*0.9,IF(U119&lt;70%,(MAX(U118:V118)*0.65+MIN(U118:V118)*0.35)*0.9,IF(U119&lt;100%,(MAX(U118:V118)*0.7+MIN(U118:V118)*0.3)*0.9,0.7*MAX(U118:V118)))))</f>
        <v>224.36184000000003</v>
      </c>
      <c r="V120" s="286"/>
    </row>
    <row r="121" spans="2:26" x14ac:dyDescent="0.25">
      <c r="B121" s="104" t="s">
        <v>15</v>
      </c>
      <c r="C121" s="287">
        <f>C120/(0.9*(0.9*($C$7/100))*($L$9*1000))</f>
        <v>1.1730599391489145</v>
      </c>
      <c r="D121" s="288"/>
      <c r="E121" s="287">
        <f>E120/(0.9*(0.9*($C$7/100))*($L$9*1000))</f>
        <v>0.95248841488828095</v>
      </c>
      <c r="F121" s="288"/>
      <c r="G121" s="287">
        <f>G120/(0.9*(0.9*($C$7/100))*($L$9*1000))</f>
        <v>1.9806124478027429</v>
      </c>
      <c r="H121" s="288"/>
      <c r="I121" s="287">
        <f>I120/(0.9*(0.9*($C$7/100))*($L$9*1000))</f>
        <v>1.4956704045145492</v>
      </c>
      <c r="J121" s="288"/>
      <c r="K121" s="287">
        <f>K120/(0.9*(0.9*($C$7/100))*($L$9*1000))</f>
        <v>2.194530279258192</v>
      </c>
      <c r="L121" s="288"/>
      <c r="M121" s="287">
        <f>M120/(0.9*(0.9*($C$7/100))*($L$9*1000))</f>
        <v>3.07277385907584</v>
      </c>
      <c r="N121" s="288"/>
      <c r="O121" s="287">
        <f>O120/(0.9*(0.9*($C$7/100))*($L$9*1000))</f>
        <v>2.0078933593885608</v>
      </c>
      <c r="P121" s="288"/>
      <c r="Q121" s="287">
        <f>Q120/(0.9*(0.9*($C$7/100))*($L$9*1000))</f>
        <v>2.974053848979044</v>
      </c>
      <c r="R121" s="288"/>
      <c r="S121" s="287">
        <f>S120/(0.9*(0.9*($C$7/100))*($L$9*1000))</f>
        <v>2.5325487730410572</v>
      </c>
      <c r="T121" s="288"/>
      <c r="U121" s="287">
        <f>U120/(0.9*(0.9*($C$7/100))*($L$9*1000))</f>
        <v>0.46226623151856788</v>
      </c>
      <c r="V121" s="288"/>
    </row>
    <row r="122" spans="2:26" x14ac:dyDescent="0.25">
      <c r="B122" s="104" t="s">
        <v>98</v>
      </c>
      <c r="C122" s="281">
        <f>(C121*($L$9))/(0.85*$L$6*100)</f>
        <v>2.8954420643352678E-2</v>
      </c>
      <c r="D122" s="282"/>
      <c r="E122" s="281">
        <f>(E121*($L$9))/(0.85*$L$6*100)</f>
        <v>2.351009466967614E-2</v>
      </c>
      <c r="F122" s="282"/>
      <c r="G122" s="281">
        <f>(G121*($L$9))/(0.85*$L$6*100)</f>
        <v>4.8887089253723995E-2</v>
      </c>
      <c r="H122" s="282"/>
      <c r="I122" s="281">
        <f>(I121*($L$9))/(0.85*$L$6*100)</f>
        <v>3.6917354851916211E-2</v>
      </c>
      <c r="J122" s="282"/>
      <c r="K122" s="281">
        <f>(K121*($L$9))/(0.85*$L$6*100)</f>
        <v>5.4167183363466334E-2</v>
      </c>
      <c r="L122" s="282"/>
      <c r="M122" s="281">
        <f>(M121*($L$9))/(0.85*$L$6*100)</f>
        <v>7.5844706556197211E-2</v>
      </c>
      <c r="N122" s="282"/>
      <c r="O122" s="281">
        <f>(O121*($L$9))/(0.85*$L$6*100)</f>
        <v>4.9560458928391241E-2</v>
      </c>
      <c r="P122" s="282"/>
      <c r="Q122" s="281">
        <f>(Q121*($L$9))/(0.85*$L$6*100)</f>
        <v>7.3408018879067533E-2</v>
      </c>
      <c r="R122" s="282"/>
      <c r="S122" s="281">
        <f>(S121*($L$9))/(0.85*$L$6*100)</f>
        <v>6.2510431076215248E-2</v>
      </c>
      <c r="T122" s="282"/>
      <c r="U122" s="281">
        <f>(U121*($L$9))/(0.85*$L$6*100)</f>
        <v>1.1410031550746659E-2</v>
      </c>
      <c r="V122" s="282"/>
    </row>
    <row r="123" spans="2:26" ht="15.75" thickBot="1" x14ac:dyDescent="0.3">
      <c r="B123" s="105" t="s">
        <v>15</v>
      </c>
      <c r="C123" s="289">
        <f>ROUNDUP(C120/(0.9*(($C$7-C122/2)/100)*($L$9*1000)),2)</f>
        <v>1.06</v>
      </c>
      <c r="D123" s="290"/>
      <c r="E123" s="289">
        <f>ROUNDUP(E120/(0.9*(($C$7-E122/2)/100)*($L$9*1000)),2)</f>
        <v>0.86</v>
      </c>
      <c r="F123" s="290"/>
      <c r="G123" s="289">
        <f>ROUNDUP(G120/(0.9*(($C$7-G122/2)/100)*($L$9*1000)),2)</f>
        <v>1.79</v>
      </c>
      <c r="H123" s="290"/>
      <c r="I123" s="289">
        <f>ROUNDUP(I120/(0.9*(($C$7-I122/2)/100)*($L$9*1000)),2)</f>
        <v>1.35</v>
      </c>
      <c r="J123" s="290"/>
      <c r="K123" s="289">
        <f>ROUNDUP(K120/(0.9*(($C$7-K122/2)/100)*($L$9*1000)),2)</f>
        <v>1.98</v>
      </c>
      <c r="L123" s="290"/>
      <c r="M123" s="289">
        <f>ROUNDUP(M120/(0.9*(($C$7-M122/2)/100)*($L$9*1000)),2)</f>
        <v>2.78</v>
      </c>
      <c r="N123" s="290"/>
      <c r="O123" s="289">
        <f>ROUNDUP(O120/(0.9*(($C$7-O122/2)/100)*($L$9*1000)),2)</f>
        <v>1.82</v>
      </c>
      <c r="P123" s="290"/>
      <c r="Q123" s="289">
        <f>ROUNDUP(Q120/(0.9*(($C$7-Q122/2)/100)*($L$9*1000)),2)</f>
        <v>2.69</v>
      </c>
      <c r="R123" s="290"/>
      <c r="S123" s="289">
        <f>ROUNDUP(S120/(0.9*(($C$7-S122/2)/100)*($L$9*1000)),2)</f>
        <v>2.2899999999999996</v>
      </c>
      <c r="T123" s="290"/>
      <c r="U123" s="289">
        <f>ROUNDUP(U120/(0.9*(($C$7-U122/2)/100)*($L$9*1000)),2)</f>
        <v>0.42</v>
      </c>
      <c r="V123" s="290"/>
    </row>
    <row r="124" spans="2:26" ht="16.5" thickBot="1" x14ac:dyDescent="0.3">
      <c r="B124" s="61" t="s">
        <v>113</v>
      </c>
      <c r="C124" s="279" t="str">
        <f>IF(C123&gt;$C$12,"$\phi"&amp;IF(VLOOKUP(VLOOKUP(C123,tablas!$S$3:$U$66,2,TRUE)&amp;VLOOKUP(C123,tablas!$S$3:$U$66,3,TRUE),tablas!$R$3:$S$66,2,FALSE)&lt;C123,VLOOKUP(C123+0.1,tablas!$S$3:$U$66,2,TRUE),VLOOKUP(C123,tablas!$S$3:$U$66,2,TRUE))&amp;"@"&amp;IF(VLOOKUP(VLOOKUP(C123,tablas!$S$3:$U$66,2,TRUE)&amp;VLOOKUP(C123,tablas!$S$3:$U$66,3,TRUE),tablas!$R$3:$S$66,2,FALSE)&lt;C123,VLOOKUP(C123+0.1,tablas!$S$3:$U$66,3,TRUE)&amp;"$",VLOOKUP(C123,tablas!$S$3:$U$66,3,TRUE)&amp;"$"),$C$13)</f>
        <v>$\phi8@17$</v>
      </c>
      <c r="D124" s="280"/>
      <c r="E124" s="279" t="str">
        <f>IF(E123&gt;$C$12,"$\phi"&amp;IF(VLOOKUP(VLOOKUP(E123,tablas!$S$3:$U$66,2,TRUE)&amp;VLOOKUP(E123,tablas!$S$3:$U$66,3,TRUE),tablas!$R$3:$S$66,2,FALSE)&lt;E123,VLOOKUP(E123+0.1,tablas!$S$3:$U$66,2,TRUE),VLOOKUP(E123,tablas!$S$3:$U$66,2,TRUE))&amp;"@"&amp;IF(VLOOKUP(VLOOKUP(E123,tablas!$S$3:$U$66,2,TRUE)&amp;VLOOKUP(E123,tablas!$S$3:$U$66,3,TRUE),tablas!$R$3:$S$66,2,FALSE)&lt;E123,VLOOKUP(E123+0.1,tablas!$S$3:$U$66,3,TRUE)&amp;"$",VLOOKUP(E123,tablas!$S$3:$U$66,3,TRUE)&amp;"$"),$C$13)</f>
        <v>$\phi8@17$</v>
      </c>
      <c r="F124" s="280"/>
      <c r="G124" s="279" t="str">
        <f>IF(G123&gt;$C$12,"$\phi"&amp;IF(VLOOKUP(VLOOKUP(G123,tablas!$S$3:$U$66,2,TRUE)&amp;VLOOKUP(G123,tablas!$S$3:$U$66,3,TRUE),tablas!$R$3:$S$66,2,FALSE)&lt;G123,VLOOKUP(G123+0.1,tablas!$S$3:$U$66,2,TRUE),VLOOKUP(G123,tablas!$S$3:$U$66,2,TRUE))&amp;"@"&amp;IF(VLOOKUP(VLOOKUP(G123,tablas!$S$3:$U$66,2,TRUE)&amp;VLOOKUP(G123,tablas!$S$3:$U$66,3,TRUE),tablas!$R$3:$S$66,2,FALSE)&lt;G123,VLOOKUP(G123+0.1,tablas!$S$3:$U$66,3,TRUE)&amp;"$",VLOOKUP(G123,tablas!$S$3:$U$66,3,TRUE)&amp;"$"),$C$13)</f>
        <v>$\phi8@17$</v>
      </c>
      <c r="H124" s="280"/>
      <c r="I124" s="279" t="str">
        <f>IF(I123&gt;$C$12,"$\phi"&amp;IF(VLOOKUP(VLOOKUP(I123,tablas!$S$3:$U$66,2,TRUE)&amp;VLOOKUP(I123,tablas!$S$3:$U$66,3,TRUE),tablas!$R$3:$S$66,2,FALSE)&lt;I123,VLOOKUP(I123+0.1,tablas!$S$3:$U$66,2,TRUE),VLOOKUP(I123,tablas!$S$3:$U$66,2,TRUE))&amp;"@"&amp;IF(VLOOKUP(VLOOKUP(I123,tablas!$S$3:$U$66,2,TRUE)&amp;VLOOKUP(I123,tablas!$S$3:$U$66,3,TRUE),tablas!$R$3:$S$66,2,FALSE)&lt;I123,VLOOKUP(I123+0.1,tablas!$S$3:$U$66,3,TRUE)&amp;"$",VLOOKUP(I123,tablas!$S$3:$U$66,3,TRUE)&amp;"$"),$C$13)</f>
        <v>$\phi8@17$</v>
      </c>
      <c r="J124" s="280"/>
      <c r="K124" s="279" t="str">
        <f>IF(K123&gt;$C$12,"$\phi"&amp;IF(VLOOKUP(VLOOKUP(K123,tablas!$S$3:$U$66,2,TRUE)&amp;VLOOKUP(K123,tablas!$S$3:$U$66,3,TRUE),tablas!$R$3:$S$66,2,FALSE)&lt;K123,VLOOKUP(K123+0.1,tablas!$S$3:$U$66,2,TRUE),VLOOKUP(K123,tablas!$S$3:$U$66,2,TRUE))&amp;"@"&amp;IF(VLOOKUP(VLOOKUP(K123,tablas!$S$3:$U$66,2,TRUE)&amp;VLOOKUP(K123,tablas!$S$3:$U$66,3,TRUE),tablas!$R$3:$S$66,2,FALSE)&lt;K123,VLOOKUP(K123+0.1,tablas!$S$3:$U$66,3,TRUE)&amp;"$",VLOOKUP(K123,tablas!$S$3:$U$66,3,TRUE)&amp;"$"),$C$13)</f>
        <v>$\phi8@17$</v>
      </c>
      <c r="L124" s="280"/>
      <c r="M124" s="279" t="str">
        <f>IF(M123&gt;$C$12,"$\phi"&amp;IF(VLOOKUP(VLOOKUP(M123,tablas!$S$3:$U$66,2,TRUE)&amp;VLOOKUP(M123,tablas!$S$3:$U$66,3,TRUE),tablas!$R$3:$S$66,2,FALSE)&lt;M123,VLOOKUP(M123+0.1,tablas!$S$3:$U$66,2,TRUE),VLOOKUP(M123,tablas!$S$3:$U$66,2,TRUE))&amp;"@"&amp;IF(VLOOKUP(VLOOKUP(M123,tablas!$S$3:$U$66,2,TRUE)&amp;VLOOKUP(M123,tablas!$S$3:$U$66,3,TRUE),tablas!$R$3:$S$66,2,FALSE)&lt;M123,VLOOKUP(M123+0.1,tablas!$S$3:$U$66,3,TRUE)&amp;"$",VLOOKUP(M123,tablas!$S$3:$U$66,3,TRUE)&amp;"$"),$C$13)</f>
        <v>$\phi8@17$</v>
      </c>
      <c r="N124" s="280"/>
      <c r="O124" s="279" t="str">
        <f>IF(O123&gt;$C$12,"$\phi"&amp;IF(VLOOKUP(VLOOKUP(O123,tablas!$S$3:$U$66,2,TRUE)&amp;VLOOKUP(O123,tablas!$S$3:$U$66,3,TRUE),tablas!$R$3:$S$66,2,FALSE)&lt;O123,VLOOKUP(O123+0.1,tablas!$S$3:$U$66,2,TRUE),VLOOKUP(O123,tablas!$S$3:$U$66,2,TRUE))&amp;"@"&amp;IF(VLOOKUP(VLOOKUP(O123,tablas!$S$3:$U$66,2,TRUE)&amp;VLOOKUP(O123,tablas!$S$3:$U$66,3,TRUE),tablas!$R$3:$S$66,2,FALSE)&lt;O123,VLOOKUP(O123+0.1,tablas!$S$3:$U$66,3,TRUE)&amp;"$",VLOOKUP(O123,tablas!$S$3:$U$66,3,TRUE)&amp;"$"),$C$13)</f>
        <v>$\phi8@17$</v>
      </c>
      <c r="P124" s="280"/>
      <c r="Q124" s="279" t="str">
        <f>IF(Q123&gt;$C$12,"$\phi"&amp;IF(VLOOKUP(VLOOKUP(Q123,tablas!$S$3:$U$66,2,TRUE)&amp;VLOOKUP(Q123,tablas!$S$3:$U$66,3,TRUE),tablas!$R$3:$S$66,2,FALSE)&lt;Q123,VLOOKUP(Q123+0.1,tablas!$S$3:$U$66,2,TRUE),VLOOKUP(Q123,tablas!$S$3:$U$66,2,TRUE))&amp;"@"&amp;IF(VLOOKUP(VLOOKUP(Q123,tablas!$S$3:$U$66,2,TRUE)&amp;VLOOKUP(Q123,tablas!$S$3:$U$66,3,TRUE),tablas!$R$3:$S$66,2,FALSE)&lt;Q123,VLOOKUP(Q123+0.1,tablas!$S$3:$U$66,3,TRUE)&amp;"$",VLOOKUP(Q123,tablas!$S$3:$U$66,3,TRUE)&amp;"$"),$C$13)</f>
        <v>$\phi8@17$</v>
      </c>
      <c r="R124" s="280"/>
      <c r="S124" s="279" t="str">
        <f>IF(S123&gt;$C$12,"$\phi"&amp;IF(VLOOKUP(VLOOKUP(S123,tablas!$S$3:$U$66,2,TRUE)&amp;VLOOKUP(S123,tablas!$S$3:$U$66,3,TRUE),tablas!$R$3:$S$66,2,FALSE)&lt;S123,VLOOKUP(S123+0.1,tablas!$S$3:$U$66,2,TRUE),VLOOKUP(S123,tablas!$S$3:$U$66,2,TRUE))&amp;"@"&amp;IF(VLOOKUP(VLOOKUP(S123,tablas!$S$3:$U$66,2,TRUE)&amp;VLOOKUP(S123,tablas!$S$3:$U$66,3,TRUE),tablas!$R$3:$S$66,2,FALSE)&lt;S123,VLOOKUP(S123+0.1,tablas!$S$3:$U$66,3,TRUE)&amp;"$",VLOOKUP(S123,tablas!$S$3:$U$66,3,TRUE)&amp;"$"),$C$13)</f>
        <v>$\phi8@17$</v>
      </c>
      <c r="T124" s="280"/>
      <c r="U124" s="279" t="str">
        <f>IF(U123&gt;$C$12,"$\phi"&amp;IF(VLOOKUP(VLOOKUP(U123,tablas!$S$3:$U$66,2,TRUE)&amp;VLOOKUP(U123,tablas!$S$3:$U$66,3,TRUE),tablas!$R$3:$S$66,2,FALSE)&lt;U123,VLOOKUP(U123+0.1,tablas!$S$3:$U$66,2,TRUE),VLOOKUP(U123,tablas!$S$3:$U$66,2,TRUE))&amp;"@"&amp;IF(VLOOKUP(VLOOKUP(U123,tablas!$S$3:$U$66,2,TRUE)&amp;VLOOKUP(U123,tablas!$S$3:$U$66,3,TRUE),tablas!$R$3:$S$66,2,FALSE)&lt;U123,VLOOKUP(U123+0.1,tablas!$S$3:$U$66,3,TRUE)&amp;"$",VLOOKUP(U123,tablas!$S$3:$U$66,3,TRUE)&amp;"$"),$C$13)</f>
        <v>$\phi8@17$</v>
      </c>
      <c r="V124" s="280"/>
    </row>
  </sheetData>
  <mergeCells count="208">
    <mergeCell ref="E4:F4"/>
    <mergeCell ref="H4:I4"/>
    <mergeCell ref="K4:L4"/>
    <mergeCell ref="B92:C92"/>
    <mergeCell ref="C97:D97"/>
    <mergeCell ref="E97:F97"/>
    <mergeCell ref="G97:H97"/>
    <mergeCell ref="I97:J97"/>
    <mergeCell ref="K97:L97"/>
    <mergeCell ref="S99:T99"/>
    <mergeCell ref="Y97:Z97"/>
    <mergeCell ref="C98:D98"/>
    <mergeCell ref="E98:F98"/>
    <mergeCell ref="G98:H98"/>
    <mergeCell ref="I98:J98"/>
    <mergeCell ref="K98:L98"/>
    <mergeCell ref="M98:N98"/>
    <mergeCell ref="O98:P98"/>
    <mergeCell ref="Q98:R98"/>
    <mergeCell ref="S98:T98"/>
    <mergeCell ref="M97:N97"/>
    <mergeCell ref="O97:P97"/>
    <mergeCell ref="Q97:R97"/>
    <mergeCell ref="S97:T97"/>
    <mergeCell ref="U97:V97"/>
    <mergeCell ref="W97:X97"/>
    <mergeCell ref="U98:V98"/>
    <mergeCell ref="W98:X98"/>
    <mergeCell ref="Y98:Z98"/>
    <mergeCell ref="S101:T101"/>
    <mergeCell ref="U99:V99"/>
    <mergeCell ref="W99:X99"/>
    <mergeCell ref="Y99:Z99"/>
    <mergeCell ref="C100:D100"/>
    <mergeCell ref="E100:F100"/>
    <mergeCell ref="G100:H100"/>
    <mergeCell ref="I100:J100"/>
    <mergeCell ref="K100:L100"/>
    <mergeCell ref="Y100:Z100"/>
    <mergeCell ref="M100:N100"/>
    <mergeCell ref="O100:P100"/>
    <mergeCell ref="Q100:R100"/>
    <mergeCell ref="S100:T100"/>
    <mergeCell ref="U100:V100"/>
    <mergeCell ref="W100:X100"/>
    <mergeCell ref="C99:D99"/>
    <mergeCell ref="E99:F99"/>
    <mergeCell ref="G99:H99"/>
    <mergeCell ref="I99:J99"/>
    <mergeCell ref="K99:L99"/>
    <mergeCell ref="M99:N99"/>
    <mergeCell ref="O99:P99"/>
    <mergeCell ref="Q99:R99"/>
    <mergeCell ref="Y109:Z109"/>
    <mergeCell ref="U101:V101"/>
    <mergeCell ref="W101:X101"/>
    <mergeCell ref="Y101:Z101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S110:T110"/>
    <mergeCell ref="C108:D108"/>
    <mergeCell ref="E108:F108"/>
    <mergeCell ref="G108:H108"/>
    <mergeCell ref="I108:J108"/>
    <mergeCell ref="K108:L108"/>
    <mergeCell ref="Y108:Z108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S109:T109"/>
    <mergeCell ref="M108:N108"/>
    <mergeCell ref="O108:P108"/>
    <mergeCell ref="Q108:R108"/>
    <mergeCell ref="S108:T108"/>
    <mergeCell ref="U108:V108"/>
    <mergeCell ref="W108:X108"/>
    <mergeCell ref="U109:V109"/>
    <mergeCell ref="W109:X109"/>
    <mergeCell ref="S112:T112"/>
    <mergeCell ref="U110:V110"/>
    <mergeCell ref="W110:X110"/>
    <mergeCell ref="Y110:Z110"/>
    <mergeCell ref="C111:D111"/>
    <mergeCell ref="E111:F111"/>
    <mergeCell ref="G111:H111"/>
    <mergeCell ref="I111:J111"/>
    <mergeCell ref="K111:L111"/>
    <mergeCell ref="Y111:Z111"/>
    <mergeCell ref="M111:N111"/>
    <mergeCell ref="O111:P111"/>
    <mergeCell ref="Q111:R111"/>
    <mergeCell ref="S111:T111"/>
    <mergeCell ref="U111:V111"/>
    <mergeCell ref="W111:X111"/>
    <mergeCell ref="C110:D110"/>
    <mergeCell ref="E110:F110"/>
    <mergeCell ref="G110:H110"/>
    <mergeCell ref="I110:J110"/>
    <mergeCell ref="K110:L110"/>
    <mergeCell ref="M110:N110"/>
    <mergeCell ref="O110:P110"/>
    <mergeCell ref="Q110:R110"/>
    <mergeCell ref="G121:H121"/>
    <mergeCell ref="U112:V112"/>
    <mergeCell ref="W112:X112"/>
    <mergeCell ref="Y112:Z112"/>
    <mergeCell ref="C113:D113"/>
    <mergeCell ref="E113:F113"/>
    <mergeCell ref="G113:H113"/>
    <mergeCell ref="I113:J113"/>
    <mergeCell ref="K113:L113"/>
    <mergeCell ref="M113:N113"/>
    <mergeCell ref="O113:P113"/>
    <mergeCell ref="Q113:R113"/>
    <mergeCell ref="S113:T113"/>
    <mergeCell ref="U113:V113"/>
    <mergeCell ref="W113:X113"/>
    <mergeCell ref="Y113:Z113"/>
    <mergeCell ref="C112:D112"/>
    <mergeCell ref="E112:F112"/>
    <mergeCell ref="G112:H112"/>
    <mergeCell ref="I112:J112"/>
    <mergeCell ref="K112:L112"/>
    <mergeCell ref="M112:N112"/>
    <mergeCell ref="O112:P112"/>
    <mergeCell ref="Q112:R112"/>
    <mergeCell ref="U119:V119"/>
    <mergeCell ref="C120:D120"/>
    <mergeCell ref="E120:F120"/>
    <mergeCell ref="G120:H120"/>
    <mergeCell ref="I120:J120"/>
    <mergeCell ref="K120:L120"/>
    <mergeCell ref="M120:N120"/>
    <mergeCell ref="O120:P120"/>
    <mergeCell ref="Q120:R120"/>
    <mergeCell ref="S120:T120"/>
    <mergeCell ref="U120:V120"/>
    <mergeCell ref="C119:D119"/>
    <mergeCell ref="E119:F119"/>
    <mergeCell ref="G119:H119"/>
    <mergeCell ref="I119:J119"/>
    <mergeCell ref="K119:L119"/>
    <mergeCell ref="M119:N119"/>
    <mergeCell ref="O119:P119"/>
    <mergeCell ref="Q119:R119"/>
    <mergeCell ref="S119:T119"/>
    <mergeCell ref="I121:J121"/>
    <mergeCell ref="K121:L121"/>
    <mergeCell ref="U122:V122"/>
    <mergeCell ref="C123:D123"/>
    <mergeCell ref="E123:F123"/>
    <mergeCell ref="G123:H123"/>
    <mergeCell ref="I123:J123"/>
    <mergeCell ref="K123:L123"/>
    <mergeCell ref="M121:N121"/>
    <mergeCell ref="O121:P121"/>
    <mergeCell ref="Q121:R121"/>
    <mergeCell ref="S121:T121"/>
    <mergeCell ref="U121:V121"/>
    <mergeCell ref="C122:D122"/>
    <mergeCell ref="E122:F122"/>
    <mergeCell ref="G122:H122"/>
    <mergeCell ref="I122:J122"/>
    <mergeCell ref="K122:L122"/>
    <mergeCell ref="M122:N122"/>
    <mergeCell ref="O122:P122"/>
    <mergeCell ref="Q122:R122"/>
    <mergeCell ref="S122:T122"/>
    <mergeCell ref="C121:D121"/>
    <mergeCell ref="E121:F121"/>
    <mergeCell ref="U124:V124"/>
    <mergeCell ref="M123:N123"/>
    <mergeCell ref="O123:P123"/>
    <mergeCell ref="Q123:R123"/>
    <mergeCell ref="S123:T123"/>
    <mergeCell ref="U123:V123"/>
    <mergeCell ref="C124:D124"/>
    <mergeCell ref="E124:F124"/>
    <mergeCell ref="G124:H124"/>
    <mergeCell ref="I124:J124"/>
    <mergeCell ref="K124:L124"/>
    <mergeCell ref="M124:N124"/>
    <mergeCell ref="O124:P124"/>
    <mergeCell ref="Q124:R124"/>
    <mergeCell ref="S124:T12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07F4-D24D-4882-A776-3042513DF822}">
  <dimension ref="B1:T66"/>
  <sheetViews>
    <sheetView showGridLines="0" topLeftCell="E1" zoomScale="85" zoomScaleNormal="85" workbookViewId="0">
      <selection activeCell="O15" sqref="O15"/>
    </sheetView>
  </sheetViews>
  <sheetFormatPr defaultColWidth="11.5703125" defaultRowHeight="15" x14ac:dyDescent="0.25"/>
  <cols>
    <col min="1" max="1" width="2.85546875" style="1" customWidth="1"/>
    <col min="2" max="2" width="11.5703125" style="1"/>
    <col min="3" max="3" width="0" style="1" hidden="1" customWidth="1"/>
    <col min="4" max="4" width="11.5703125" style="1"/>
    <col min="5" max="5" width="12.42578125" style="1" customWidth="1"/>
    <col min="6" max="6" width="14.140625" style="1" customWidth="1"/>
    <col min="7" max="7" width="13.140625" style="1" customWidth="1"/>
    <col min="8" max="8" width="13.7109375" style="1" bestFit="1" customWidth="1"/>
    <col min="9" max="9" width="13.42578125" style="1" customWidth="1"/>
    <col min="10" max="10" width="12.7109375" style="1" bestFit="1" customWidth="1"/>
    <col min="11" max="11" width="12.7109375" style="1" customWidth="1"/>
    <col min="12" max="12" width="13.85546875" style="1" customWidth="1"/>
    <col min="13" max="13" width="12.85546875" style="1" customWidth="1"/>
    <col min="14" max="14" width="14.140625" style="1" customWidth="1"/>
    <col min="15" max="15" width="11.5703125" style="1"/>
    <col min="16" max="16" width="9.7109375" style="1" customWidth="1"/>
    <col min="17" max="17" width="20.7109375" style="1" bestFit="1" customWidth="1"/>
    <col min="18" max="18" width="14.28515625" style="1" bestFit="1" customWidth="1"/>
    <col min="19" max="19" width="13.42578125" style="1" customWidth="1"/>
    <col min="20" max="16384" width="11.5703125" style="1"/>
  </cols>
  <sheetData>
    <row r="1" spans="2:20" ht="15.75" thickBot="1" x14ac:dyDescent="0.3">
      <c r="P1"/>
      <c r="Q1"/>
      <c r="R1"/>
      <c r="S1"/>
    </row>
    <row r="2" spans="2:20" ht="15.75" thickBot="1" x14ac:dyDescent="0.3">
      <c r="B2" s="305" t="s">
        <v>250</v>
      </c>
      <c r="C2" s="306"/>
      <c r="D2" s="306"/>
      <c r="E2" s="306"/>
      <c r="F2" s="306"/>
      <c r="G2" s="306"/>
      <c r="H2" s="307"/>
      <c r="I2" s="308"/>
      <c r="J2" s="308"/>
      <c r="K2" s="308"/>
      <c r="L2" s="308"/>
      <c r="M2" s="308"/>
      <c r="N2" s="308"/>
    </row>
    <row r="3" spans="2:20" ht="15.75" thickBot="1" x14ac:dyDescent="0.3">
      <c r="B3" s="318" t="s">
        <v>43</v>
      </c>
      <c r="C3" s="136"/>
      <c r="D3" s="313" t="s">
        <v>19</v>
      </c>
      <c r="E3" s="311" t="s">
        <v>246</v>
      </c>
      <c r="F3" s="311" t="s">
        <v>244</v>
      </c>
      <c r="G3" s="320" t="s">
        <v>240</v>
      </c>
      <c r="H3" s="321"/>
      <c r="I3" s="320" t="s">
        <v>241</v>
      </c>
      <c r="J3" s="321"/>
      <c r="K3" s="320" t="s">
        <v>247</v>
      </c>
      <c r="L3" s="321"/>
      <c r="M3" s="320" t="s">
        <v>248</v>
      </c>
      <c r="N3" s="307"/>
    </row>
    <row r="4" spans="2:20" ht="30.75" thickBot="1" x14ac:dyDescent="0.3">
      <c r="B4" s="319"/>
      <c r="C4" s="137"/>
      <c r="D4" s="314"/>
      <c r="E4" s="312"/>
      <c r="F4" s="312"/>
      <c r="G4" s="138" t="s">
        <v>245</v>
      </c>
      <c r="H4" s="139" t="s">
        <v>242</v>
      </c>
      <c r="I4" s="138" t="s">
        <v>245</v>
      </c>
      <c r="J4" s="139" t="s">
        <v>242</v>
      </c>
      <c r="K4" s="138" t="s">
        <v>245</v>
      </c>
      <c r="L4" s="139" t="s">
        <v>242</v>
      </c>
      <c r="M4" s="138" t="s">
        <v>245</v>
      </c>
      <c r="N4" s="135" t="s">
        <v>242</v>
      </c>
      <c r="P4" s="272" t="str">
        <f>B3</f>
        <v>N° Losa</v>
      </c>
      <c r="Q4" s="274" t="s">
        <v>240</v>
      </c>
      <c r="R4" s="210" t="s">
        <v>241</v>
      </c>
      <c r="S4" s="210" t="s">
        <v>247</v>
      </c>
      <c r="T4" s="211" t="s">
        <v>248</v>
      </c>
    </row>
    <row r="5" spans="2:20" x14ac:dyDescent="0.25">
      <c r="B5" s="230" t="s">
        <v>251</v>
      </c>
      <c r="C5" s="231" t="str">
        <f>'2 a 7'!D46</f>
        <v>202</v>
      </c>
      <c r="D5" s="241">
        <f>'2 a 7'!$C$4</f>
        <v>16</v>
      </c>
      <c r="E5" s="226">
        <f>'2 a 7'!$C$12</f>
        <v>2.88</v>
      </c>
      <c r="F5" s="226">
        <f>HLOOKUP($C5,'2 a 7'!$C$46:$AE$90,22)</f>
        <v>1070</v>
      </c>
      <c r="G5" s="226">
        <f>HLOOKUP($C5,'2 a 7'!$C$46:$AE$90,29)</f>
        <v>1.27</v>
      </c>
      <c r="H5" s="226" t="str">
        <f>HLOOKUP($C5,'2 a 7'!$C$46:$AE$90,30)</f>
        <v>$\phi8@17$</v>
      </c>
      <c r="I5" s="226">
        <f>HLOOKUP($C5,'2 a 7'!$C$46:$AE$90,34)</f>
        <v>0.6</v>
      </c>
      <c r="J5" s="226" t="str">
        <f>HLOOKUP($C5,'1'!$C$46:$AE$90,35)</f>
        <v>$\phi8@17$</v>
      </c>
      <c r="K5" s="226">
        <f>HLOOKUP($C5,'1'!$C$46:$AE$90,39)</f>
        <v>0.56000000000000005</v>
      </c>
      <c r="L5" s="226" t="str">
        <f>HLOOKUP($C5,'2 a 7'!$C$46:$AE$90,40)</f>
        <v>$\phi8@17$</v>
      </c>
      <c r="M5" s="226">
        <f>HLOOKUP($C5,'2 a 7'!$C$46:$AE$90,44)</f>
        <v>2.2599999999999998</v>
      </c>
      <c r="N5" s="227" t="str">
        <f>HLOOKUP($C5,'2 a 7'!$C$46:$AE$90,45)</f>
        <v>$\phi8@17$</v>
      </c>
      <c r="P5" s="273" t="str">
        <f>B5</f>
        <v>(2-22)01</v>
      </c>
      <c r="Q5" s="266" t="str">
        <f>IF(H5='[1]Tabla 2 al 22'!H5,"IGUAL","CAMBIO")</f>
        <v>IGUAL</v>
      </c>
      <c r="R5" s="123" t="str">
        <f>IF(J5='[1]Tabla 2 al 22'!J5,"IGUAL","CAMBIO")</f>
        <v>IGUAL</v>
      </c>
      <c r="S5" s="123" t="str">
        <f>IF(L5='[1]Tabla 2 al 22'!L5,"IGUAL","CAMBIO")</f>
        <v>IGUAL</v>
      </c>
      <c r="T5" s="217" t="str">
        <f>IF(N5='[1]Tabla 2 al 22'!N5,"IGUAL","CAMBIO")</f>
        <v>IGUAL</v>
      </c>
    </row>
    <row r="6" spans="2:20" x14ac:dyDescent="0.25">
      <c r="B6" s="232" t="s">
        <v>252</v>
      </c>
      <c r="C6" s="206" t="str">
        <f>'2 a 7'!E46</f>
        <v>203</v>
      </c>
      <c r="D6" s="206">
        <f>'2 a 7'!$C$4</f>
        <v>16</v>
      </c>
      <c r="E6" s="203">
        <f>'2 a 7'!$C$12</f>
        <v>2.88</v>
      </c>
      <c r="F6" s="203">
        <f>HLOOKUP($C6,'2 a 7'!$C$46:$AE$90,22)</f>
        <v>1070</v>
      </c>
      <c r="G6" s="203">
        <f>HLOOKUP($C6,'2 a 7'!$C$46:$AE$90,29)</f>
        <v>1.27</v>
      </c>
      <c r="H6" s="203" t="str">
        <f>HLOOKUP($C6,'2 a 7'!$C$46:$AE$90,30)</f>
        <v>$\phi8@17$</v>
      </c>
      <c r="I6" s="203">
        <f>HLOOKUP($C6,'2 a 7'!$C$46:$AE$90,34)</f>
        <v>0.6</v>
      </c>
      <c r="J6" s="203" t="str">
        <f>HLOOKUP($C6,'1'!$C$46:$AE$90,35)</f>
        <v>$\phi8@17$</v>
      </c>
      <c r="K6" s="203">
        <f>HLOOKUP($C6,'1'!$C$46:$AE$90,39)</f>
        <v>0.56000000000000005</v>
      </c>
      <c r="L6" s="203" t="str">
        <f>HLOOKUP($C6,'2 a 7'!$C$46:$AE$90,40)</f>
        <v>$\phi8@17$</v>
      </c>
      <c r="M6" s="203">
        <f>HLOOKUP($C6,'2 a 7'!$C$46:$AE$90,44)</f>
        <v>2.2599999999999998</v>
      </c>
      <c r="N6" s="228" t="str">
        <f>HLOOKUP($C6,'2 a 7'!$C$46:$AE$90,45)</f>
        <v>$\phi8@17$</v>
      </c>
      <c r="P6" s="270" t="str">
        <f t="shared" ref="P6:P25" si="0">B6</f>
        <v>(2-22)02</v>
      </c>
      <c r="Q6" s="266" t="str">
        <f>IF(H6='[1]Tabla 2 al 22'!H6,"IGUAL","CAMBIO")</f>
        <v>IGUAL</v>
      </c>
      <c r="R6" s="123" t="str">
        <f>IF(J6='[1]Tabla 2 al 22'!J6,"IGUAL","CAMBIO")</f>
        <v>IGUAL</v>
      </c>
      <c r="S6" s="123" t="str">
        <f>IF(L6='[1]Tabla 2 al 22'!L6,"IGUAL","CAMBIO")</f>
        <v>IGUAL</v>
      </c>
      <c r="T6" s="217" t="str">
        <f>IF(N6='[1]Tabla 2 al 22'!N6,"IGUAL","CAMBIO")</f>
        <v>IGUAL</v>
      </c>
    </row>
    <row r="7" spans="2:20" x14ac:dyDescent="0.25">
      <c r="B7" s="232" t="s">
        <v>253</v>
      </c>
      <c r="C7" s="206" t="str">
        <f>'2 a 7'!F46</f>
        <v>204</v>
      </c>
      <c r="D7" s="206">
        <f>'2 a 7'!$C$4</f>
        <v>16</v>
      </c>
      <c r="E7" s="203">
        <f>'2 a 7'!$C$12</f>
        <v>2.88</v>
      </c>
      <c r="F7" s="203">
        <f>HLOOKUP($C7,'2 a 7'!$C$46:$AE$90,22)</f>
        <v>1070</v>
      </c>
      <c r="G7" s="203">
        <f>HLOOKUP($C7,'2 a 7'!$C$46:$AE$90,29)</f>
        <v>2.38</v>
      </c>
      <c r="H7" s="203" t="str">
        <f>HLOOKUP($C7,'2 a 7'!$C$46:$AE$90,30)</f>
        <v>$\phi8@17$</v>
      </c>
      <c r="I7" s="203">
        <f>HLOOKUP($C7,'2 a 7'!$C$46:$AE$90,34)</f>
        <v>0.91</v>
      </c>
      <c r="J7" s="203" t="str">
        <f>HLOOKUP($C7,'1'!$C$46:$AE$90,35)</f>
        <v>$\phi8@17$</v>
      </c>
      <c r="K7" s="203">
        <f>HLOOKUP($C7,'1'!$C$46:$AE$90,39)</f>
        <v>0.56000000000000005</v>
      </c>
      <c r="L7" s="203" t="str">
        <f>HLOOKUP($C7,'2 a 7'!$C$46:$AE$90,40)</f>
        <v>$\phi8@10$</v>
      </c>
      <c r="M7" s="203">
        <f>HLOOKUP($C7,'2 a 7'!$C$46:$AE$90,44)</f>
        <v>3.88</v>
      </c>
      <c r="N7" s="228" t="str">
        <f>HLOOKUP($C7,'2 a 7'!$C$46:$AE$90,45)</f>
        <v>$\phi10@20$</v>
      </c>
      <c r="P7" s="270" t="str">
        <f t="shared" si="0"/>
        <v>(2-22)03</v>
      </c>
      <c r="Q7" s="266" t="str">
        <f>IF(H7='[1]Tabla 2 al 22'!H7,"IGUAL","CAMBIO")</f>
        <v>IGUAL</v>
      </c>
      <c r="R7" s="123" t="str">
        <f>IF(J7='[1]Tabla 2 al 22'!J7,"IGUAL","CAMBIO")</f>
        <v>IGUAL</v>
      </c>
      <c r="S7" s="123" t="str">
        <f>IF(L7='[1]Tabla 2 al 22'!L7,"IGUAL","CAMBIO")</f>
        <v>IGUAL</v>
      </c>
      <c r="T7" s="217" t="str">
        <f>IF(N7='[1]Tabla 2 al 22'!N7,"IGUAL","CAMBIO")</f>
        <v>IGUAL</v>
      </c>
    </row>
    <row r="8" spans="2:20" x14ac:dyDescent="0.25">
      <c r="B8" s="232" t="s">
        <v>254</v>
      </c>
      <c r="C8" s="206" t="str">
        <f>'2 a 7'!G46</f>
        <v>205</v>
      </c>
      <c r="D8" s="206">
        <f>'2 a 7'!$C$4</f>
        <v>16</v>
      </c>
      <c r="E8" s="203">
        <f>'2 a 7'!$C$12</f>
        <v>2.88</v>
      </c>
      <c r="F8" s="203">
        <f>HLOOKUP($C8,'2 a 7'!$C$46:$AE$90,22)</f>
        <v>1070</v>
      </c>
      <c r="G8" s="203">
        <f>HLOOKUP($C8,'2 a 7'!$C$46:$AE$90,29)</f>
        <v>1.8800000000000001</v>
      </c>
      <c r="H8" s="203" t="str">
        <f>HLOOKUP($C8,'2 a 7'!$C$46:$AE$90,30)</f>
        <v>$\phi8@17$</v>
      </c>
      <c r="I8" s="203">
        <f>HLOOKUP($C8,'2 a 7'!$C$46:$AE$90,34)</f>
        <v>1.1300000000000001</v>
      </c>
      <c r="J8" s="203" t="str">
        <f>HLOOKUP($C8,'1'!$C$46:$AE$90,35)</f>
        <v>$\phi8@17$</v>
      </c>
      <c r="K8" s="203">
        <f>HLOOKUP($C8,'1'!$C$46:$AE$90,39)</f>
        <v>0.56000000000000005</v>
      </c>
      <c r="L8" s="203" t="str">
        <f>HLOOKUP($C8,'2 a 7'!$C$46:$AE$90,40)</f>
        <v>$\phi10@18$</v>
      </c>
      <c r="M8" s="203">
        <f>HLOOKUP($C8,'2 a 7'!$C$46:$AE$90,44)</f>
        <v>3.75</v>
      </c>
      <c r="N8" s="228" t="str">
        <f>HLOOKUP($C8,'2 a 7'!$C$46:$AE$90,45)</f>
        <v>$\phi10@21$</v>
      </c>
      <c r="P8" s="270" t="str">
        <f t="shared" si="0"/>
        <v>(2-22)04</v>
      </c>
      <c r="Q8" s="266" t="str">
        <f>IF(H8='[1]Tabla 2 al 22'!H8,"IGUAL","CAMBIO")</f>
        <v>IGUAL</v>
      </c>
      <c r="R8" s="123" t="str">
        <f>IF(J8='[1]Tabla 2 al 22'!J8,"IGUAL","CAMBIO")</f>
        <v>IGUAL</v>
      </c>
      <c r="S8" s="123" t="str">
        <f>IF(L8='[1]Tabla 2 al 22'!L8,"IGUAL","CAMBIO")</f>
        <v>IGUAL</v>
      </c>
      <c r="T8" s="217" t="str">
        <f>IF(N8='[1]Tabla 2 al 22'!N8,"IGUAL","CAMBIO")</f>
        <v>IGUAL</v>
      </c>
    </row>
    <row r="9" spans="2:20" x14ac:dyDescent="0.25">
      <c r="B9" s="232" t="s">
        <v>255</v>
      </c>
      <c r="C9" s="206" t="str">
        <f>'2 a 7'!H46</f>
        <v>206</v>
      </c>
      <c r="D9" s="206">
        <f>'2 a 7'!$C$4</f>
        <v>16</v>
      </c>
      <c r="E9" s="203">
        <f>'2 a 7'!$C$12</f>
        <v>2.88</v>
      </c>
      <c r="F9" s="203">
        <f>HLOOKUP($C9,'2 a 7'!$C$46:$AE$90,22)</f>
        <v>1070</v>
      </c>
      <c r="G9" s="203">
        <f>HLOOKUP($C9,'2 a 7'!$C$46:$AE$90,29)</f>
        <v>1.08</v>
      </c>
      <c r="H9" s="203" t="str">
        <f>HLOOKUP($C9,'2 a 7'!$C$46:$AE$90,30)</f>
        <v>$\phi8@17$</v>
      </c>
      <c r="I9" s="203">
        <f>HLOOKUP($C9,'2 a 7'!$C$46:$AE$90,34)</f>
        <v>0.83</v>
      </c>
      <c r="J9" s="203" t="str">
        <f>HLOOKUP($C9,'1'!$C$46:$AE$90,35)</f>
        <v>$\phi8@17$</v>
      </c>
      <c r="K9" s="203">
        <f>HLOOKUP($C9,'1'!$C$46:$AE$90,39)</f>
        <v>0.56000000000000005</v>
      </c>
      <c r="L9" s="203" t="str">
        <f>HLOOKUP($C9,'2 a 7'!$C$46:$AE$90,40)</f>
        <v>$\phi8@17$</v>
      </c>
      <c r="M9" s="203">
        <f>HLOOKUP($C9,'2 a 7'!$C$46:$AE$90,44)</f>
        <v>2.46</v>
      </c>
      <c r="N9" s="228" t="str">
        <f>HLOOKUP($C9,'2 a 7'!$C$46:$AE$90,45)</f>
        <v>$\phi8@17$</v>
      </c>
      <c r="P9" s="270" t="str">
        <f t="shared" si="0"/>
        <v>(2-22)05</v>
      </c>
      <c r="Q9" s="266" t="str">
        <f>IF(H9='[1]Tabla 2 al 22'!H9,"IGUAL","CAMBIO")</f>
        <v>IGUAL</v>
      </c>
      <c r="R9" s="123" t="str">
        <f>IF(J9='[1]Tabla 2 al 22'!J9,"IGUAL","CAMBIO")</f>
        <v>IGUAL</v>
      </c>
      <c r="S9" s="123" t="str">
        <f>IF(L9='[1]Tabla 2 al 22'!L9,"IGUAL","CAMBIO")</f>
        <v>IGUAL</v>
      </c>
      <c r="T9" s="217" t="str">
        <f>IF(N9='[1]Tabla 2 al 22'!N9,"IGUAL","CAMBIO")</f>
        <v>IGUAL</v>
      </c>
    </row>
    <row r="10" spans="2:20" x14ac:dyDescent="0.25">
      <c r="B10" s="232" t="s">
        <v>256</v>
      </c>
      <c r="C10" s="206" t="str">
        <f>'2 a 7'!I46</f>
        <v>207</v>
      </c>
      <c r="D10" s="206">
        <f>'2 a 7'!$C$4</f>
        <v>16</v>
      </c>
      <c r="E10" s="203">
        <f>'2 a 7'!$C$12</f>
        <v>2.88</v>
      </c>
      <c r="F10" s="203">
        <f>HLOOKUP($C10,'2 a 7'!$C$46:$AE$90,22)</f>
        <v>1390</v>
      </c>
      <c r="G10" s="203">
        <f>HLOOKUP($C10,'2 a 7'!$C$46:$AE$90,29)</f>
        <v>0.65</v>
      </c>
      <c r="H10" s="203" t="str">
        <f>HLOOKUP($C10,'2 a 7'!$C$46:$AE$90,30)</f>
        <v>$\phi8@17$</v>
      </c>
      <c r="I10" s="203">
        <f>HLOOKUP($C10,'2 a 7'!$C$46:$AE$90,34)</f>
        <v>0.12</v>
      </c>
      <c r="J10" s="203" t="str">
        <f>HLOOKUP($C10,'1'!$C$46:$AE$90,35)</f>
        <v>$\phi8@17$</v>
      </c>
      <c r="K10" s="203">
        <f>HLOOKUP($C10,'1'!$C$46:$AE$90,39)</f>
        <v>0.56000000000000005</v>
      </c>
      <c r="L10" s="203" t="str">
        <f>HLOOKUP($C10,'2 a 7'!$C$46:$AE$90,40)</f>
        <v>$\phi8@17$</v>
      </c>
      <c r="M10" s="203">
        <f>HLOOKUP($C10,'2 a 7'!$C$46:$AE$90,44)</f>
        <v>0.89</v>
      </c>
      <c r="N10" s="228" t="str">
        <f>HLOOKUP($C10,'2 a 7'!$C$46:$AE$90,45)</f>
        <v>$\phi8@17$</v>
      </c>
      <c r="P10" s="270" t="str">
        <f t="shared" si="0"/>
        <v>(2-22)06</v>
      </c>
      <c r="Q10" s="266" t="str">
        <f>IF(H10='[1]Tabla 2 al 22'!H10,"IGUAL","CAMBIO")</f>
        <v>IGUAL</v>
      </c>
      <c r="R10" s="123" t="str">
        <f>IF(J10='[1]Tabla 2 al 22'!J10,"IGUAL","CAMBIO")</f>
        <v>IGUAL</v>
      </c>
      <c r="S10" s="123" t="str">
        <f>IF(L10='[1]Tabla 2 al 22'!L10,"IGUAL","CAMBIO")</f>
        <v>IGUAL</v>
      </c>
      <c r="T10" s="217" t="str">
        <f>IF(N10='[1]Tabla 2 al 22'!N10,"IGUAL","CAMBIO")</f>
        <v>IGUAL</v>
      </c>
    </row>
    <row r="11" spans="2:20" x14ac:dyDescent="0.25">
      <c r="B11" s="232" t="s">
        <v>257</v>
      </c>
      <c r="C11" s="206" t="str">
        <f>'2 a 7'!J46</f>
        <v>208</v>
      </c>
      <c r="D11" s="206">
        <f>'2 a 7'!$C$4</f>
        <v>16</v>
      </c>
      <c r="E11" s="203">
        <f>'2 a 7'!$C$12</f>
        <v>2.88</v>
      </c>
      <c r="F11" s="203">
        <f>HLOOKUP($C11,'2 a 7'!$C$46:$AE$90,22)</f>
        <v>1390</v>
      </c>
      <c r="G11" s="203">
        <f>HLOOKUP($C11,'2 a 7'!$C$46:$AE$90,29)</f>
        <v>0.3</v>
      </c>
      <c r="H11" s="203" t="str">
        <f>HLOOKUP($C11,'2 a 7'!$C$46:$AE$90,30)</f>
        <v>$\phi8@17$</v>
      </c>
      <c r="I11" s="203">
        <f>HLOOKUP($C11,'2 a 7'!$C$46:$AE$90,34)</f>
        <v>0</v>
      </c>
      <c r="J11" s="203" t="str">
        <f>HLOOKUP($C11,'1'!$C$46:$AE$90,35)</f>
        <v>$\phi8@17$</v>
      </c>
      <c r="K11" s="203">
        <f>HLOOKUP($C11,'1'!$C$46:$AE$90,39)</f>
        <v>0.56000000000000005</v>
      </c>
      <c r="L11" s="203" t="str">
        <f>HLOOKUP($C11,'2 a 7'!$C$46:$AE$90,40)</f>
        <v>$\phi8@17$</v>
      </c>
      <c r="M11" s="203">
        <f>HLOOKUP($C11,'2 a 7'!$C$46:$AE$90,44)</f>
        <v>0.29000000000000004</v>
      </c>
      <c r="N11" s="228" t="str">
        <f>HLOOKUP($C11,'2 a 7'!$C$46:$AE$90,45)</f>
        <v>$\phi8@17$</v>
      </c>
      <c r="P11" s="270" t="str">
        <f t="shared" si="0"/>
        <v>(2-22)07</v>
      </c>
      <c r="Q11" s="266" t="str">
        <f>IF(H11='[1]Tabla 2 al 22'!H11,"IGUAL","CAMBIO")</f>
        <v>IGUAL</v>
      </c>
      <c r="R11" s="123" t="str">
        <f>IF(J11='[1]Tabla 2 al 22'!J11,"IGUAL","CAMBIO")</f>
        <v>IGUAL</v>
      </c>
      <c r="S11" s="123" t="str">
        <f>IF(L11='[1]Tabla 2 al 22'!L11,"IGUAL","CAMBIO")</f>
        <v>IGUAL</v>
      </c>
      <c r="T11" s="217" t="str">
        <f>IF(N11='[1]Tabla 2 al 22'!N11,"IGUAL","CAMBIO")</f>
        <v>IGUAL</v>
      </c>
    </row>
    <row r="12" spans="2:20" x14ac:dyDescent="0.25">
      <c r="B12" s="232" t="s">
        <v>258</v>
      </c>
      <c r="C12" s="206" t="str">
        <f>'2 a 7'!K46</f>
        <v>209</v>
      </c>
      <c r="D12" s="206">
        <f>'2 a 7'!$C$4</f>
        <v>16</v>
      </c>
      <c r="E12" s="203">
        <f>'2 a 7'!$C$12</f>
        <v>2.88</v>
      </c>
      <c r="F12" s="203">
        <f>HLOOKUP($C12,'2 a 7'!$C$46:$AE$90,22)</f>
        <v>1390</v>
      </c>
      <c r="G12" s="203">
        <f>HLOOKUP($C12,'2 a 7'!$C$46:$AE$90,29)</f>
        <v>1.28</v>
      </c>
      <c r="H12" s="203" t="str">
        <f>HLOOKUP($C12,'2 a 7'!$C$46:$AE$90,30)</f>
        <v>$\phi8@17$</v>
      </c>
      <c r="I12" s="203">
        <f>HLOOKUP($C12,'2 a 7'!$C$46:$AE$90,34)</f>
        <v>0</v>
      </c>
      <c r="J12" s="203" t="str">
        <f>HLOOKUP($C12,'1'!$C$46:$AE$90,35)</f>
        <v>$\phi8@17$</v>
      </c>
      <c r="K12" s="203">
        <f>HLOOKUP($C12,'1'!$C$46:$AE$90,39)</f>
        <v>0.56000000000000005</v>
      </c>
      <c r="L12" s="203" t="str">
        <f>HLOOKUP($C12,'2 a 7'!$C$46:$AE$90,40)</f>
        <v>$\phi8@17$</v>
      </c>
      <c r="M12" s="203">
        <f>HLOOKUP($C12,'2 a 7'!$C$46:$AE$90,44)</f>
        <v>1.24</v>
      </c>
      <c r="N12" s="228" t="str">
        <f>HLOOKUP($C12,'2 a 7'!$C$46:$AE$90,45)</f>
        <v>$\phi8@17$</v>
      </c>
      <c r="P12" s="270" t="str">
        <f t="shared" si="0"/>
        <v>(2-22)08</v>
      </c>
      <c r="Q12" s="266" t="str">
        <f>IF(H12='[1]Tabla 2 al 22'!H12,"IGUAL","CAMBIO")</f>
        <v>IGUAL</v>
      </c>
      <c r="R12" s="123" t="str">
        <f>IF(J12='[1]Tabla 2 al 22'!J12,"IGUAL","CAMBIO")</f>
        <v>IGUAL</v>
      </c>
      <c r="S12" s="123" t="str">
        <f>IF(L12='[1]Tabla 2 al 22'!L12,"IGUAL","CAMBIO")</f>
        <v>IGUAL</v>
      </c>
      <c r="T12" s="217" t="str">
        <f>IF(N12='[1]Tabla 2 al 22'!N12,"IGUAL","CAMBIO")</f>
        <v>IGUAL</v>
      </c>
    </row>
    <row r="13" spans="2:20" x14ac:dyDescent="0.25">
      <c r="B13" s="232" t="s">
        <v>259</v>
      </c>
      <c r="C13" s="206" t="str">
        <f>'2 a 7'!L46</f>
        <v>210</v>
      </c>
      <c r="D13" s="206">
        <f>'2 a 7'!$C$4</f>
        <v>16</v>
      </c>
      <c r="E13" s="203">
        <f>'2 a 7'!$C$12</f>
        <v>2.88</v>
      </c>
      <c r="F13" s="203">
        <f>HLOOKUP($C13,'2 a 7'!$C$46:$AE$90,22)</f>
        <v>1070</v>
      </c>
      <c r="G13" s="203">
        <f>HLOOKUP($C13,'2 a 7'!$C$46:$AE$90,29)</f>
        <v>1.08</v>
      </c>
      <c r="H13" s="203" t="str">
        <f>HLOOKUP($C13,'2 a 7'!$C$46:$AE$90,30)</f>
        <v>$\phi8@17$</v>
      </c>
      <c r="I13" s="203">
        <f>HLOOKUP($C13,'2 a 7'!$C$46:$AE$90,34)</f>
        <v>0.83</v>
      </c>
      <c r="J13" s="203" t="str">
        <f>HLOOKUP($C13,'1'!$C$46:$AE$90,35)</f>
        <v>$\phi8@17$</v>
      </c>
      <c r="K13" s="203">
        <f>HLOOKUP($C13,'1'!$C$46:$AE$90,39)</f>
        <v>0.56000000000000005</v>
      </c>
      <c r="L13" s="203" t="str">
        <f>HLOOKUP($C13,'2 a 7'!$C$46:$AE$90,40)</f>
        <v>$\phi8@17$</v>
      </c>
      <c r="M13" s="203">
        <f>HLOOKUP($C13,'2 a 7'!$C$46:$AE$90,44)</f>
        <v>2.46</v>
      </c>
      <c r="N13" s="228" t="str">
        <f>HLOOKUP($C13,'2 a 7'!$C$46:$AE$90,45)</f>
        <v>$\phi8@17$</v>
      </c>
      <c r="P13" s="270" t="str">
        <f t="shared" si="0"/>
        <v>(2-22)09</v>
      </c>
      <c r="Q13" s="266" t="str">
        <f>IF(H13='[1]Tabla 2 al 22'!H13,"IGUAL","CAMBIO")</f>
        <v>IGUAL</v>
      </c>
      <c r="R13" s="123" t="str">
        <f>IF(J13='[1]Tabla 2 al 22'!J13,"IGUAL","CAMBIO")</f>
        <v>IGUAL</v>
      </c>
      <c r="S13" s="123" t="str">
        <f>IF(L13='[1]Tabla 2 al 22'!L13,"IGUAL","CAMBIO")</f>
        <v>IGUAL</v>
      </c>
      <c r="T13" s="217" t="str">
        <f>IF(N13='[1]Tabla 2 al 22'!N13,"IGUAL","CAMBIO")</f>
        <v>IGUAL</v>
      </c>
    </row>
    <row r="14" spans="2:20" x14ac:dyDescent="0.25">
      <c r="B14" s="232" t="s">
        <v>260</v>
      </c>
      <c r="C14" s="206" t="str">
        <f>'2 a 7'!M46</f>
        <v>211</v>
      </c>
      <c r="D14" s="206">
        <f>'2 a 7'!$C$4</f>
        <v>16</v>
      </c>
      <c r="E14" s="203">
        <f>'2 a 7'!$C$12</f>
        <v>2.88</v>
      </c>
      <c r="F14" s="203">
        <f>HLOOKUP($C14,'2 a 7'!$C$46:$AE$90,22)</f>
        <v>1070</v>
      </c>
      <c r="G14" s="203">
        <f>HLOOKUP($C14,'2 a 7'!$C$46:$AE$90,29)</f>
        <v>1.76</v>
      </c>
      <c r="H14" s="203" t="str">
        <f>HLOOKUP($C14,'2 a 7'!$C$46:$AE$90,30)</f>
        <v>$\phi8@17$</v>
      </c>
      <c r="I14" s="203">
        <f>HLOOKUP($C14,'2 a 7'!$C$46:$AE$90,34)</f>
        <v>1.05</v>
      </c>
      <c r="J14" s="203" t="str">
        <f>HLOOKUP($C14,'1'!$C$46:$AE$90,35)</f>
        <v>$\phi8@17$</v>
      </c>
      <c r="K14" s="203">
        <f>HLOOKUP($C14,'1'!$C$46:$AE$90,39)</f>
        <v>0.56000000000000005</v>
      </c>
      <c r="L14" s="203" t="str">
        <f>HLOOKUP($C14,'2 a 7'!$C$46:$AE$90,40)</f>
        <v>$\phi10@19$</v>
      </c>
      <c r="M14" s="203">
        <f>HLOOKUP($C14,'2 a 7'!$C$46:$AE$90,44)</f>
        <v>3.5</v>
      </c>
      <c r="N14" s="228" t="str">
        <f>HLOOKUP($C14,'2 a 7'!$C$46:$AE$90,45)</f>
        <v>$\phi8@14$</v>
      </c>
      <c r="P14" s="270" t="str">
        <f t="shared" si="0"/>
        <v>(2-22)10</v>
      </c>
      <c r="Q14" s="266" t="str">
        <f>IF(H14='[1]Tabla 2 al 22'!H14,"IGUAL","CAMBIO")</f>
        <v>IGUAL</v>
      </c>
      <c r="R14" s="123" t="str">
        <f>IF(J14='[1]Tabla 2 al 22'!J14,"IGUAL","CAMBIO")</f>
        <v>IGUAL</v>
      </c>
      <c r="S14" s="123" t="str">
        <f>IF(L14='[1]Tabla 2 al 22'!L14,"IGUAL","CAMBIO")</f>
        <v>IGUAL</v>
      </c>
      <c r="T14" s="217" t="str">
        <f>IF(N14='[1]Tabla 2 al 22'!N14,"IGUAL","CAMBIO")</f>
        <v>IGUAL</v>
      </c>
    </row>
    <row r="15" spans="2:20" x14ac:dyDescent="0.25">
      <c r="B15" s="232" t="s">
        <v>261</v>
      </c>
      <c r="C15" s="206" t="str">
        <f>'2 a 7'!N46</f>
        <v>212</v>
      </c>
      <c r="D15" s="206">
        <f>'2 a 7'!$C$4</f>
        <v>16</v>
      </c>
      <c r="E15" s="203">
        <f>'2 a 7'!$C$12</f>
        <v>2.88</v>
      </c>
      <c r="F15" s="203">
        <f>HLOOKUP($C15,'2 a 7'!$C$46:$AE$90,22)</f>
        <v>1230</v>
      </c>
      <c r="G15" s="203">
        <f>HLOOKUP($C15,'2 a 7'!$C$46:$AE$90,29)</f>
        <v>0.44</v>
      </c>
      <c r="H15" s="203" t="str">
        <f>HLOOKUP($C15,'2 a 7'!$C$46:$AE$90,30)</f>
        <v>$\phi8@17$</v>
      </c>
      <c r="I15" s="203">
        <f>HLOOKUP($C15,'2 a 7'!$C$46:$AE$90,34)</f>
        <v>0</v>
      </c>
      <c r="J15" s="203" t="str">
        <f>HLOOKUP($C15,'1'!$C$46:$AE$90,35)</f>
        <v>$\phi8@17$</v>
      </c>
      <c r="K15" s="203">
        <f>HLOOKUP($C15,'1'!$C$46:$AE$90,39)</f>
        <v>0.56000000000000005</v>
      </c>
      <c r="L15" s="203" t="str">
        <f>HLOOKUP($C15,'2 a 7'!$C$46:$AE$90,40)</f>
        <v>$\phi8@17$</v>
      </c>
      <c r="M15" s="203">
        <f>HLOOKUP($C15,'2 a 7'!$C$46:$AE$90,44)</f>
        <v>0.47000000000000003</v>
      </c>
      <c r="N15" s="228" t="str">
        <f>HLOOKUP($C15,'2 a 7'!$C$46:$AE$90,45)</f>
        <v>$\phi8@17$</v>
      </c>
      <c r="P15" s="270" t="str">
        <f t="shared" si="0"/>
        <v>(2-22)11</v>
      </c>
      <c r="Q15" s="266" t="str">
        <f>IF(H15='[1]Tabla 2 al 22'!H15,"IGUAL","CAMBIO")</f>
        <v>IGUAL</v>
      </c>
      <c r="R15" s="123" t="str">
        <f>IF(J15='[1]Tabla 2 al 22'!J15,"IGUAL","CAMBIO")</f>
        <v>IGUAL</v>
      </c>
      <c r="S15" s="123" t="str">
        <f>IF(L15='[1]Tabla 2 al 22'!L15,"IGUAL","CAMBIO")</f>
        <v>IGUAL</v>
      </c>
      <c r="T15" s="217" t="str">
        <f>IF(N15='[1]Tabla 2 al 22'!N15,"IGUAL","CAMBIO")</f>
        <v>IGUAL</v>
      </c>
    </row>
    <row r="16" spans="2:20" x14ac:dyDescent="0.25">
      <c r="B16" s="232" t="s">
        <v>262</v>
      </c>
      <c r="C16" s="206" t="str">
        <f>'2 a 7'!O46</f>
        <v>213</v>
      </c>
      <c r="D16" s="206">
        <f>'2 a 7'!$C$4</f>
        <v>16</v>
      </c>
      <c r="E16" s="203">
        <f>'2 a 7'!$C$12</f>
        <v>2.88</v>
      </c>
      <c r="F16" s="203">
        <f>HLOOKUP($C16,'2 a 7'!$C$46:$AE$90,22)</f>
        <v>1230</v>
      </c>
      <c r="G16" s="203">
        <f>HLOOKUP($C16,'2 a 7'!$C$46:$AE$90,29)</f>
        <v>0.44</v>
      </c>
      <c r="H16" s="203" t="str">
        <f>HLOOKUP($C16,'2 a 7'!$C$46:$AE$90,30)</f>
        <v>$\phi8@17$</v>
      </c>
      <c r="I16" s="203">
        <f>HLOOKUP($C16,'2 a 7'!$C$46:$AE$90,34)</f>
        <v>0</v>
      </c>
      <c r="J16" s="203" t="str">
        <f>HLOOKUP($C16,'1'!$C$46:$AE$90,35)</f>
        <v>$\phi8@17$</v>
      </c>
      <c r="K16" s="203">
        <f>HLOOKUP($C16,'1'!$C$46:$AE$90,39)</f>
        <v>0.56000000000000005</v>
      </c>
      <c r="L16" s="203" t="str">
        <f>HLOOKUP($C16,'2 a 7'!$C$46:$AE$90,40)</f>
        <v>$\phi8@17$</v>
      </c>
      <c r="M16" s="203">
        <f>HLOOKUP($C16,'2 a 7'!$C$46:$AE$90,44)</f>
        <v>0.47000000000000003</v>
      </c>
      <c r="N16" s="228" t="str">
        <f>HLOOKUP($C16,'2 a 7'!$C$46:$AE$90,45)</f>
        <v>$\phi8@17$</v>
      </c>
      <c r="P16" s="270" t="str">
        <f t="shared" si="0"/>
        <v>(2-22)12</v>
      </c>
      <c r="Q16" s="266" t="str">
        <f>IF(H16='[1]Tabla 2 al 22'!H16,"IGUAL","CAMBIO")</f>
        <v>IGUAL</v>
      </c>
      <c r="R16" s="123" t="str">
        <f>IF(J16='[1]Tabla 2 al 22'!J16,"IGUAL","CAMBIO")</f>
        <v>IGUAL</v>
      </c>
      <c r="S16" s="123" t="str">
        <f>IF(L16='[1]Tabla 2 al 22'!L16,"IGUAL","CAMBIO")</f>
        <v>IGUAL</v>
      </c>
      <c r="T16" s="217" t="str">
        <f>IF(N16='[1]Tabla 2 al 22'!N16,"IGUAL","CAMBIO")</f>
        <v>IGUAL</v>
      </c>
    </row>
    <row r="17" spans="2:20" x14ac:dyDescent="0.25">
      <c r="B17" s="232" t="s">
        <v>263</v>
      </c>
      <c r="C17" s="206" t="str">
        <f>'2 a 7'!$O$46</f>
        <v>213</v>
      </c>
      <c r="D17" s="206">
        <f>'2 a 7'!$C$4</f>
        <v>16</v>
      </c>
      <c r="E17" s="203">
        <f>'2 a 7'!$C$12</f>
        <v>2.88</v>
      </c>
      <c r="F17" s="203">
        <f>HLOOKUP($C17,'2 a 7'!$C$46:$AE$90,22)</f>
        <v>1230</v>
      </c>
      <c r="G17" s="203">
        <f>HLOOKUP($C17,'2 a 7'!$C$46:$AE$90,29)</f>
        <v>0.44</v>
      </c>
      <c r="H17" s="203" t="str">
        <f>HLOOKUP($C17,'2 a 7'!$C$46:$AE$90,30)</f>
        <v>$\phi8@17$</v>
      </c>
      <c r="I17" s="203">
        <f>HLOOKUP($C17,'2 a 7'!$C$46:$AE$90,34)</f>
        <v>0</v>
      </c>
      <c r="J17" s="203" t="str">
        <f>HLOOKUP($C17,'1'!$C$46:$AE$90,35)</f>
        <v>$\phi8@17$</v>
      </c>
      <c r="K17" s="203">
        <f>HLOOKUP($C17,'1'!$C$46:$AE$90,39)</f>
        <v>0.56000000000000005</v>
      </c>
      <c r="L17" s="203" t="str">
        <f>HLOOKUP($C17,'2 a 7'!$C$46:$AE$90,40)</f>
        <v>$\phi8@17$</v>
      </c>
      <c r="M17" s="203">
        <f>HLOOKUP($C17,'2 a 7'!$C$46:$AE$90,44)</f>
        <v>0.47000000000000003</v>
      </c>
      <c r="N17" s="228" t="str">
        <f>HLOOKUP($C17,'2 a 7'!$C$46:$AE$90,45)</f>
        <v>$\phi8@17$</v>
      </c>
      <c r="P17" s="270" t="str">
        <f t="shared" si="0"/>
        <v>(2-22)13</v>
      </c>
      <c r="Q17" s="266" t="str">
        <f>IF(H17='[1]Tabla 2 al 22'!H17,"IGUAL","CAMBIO")</f>
        <v>IGUAL</v>
      </c>
      <c r="R17" s="123" t="str">
        <f>IF(J17='[1]Tabla 2 al 22'!J17,"IGUAL","CAMBIO")</f>
        <v>IGUAL</v>
      </c>
      <c r="S17" s="123" t="str">
        <f>IF(L17='[1]Tabla 2 al 22'!L17,"IGUAL","CAMBIO")</f>
        <v>IGUAL</v>
      </c>
      <c r="T17" s="217" t="str">
        <f>IF(N17='[1]Tabla 2 al 22'!N17,"IGUAL","CAMBIO")</f>
        <v>IGUAL</v>
      </c>
    </row>
    <row r="18" spans="2:20" x14ac:dyDescent="0.25">
      <c r="B18" s="232" t="s">
        <v>264</v>
      </c>
      <c r="C18" s="206" t="str">
        <f>'2 a 7'!$P$46</f>
        <v>214</v>
      </c>
      <c r="D18" s="206">
        <f>'2 a 7'!$C$4</f>
        <v>16</v>
      </c>
      <c r="E18" s="203">
        <f>'2 a 7'!$C$12</f>
        <v>2.88</v>
      </c>
      <c r="F18" s="203">
        <f>HLOOKUP($C18,'2 a 7'!$C$46:$AE$90,22)</f>
        <v>1230</v>
      </c>
      <c r="G18" s="203">
        <f>HLOOKUP($C18,'2 a 7'!$C$46:$AE$90,29)</f>
        <v>0.44</v>
      </c>
      <c r="H18" s="203" t="str">
        <f>HLOOKUP($C18,'2 a 7'!$C$46:$AE$90,30)</f>
        <v>$\phi8@17$</v>
      </c>
      <c r="I18" s="203">
        <f>HLOOKUP($C18,'2 a 7'!$C$46:$AE$90,34)</f>
        <v>0</v>
      </c>
      <c r="J18" s="203" t="str">
        <f>HLOOKUP($C18,'1'!$C$46:$AE$90,35)</f>
        <v>$\phi8@17$</v>
      </c>
      <c r="K18" s="203">
        <f>HLOOKUP($C18,'1'!$C$46:$AE$90,39)</f>
        <v>0.56000000000000005</v>
      </c>
      <c r="L18" s="203" t="str">
        <f>HLOOKUP($C18,'2 a 7'!$C$46:$AE$90,40)</f>
        <v>$\phi8@17$</v>
      </c>
      <c r="M18" s="203">
        <f>HLOOKUP($C18,'2 a 7'!$C$46:$AE$90,44)</f>
        <v>0.47000000000000003</v>
      </c>
      <c r="N18" s="228" t="str">
        <f>HLOOKUP($C18,'2 a 7'!$C$46:$AE$90,45)</f>
        <v>$\phi8@17$</v>
      </c>
      <c r="P18" s="270" t="str">
        <f t="shared" si="0"/>
        <v>(2-22)14</v>
      </c>
      <c r="Q18" s="266" t="str">
        <f>IF(H18='[1]Tabla 2 al 22'!H18,"IGUAL","CAMBIO")</f>
        <v>IGUAL</v>
      </c>
      <c r="R18" s="123" t="str">
        <f>IF(J18='[1]Tabla 2 al 22'!J18,"IGUAL","CAMBIO")</f>
        <v>IGUAL</v>
      </c>
      <c r="S18" s="123" t="str">
        <f>IF(L18='[1]Tabla 2 al 22'!L18,"IGUAL","CAMBIO")</f>
        <v>IGUAL</v>
      </c>
      <c r="T18" s="217" t="str">
        <f>IF(N18='[1]Tabla 2 al 22'!N18,"IGUAL","CAMBIO")</f>
        <v>IGUAL</v>
      </c>
    </row>
    <row r="19" spans="2:20" x14ac:dyDescent="0.25">
      <c r="B19" s="232" t="s">
        <v>265</v>
      </c>
      <c r="C19" s="205" t="str">
        <f>'2 a 7'!$Q$46</f>
        <v>215</v>
      </c>
      <c r="D19" s="205">
        <f>'2 a 7'!$C$4</f>
        <v>16</v>
      </c>
      <c r="E19" s="203">
        <f>'2 a 7'!$C$12</f>
        <v>2.88</v>
      </c>
      <c r="F19" s="203">
        <f>HLOOKUP($C19,'2 a 7'!$C$46:$AE$90,22)</f>
        <v>1230</v>
      </c>
      <c r="G19" s="203">
        <f>HLOOKUP($C19,'2 a 7'!$C$46:$AE$90,29)</f>
        <v>0.44</v>
      </c>
      <c r="H19" s="203" t="str">
        <f>HLOOKUP($C19,'2 a 7'!$C$46:$AE$90,30)</f>
        <v>$\phi8@17$</v>
      </c>
      <c r="I19" s="203">
        <f>HLOOKUP($C19,'2 a 7'!$C$46:$AE$90,34)</f>
        <v>0</v>
      </c>
      <c r="J19" s="203" t="str">
        <f>HLOOKUP($C19,'1'!$C$46:$AE$90,35)</f>
        <v>$\phi8@17$</v>
      </c>
      <c r="K19" s="203">
        <f>HLOOKUP($C19,'1'!$C$46:$AE$90,39)</f>
        <v>0.56000000000000005</v>
      </c>
      <c r="L19" s="203" t="str">
        <f>HLOOKUP($C19,'2 a 7'!$C$46:$AE$90,40)</f>
        <v>$\phi8@17$</v>
      </c>
      <c r="M19" s="203">
        <f>HLOOKUP($C19,'2 a 7'!$C$46:$AE$90,44)</f>
        <v>0.47000000000000003</v>
      </c>
      <c r="N19" s="228" t="str">
        <f>HLOOKUP($C19,'2 a 7'!$C$46:$AE$90,45)</f>
        <v>$\phi8@17$</v>
      </c>
      <c r="P19" s="270" t="str">
        <f t="shared" si="0"/>
        <v>(2-22)15</v>
      </c>
      <c r="Q19" s="266" t="str">
        <f>IF(H19='[1]Tabla 2 al 22'!H19,"IGUAL","CAMBIO")</f>
        <v>IGUAL</v>
      </c>
      <c r="R19" s="123" t="str">
        <f>IF(J19='[1]Tabla 2 al 22'!J19,"IGUAL","CAMBIO")</f>
        <v>IGUAL</v>
      </c>
      <c r="S19" s="123" t="str">
        <f>IF(L19='[1]Tabla 2 al 22'!L19,"IGUAL","CAMBIO")</f>
        <v>IGUAL</v>
      </c>
      <c r="T19" s="217" t="str">
        <f>IF(N19='[1]Tabla 2 al 22'!N19,"IGUAL","CAMBIO")</f>
        <v>IGUAL</v>
      </c>
    </row>
    <row r="20" spans="2:20" x14ac:dyDescent="0.25">
      <c r="B20" s="232" t="s">
        <v>266</v>
      </c>
      <c r="C20" s="205" t="str">
        <f>'2 a 7'!$R$46</f>
        <v>216</v>
      </c>
      <c r="D20" s="205">
        <f>'2 a 7'!$C$4</f>
        <v>16</v>
      </c>
      <c r="E20" s="203">
        <f>'2 a 7'!$C$12</f>
        <v>2.88</v>
      </c>
      <c r="F20" s="203">
        <f>HLOOKUP($C20,'2 a 7'!$C$46:$AE$90,22)</f>
        <v>1230</v>
      </c>
      <c r="G20" s="203">
        <f>HLOOKUP($C20,'2 a 7'!$C$46:$AE$90,29)</f>
        <v>0.21000000000000002</v>
      </c>
      <c r="H20" s="203" t="str">
        <f>HLOOKUP($C20,'2 a 7'!$C$46:$AE$90,30)</f>
        <v>$\phi8@17$</v>
      </c>
      <c r="I20" s="203">
        <f>HLOOKUP($C20,'2 a 7'!$C$46:$AE$90,34)</f>
        <v>0</v>
      </c>
      <c r="J20" s="203" t="str">
        <f>HLOOKUP($C20,'1'!$C$46:$AE$90,35)</f>
        <v>$\phi8@17$</v>
      </c>
      <c r="K20" s="203">
        <f>HLOOKUP($C20,'1'!$C$46:$AE$90,39)</f>
        <v>0.56000000000000005</v>
      </c>
      <c r="L20" s="203" t="str">
        <f>HLOOKUP($C20,'2 a 7'!$C$46:$AE$90,40)</f>
        <v>$\phi8@17$</v>
      </c>
      <c r="M20" s="203">
        <f>HLOOKUP($C20,'2 a 7'!$C$46:$AE$90,44)</f>
        <v>0.22</v>
      </c>
      <c r="N20" s="228" t="str">
        <f>HLOOKUP($C20,'2 a 7'!$C$46:$AE$90,45)</f>
        <v>$\phi8@17$</v>
      </c>
      <c r="P20" s="270" t="str">
        <f t="shared" si="0"/>
        <v>(2-22)16</v>
      </c>
      <c r="Q20" s="266" t="str">
        <f>IF(H20='[1]Tabla 2 al 22'!H20,"IGUAL","CAMBIO")</f>
        <v>IGUAL</v>
      </c>
      <c r="R20" s="123" t="str">
        <f>IF(J20='[1]Tabla 2 al 22'!J20,"IGUAL","CAMBIO")</f>
        <v>IGUAL</v>
      </c>
      <c r="S20" s="123" t="str">
        <f>IF(L20='[1]Tabla 2 al 22'!L20,"IGUAL","CAMBIO")</f>
        <v>IGUAL</v>
      </c>
      <c r="T20" s="217" t="str">
        <f>IF(N20='[1]Tabla 2 al 22'!N20,"IGUAL","CAMBIO")</f>
        <v>IGUAL</v>
      </c>
    </row>
    <row r="21" spans="2:20" x14ac:dyDescent="0.25">
      <c r="B21" s="232" t="s">
        <v>267</v>
      </c>
      <c r="C21" s="205" t="str">
        <f>'2 a 7'!$S$46</f>
        <v>217</v>
      </c>
      <c r="D21" s="205">
        <f>'2 a 7'!$C$4</f>
        <v>16</v>
      </c>
      <c r="E21" s="203">
        <f>'2 a 7'!$C$12</f>
        <v>2.88</v>
      </c>
      <c r="F21" s="203">
        <f>HLOOKUP($C21,'2 a 7'!$C$46:$AE$90,22)</f>
        <v>1230</v>
      </c>
      <c r="G21" s="203">
        <f>HLOOKUP($C21,'2 a 7'!$C$46:$AE$90,29)</f>
        <v>0.21000000000000002</v>
      </c>
      <c r="H21" s="203" t="str">
        <f>HLOOKUP($C21,'2 a 7'!$C$46:$AE$90,30)</f>
        <v>$\phi8@17$</v>
      </c>
      <c r="I21" s="203">
        <f>HLOOKUP($C21,'2 a 7'!$C$46:$AE$90,34)</f>
        <v>0</v>
      </c>
      <c r="J21" s="203" t="str">
        <f>HLOOKUP($C21,'1'!$C$46:$AE$90,35)</f>
        <v>$\phi8@17$</v>
      </c>
      <c r="K21" s="203">
        <f>HLOOKUP($C21,'1'!$C$46:$AE$90,39)</f>
        <v>0.56000000000000005</v>
      </c>
      <c r="L21" s="203" t="str">
        <f>HLOOKUP($C21,'2 a 7'!$C$46:$AE$90,40)</f>
        <v>$\phi8@17$</v>
      </c>
      <c r="M21" s="203">
        <f>HLOOKUP($C21,'2 a 7'!$C$46:$AE$90,44)</f>
        <v>0.22</v>
      </c>
      <c r="N21" s="228" t="str">
        <f>HLOOKUP($C21,'2 a 7'!$C$46:$AE$90,45)</f>
        <v>$\phi8@17$</v>
      </c>
      <c r="P21" s="270" t="str">
        <f t="shared" si="0"/>
        <v>(2-22)17</v>
      </c>
      <c r="Q21" s="266" t="str">
        <f>IF(H21='[1]Tabla 2 al 22'!H21,"IGUAL","CAMBIO")</f>
        <v>IGUAL</v>
      </c>
      <c r="R21" s="123" t="str">
        <f>IF(J21='[1]Tabla 2 al 22'!J21,"IGUAL","CAMBIO")</f>
        <v>IGUAL</v>
      </c>
      <c r="S21" s="123" t="str">
        <f>IF(L21='[1]Tabla 2 al 22'!L21,"IGUAL","CAMBIO")</f>
        <v>IGUAL</v>
      </c>
      <c r="T21" s="217" t="str">
        <f>IF(N21='[1]Tabla 2 al 22'!N21,"IGUAL","CAMBIO")</f>
        <v>IGUAL</v>
      </c>
    </row>
    <row r="22" spans="2:20" x14ac:dyDescent="0.25">
      <c r="B22" s="232" t="s">
        <v>268</v>
      </c>
      <c r="C22" s="206" t="str">
        <f>'2 a 7'!$T$46</f>
        <v>218</v>
      </c>
      <c r="D22" s="206">
        <f>'2 a 7'!$C$4</f>
        <v>16</v>
      </c>
      <c r="E22" s="203">
        <f>'2 a 7'!$C$12</f>
        <v>2.88</v>
      </c>
      <c r="F22" s="203">
        <f>HLOOKUP($C22,'2 a 7'!$C$46:$AE$90,22)</f>
        <v>1230</v>
      </c>
      <c r="G22" s="203">
        <f>HLOOKUP($C22,'2 a 7'!$C$46:$AE$90,29)</f>
        <v>0.35000000000000003</v>
      </c>
      <c r="H22" s="203" t="str">
        <f>HLOOKUP($C22,'2 a 7'!$C$46:$AE$90,30)</f>
        <v>$\phi8@17$</v>
      </c>
      <c r="I22" s="203">
        <f>HLOOKUP($C22,'2 a 7'!$C$46:$AE$90,34)</f>
        <v>0</v>
      </c>
      <c r="J22" s="203" t="str">
        <f>HLOOKUP($C22,'1'!$C$46:$AE$90,35)</f>
        <v>$\phi8@17$</v>
      </c>
      <c r="K22" s="203">
        <f>HLOOKUP($C22,'1'!$C$46:$AE$90,39)</f>
        <v>0.56000000000000005</v>
      </c>
      <c r="L22" s="203" t="str">
        <f>HLOOKUP($C22,'2 a 7'!$C$46:$AE$90,40)</f>
        <v>$\phi8@17$</v>
      </c>
      <c r="M22" s="203">
        <f>HLOOKUP($C22,'2 a 7'!$C$46:$AE$90,44)</f>
        <v>0.37</v>
      </c>
      <c r="N22" s="228" t="str">
        <f>HLOOKUP($C22,'2 a 7'!$C$46:$AE$90,45)</f>
        <v>$\phi8@17$</v>
      </c>
      <c r="P22" s="270" t="str">
        <f t="shared" si="0"/>
        <v>(2-22)18</v>
      </c>
      <c r="Q22" s="266" t="str">
        <f>IF(H22='[1]Tabla 2 al 22'!H22,"IGUAL","CAMBIO")</f>
        <v>IGUAL</v>
      </c>
      <c r="R22" s="123" t="str">
        <f>IF(J22='[1]Tabla 2 al 22'!J22,"IGUAL","CAMBIO")</f>
        <v>IGUAL</v>
      </c>
      <c r="S22" s="123" t="str">
        <f>IF(L22='[1]Tabla 2 al 22'!L22,"IGUAL","CAMBIO")</f>
        <v>IGUAL</v>
      </c>
      <c r="T22" s="217" t="str">
        <f>IF(N22='[1]Tabla 2 al 22'!N22,"IGUAL","CAMBIO")</f>
        <v>IGUAL</v>
      </c>
    </row>
    <row r="23" spans="2:20" x14ac:dyDescent="0.25">
      <c r="B23" s="232" t="s">
        <v>269</v>
      </c>
      <c r="C23" s="205" t="str">
        <f>'2 a 7'!$U$46</f>
        <v>219</v>
      </c>
      <c r="D23" s="205">
        <f>'2 a 7'!$C$4</f>
        <v>16</v>
      </c>
      <c r="E23" s="203">
        <f>'2 a 7'!$C$12</f>
        <v>2.88</v>
      </c>
      <c r="F23" s="203">
        <f>HLOOKUP($C23,'2 a 7'!$C$46:$AE$90,22)</f>
        <v>1230</v>
      </c>
      <c r="G23" s="203">
        <f>HLOOKUP($C23,'2 a 7'!$C$46:$AE$90,29)</f>
        <v>0.35000000000000003</v>
      </c>
      <c r="H23" s="203" t="str">
        <f>HLOOKUP($C23,'2 a 7'!$C$46:$AE$90,30)</f>
        <v>$\phi8@17$</v>
      </c>
      <c r="I23" s="203">
        <f>HLOOKUP($C23,'2 a 7'!$C$46:$AE$90,34)</f>
        <v>0</v>
      </c>
      <c r="J23" s="203" t="str">
        <f>HLOOKUP($C23,'1'!$C$46:$AE$90,35)</f>
        <v>$\phi8@17$</v>
      </c>
      <c r="K23" s="203">
        <f>HLOOKUP($C23,'1'!$C$46:$AE$90,39)</f>
        <v>0.56000000000000005</v>
      </c>
      <c r="L23" s="203" t="str">
        <f>HLOOKUP($C23,'2 a 7'!$C$46:$AE$90,40)</f>
        <v>$\phi8@17$</v>
      </c>
      <c r="M23" s="203">
        <f>HLOOKUP($C23,'2 a 7'!$C$46:$AE$90,44)</f>
        <v>0.37</v>
      </c>
      <c r="N23" s="228" t="str">
        <f>HLOOKUP($C23,'2 a 7'!$C$46:$AE$90,45)</f>
        <v>$\phi8@17$</v>
      </c>
      <c r="P23" s="270" t="str">
        <f t="shared" si="0"/>
        <v>(2-22)19</v>
      </c>
      <c r="Q23" s="266" t="str">
        <f>IF(H23='[1]Tabla 2 al 22'!H23,"IGUAL","CAMBIO")</f>
        <v>IGUAL</v>
      </c>
      <c r="R23" s="123" t="str">
        <f>IF(J23='[1]Tabla 2 al 22'!J23,"IGUAL","CAMBIO")</f>
        <v>IGUAL</v>
      </c>
      <c r="S23" s="123" t="str">
        <f>IF(L23='[1]Tabla 2 al 22'!L23,"IGUAL","CAMBIO")</f>
        <v>IGUAL</v>
      </c>
      <c r="T23" s="217" t="str">
        <f>IF(N23='[1]Tabla 2 al 22'!N23,"IGUAL","CAMBIO")</f>
        <v>IGUAL</v>
      </c>
    </row>
    <row r="24" spans="2:20" x14ac:dyDescent="0.25">
      <c r="B24" s="232" t="s">
        <v>270</v>
      </c>
      <c r="C24" s="206" t="str">
        <f>'2 a 7'!$V$46</f>
        <v>220</v>
      </c>
      <c r="D24" s="206">
        <f>'2 a 7'!$C$4</f>
        <v>16</v>
      </c>
      <c r="E24" s="203">
        <f>'2 a 7'!$C$12</f>
        <v>2.88</v>
      </c>
      <c r="F24" s="203">
        <f>HLOOKUP($C24,'2 a 7'!$C$46:$AE$90,22)</f>
        <v>1230</v>
      </c>
      <c r="G24" s="203">
        <f>HLOOKUP($C24,'2 a 7'!$C$46:$AE$90,29)</f>
        <v>0.11</v>
      </c>
      <c r="H24" s="203" t="str">
        <f>HLOOKUP($C24,'2 a 7'!$C$46:$AE$90,30)</f>
        <v>$\phi8@17$</v>
      </c>
      <c r="I24" s="203">
        <f>HLOOKUP($C24,'2 a 7'!$C$46:$AE$90,34)</f>
        <v>0</v>
      </c>
      <c r="J24" s="203" t="str">
        <f>HLOOKUP($C24,'1'!$C$46:$AE$90,35)</f>
        <v>$\phi8@17$</v>
      </c>
      <c r="K24" s="203">
        <f>HLOOKUP($C24,'1'!$C$46:$AE$90,39)</f>
        <v>0.56000000000000005</v>
      </c>
      <c r="L24" s="203" t="str">
        <f>HLOOKUP($C24,'2 a 7'!$C$46:$AE$90,40)</f>
        <v>$\phi8@17$</v>
      </c>
      <c r="M24" s="203">
        <f>HLOOKUP($C24,'2 a 7'!$C$46:$AE$90,44)</f>
        <v>0.12</v>
      </c>
      <c r="N24" s="228" t="str">
        <f>HLOOKUP($C24,'2 a 7'!$C$46:$AE$90,45)</f>
        <v>$\phi8@17$</v>
      </c>
      <c r="P24" s="270" t="str">
        <f t="shared" si="0"/>
        <v>(2-22)20</v>
      </c>
      <c r="Q24" s="266" t="str">
        <f>IF(H24='[1]Tabla 2 al 22'!H24,"IGUAL","CAMBIO")</f>
        <v>IGUAL</v>
      </c>
      <c r="R24" s="123" t="str">
        <f>IF(J24='[1]Tabla 2 al 22'!J24,"IGUAL","CAMBIO")</f>
        <v>IGUAL</v>
      </c>
      <c r="S24" s="123" t="str">
        <f>IF(L24='[1]Tabla 2 al 22'!L24,"IGUAL","CAMBIO")</f>
        <v>IGUAL</v>
      </c>
      <c r="T24" s="217" t="str">
        <f>IF(N24='[1]Tabla 2 al 22'!N24,"IGUAL","CAMBIO")</f>
        <v>IGUAL</v>
      </c>
    </row>
    <row r="25" spans="2:20" x14ac:dyDescent="0.25">
      <c r="B25" s="232" t="s">
        <v>271</v>
      </c>
      <c r="C25" s="206" t="str">
        <f>'2 a 7'!$W$46</f>
        <v>221</v>
      </c>
      <c r="D25" s="206">
        <f>'2 a 7'!$C$4</f>
        <v>16</v>
      </c>
      <c r="E25" s="203">
        <f>'2 a 7'!$C$12</f>
        <v>2.88</v>
      </c>
      <c r="F25" s="203">
        <f>HLOOKUP($C25,'2 a 7'!$C$46:$AE$90,22)</f>
        <v>1230</v>
      </c>
      <c r="G25" s="203">
        <f>HLOOKUP($C25,'2 a 7'!$C$46:$AE$90,29)</f>
        <v>9.9999999999999992E-2</v>
      </c>
      <c r="H25" s="203" t="str">
        <f>HLOOKUP($C25,'2 a 7'!$C$46:$AE$90,30)</f>
        <v>$\phi8@17$</v>
      </c>
      <c r="I25" s="203">
        <f>HLOOKUP($C25,'2 a 7'!$C$46:$AE$90,34)</f>
        <v>0</v>
      </c>
      <c r="J25" s="203" t="str">
        <f>HLOOKUP($C25,'1'!$C$46:$AE$90,35)</f>
        <v>$\phi8@17$</v>
      </c>
      <c r="K25" s="203">
        <f>HLOOKUP($C25,'1'!$C$46:$AE$90,39)</f>
        <v>0.56000000000000005</v>
      </c>
      <c r="L25" s="203" t="str">
        <f>HLOOKUP($C25,'2 a 7'!$C$46:$AE$90,40)</f>
        <v>$\phi8@17$</v>
      </c>
      <c r="M25" s="203">
        <f>HLOOKUP($C25,'2 a 7'!$C$46:$AE$90,44)</f>
        <v>9.9999999999999992E-2</v>
      </c>
      <c r="N25" s="228" t="str">
        <f>HLOOKUP($C25,'2 a 7'!$C$46:$AE$90,45)</f>
        <v>$\phi8@17$</v>
      </c>
      <c r="P25" s="270" t="str">
        <f t="shared" si="0"/>
        <v>(2-22)21</v>
      </c>
      <c r="Q25" s="266" t="str">
        <f>IF(H25='[1]Tabla 2 al 22'!H25,"IGUAL","CAMBIO")</f>
        <v>IGUAL</v>
      </c>
      <c r="R25" s="123" t="str">
        <f>IF(J25='[1]Tabla 2 al 22'!J25,"IGUAL","CAMBIO")</f>
        <v>IGUAL</v>
      </c>
      <c r="S25" s="123" t="str">
        <f>IF(L25='[1]Tabla 2 al 22'!L25,"IGUAL","CAMBIO")</f>
        <v>IGUAL</v>
      </c>
      <c r="T25" s="217" t="str">
        <f>IF(N25='[1]Tabla 2 al 22'!N25,"IGUAL","CAMBIO")</f>
        <v>IGUAL</v>
      </c>
    </row>
    <row r="26" spans="2:20" ht="15.75" thickBot="1" x14ac:dyDescent="0.3">
      <c r="B26" s="233" t="s">
        <v>272</v>
      </c>
      <c r="C26" s="124" t="str">
        <f>'2 a 7'!$X$46</f>
        <v>222</v>
      </c>
      <c r="D26" s="124">
        <f>'2 a 7'!$C$4</f>
        <v>16</v>
      </c>
      <c r="E26" s="124">
        <f>'2 a 7'!$C$12</f>
        <v>2.88</v>
      </c>
      <c r="F26" s="126">
        <f>HLOOKUP($C26,'2 a 7'!$C$46:$AE$90,22)</f>
        <v>1230</v>
      </c>
      <c r="G26" s="204">
        <f>HLOOKUP($C26,'2 a 7'!$C$46:$AE$90,29)</f>
        <v>0.66</v>
      </c>
      <c r="H26" s="126" t="str">
        <f>HLOOKUP($C26,'2 a 7'!$C$46:$AE$90,30)</f>
        <v>$\phi8@17$</v>
      </c>
      <c r="I26" s="126">
        <f>HLOOKUP($C26,'2 a 7'!$C$46:$AE$90,34)</f>
        <v>0.17</v>
      </c>
      <c r="J26" s="126" t="str">
        <f>HLOOKUP($C26,'1'!$C$46:$AE$90,35)</f>
        <v>$\phi8@17$</v>
      </c>
      <c r="K26" s="126">
        <f>HLOOKUP($C26,'1'!$C$46:$AE$90,39)</f>
        <v>0.56000000000000005</v>
      </c>
      <c r="L26" s="126" t="str">
        <f>HLOOKUP($C26,'2 a 7'!$C$46:$AE$90,40)</f>
        <v>$\phi8@17$</v>
      </c>
      <c r="M26" s="126">
        <f>HLOOKUP($C26,'2 a 7'!$C$46:$AE$90,44)</f>
        <v>1.04</v>
      </c>
      <c r="N26" s="234" t="str">
        <f>HLOOKUP($C26,'2 a 7'!$C$46:$AE$90,45)</f>
        <v>$\phi8@17$</v>
      </c>
      <c r="P26" s="271" t="str">
        <f t="shared" ref="P26:P27" si="1">B26</f>
        <v>(2-22)22</v>
      </c>
      <c r="Q26" s="258" t="str">
        <f>IF(H26='[1]Tabla 2 al 22'!H26,"IGUAL","CAMBIO")</f>
        <v>IGUAL</v>
      </c>
      <c r="R26" s="125" t="str">
        <f>IF(J26='[1]Tabla 2 al 22'!J26,"IGUAL","CAMBIO")</f>
        <v>IGUAL</v>
      </c>
      <c r="S26" s="125" t="str">
        <f>IF(L26='[1]Tabla 2 al 22'!L26,"IGUAL","CAMBIO")</f>
        <v>IGUAL</v>
      </c>
      <c r="T26" s="220" t="str">
        <f>IF(N26='[1]Tabla 2 al 22'!N26,"IGUAL","CAMBIO")</f>
        <v>IGUAL</v>
      </c>
    </row>
    <row r="27" spans="2:20" ht="15.75" thickBot="1" x14ac:dyDescent="0.3">
      <c r="P27" s="262"/>
      <c r="Q27" s="202"/>
      <c r="R27" s="202"/>
      <c r="S27" s="202"/>
      <c r="T27" s="202"/>
    </row>
    <row r="28" spans="2:20" ht="15.75" thickBot="1" x14ac:dyDescent="0.3">
      <c r="E28" s="301" t="s">
        <v>107</v>
      </c>
      <c r="F28" s="302"/>
      <c r="G28" s="121"/>
      <c r="H28" s="121"/>
    </row>
    <row r="29" spans="2:20" s="121" customFormat="1" ht="30.75" thickBot="1" x14ac:dyDescent="0.3">
      <c r="E29" s="133" t="s">
        <v>278</v>
      </c>
      <c r="F29" s="134" t="str">
        <f>'-1'!B98</f>
        <v>Mu $[kgf \cdot m/m]$</v>
      </c>
      <c r="G29" s="134" t="str">
        <f>'-1'!B101</f>
        <v>As $[cm^2/m]$</v>
      </c>
      <c r="H29" s="135" t="str">
        <f>'-1'!B102</f>
        <v>F'</v>
      </c>
      <c r="J29" s="269" t="s">
        <v>338</v>
      </c>
    </row>
    <row r="30" spans="2:20" x14ac:dyDescent="0.25">
      <c r="E30" s="144" t="str">
        <f>'2 a 7'!C93&amp;"-"&amp;'2 a 7'!D93</f>
        <v>201-202</v>
      </c>
      <c r="F30" s="152">
        <f>HLOOKUP($E30,'2 a 7'!$C$94:$AF$102,F$64,FALSE)</f>
        <v>1690.9533004648542</v>
      </c>
      <c r="G30" s="152">
        <f>HLOOKUP($E30,'2 a 7'!$C$94:$AF$102,G$64,FALSE)</f>
        <v>3.15</v>
      </c>
      <c r="H30" s="153" t="str">
        <f>HLOOKUP($E30,'2 a 7'!$C$94:$AF$102,H$64,FALSE)</f>
        <v>$\phi10@25$</v>
      </c>
      <c r="J30" s="267" t="str">
        <f>IF(H30='[1]Tabla 2 al 22'!H30,"IGUAL","CAMBIO")</f>
        <v>IGUAL</v>
      </c>
    </row>
    <row r="31" spans="2:20" x14ac:dyDescent="0.25">
      <c r="E31" s="145" t="str">
        <f>'2 a 7'!E93&amp;"-"&amp;'2 a 7'!F93</f>
        <v>201-205</v>
      </c>
      <c r="F31" s="146">
        <f>HLOOKUP($E31,'2 a 7'!$C$94:$AF$102,F$64,FALSE)</f>
        <v>2544.1056793076323</v>
      </c>
      <c r="G31" s="146">
        <f>HLOOKUP($E31,'2 a 7'!$C$94:$AF$102,G$64,FALSE)</f>
        <v>4.74</v>
      </c>
      <c r="H31" s="147" t="str">
        <f>HLOOKUP($E31,'2 a 7'!$C$94:$AF$102,H$64,FALSE)</f>
        <v>$\phi12@24$</v>
      </c>
      <c r="J31" s="267" t="str">
        <f>IF(H31='[1]Tabla 2 al 22'!H31,"IGUAL","CAMBIO")</f>
        <v>IGUAL</v>
      </c>
    </row>
    <row r="32" spans="2:20" x14ac:dyDescent="0.25">
      <c r="E32" s="145" t="str">
        <f>'2 a 7'!G93&amp;"-"&amp;'2 a 7'!H93</f>
        <v>201-206</v>
      </c>
      <c r="F32" s="146">
        <f>HLOOKUP($E32,'2 a 7'!$C$94:$AF$102,F$64,FALSE)</f>
        <v>2264.0624053826746</v>
      </c>
      <c r="G32" s="146">
        <f>HLOOKUP($E32,'2 a 7'!$C$94:$AF$102,G$64,FALSE)</f>
        <v>4.21</v>
      </c>
      <c r="H32" s="147" t="str">
        <f>HLOOKUP($E32,'2 a 7'!$C$94:$AF$102,H$64,FALSE)</f>
        <v>$\phi8@12$</v>
      </c>
      <c r="J32" s="267" t="str">
        <f>IF(H32='[1]Tabla 2 al 22'!H32,"IGUAL","CAMBIO")</f>
        <v>IGUAL</v>
      </c>
    </row>
    <row r="33" spans="5:10" hidden="1" x14ac:dyDescent="0.25">
      <c r="E33" s="145" t="str">
        <f>'2 a 7'!I93&amp;"-"&amp;'2 a 7'!J93</f>
        <v>201-212</v>
      </c>
      <c r="F33" s="146">
        <f>HLOOKUP($E33,'2 a 7'!$C$94:$AF$102,F$64,FALSE)</f>
        <v>2084.0697244207317</v>
      </c>
      <c r="G33" s="146">
        <f>HLOOKUP($E33,'2 a 7'!$C$94:$AF$102,G$64,FALSE)</f>
        <v>3.88</v>
      </c>
      <c r="H33" s="147" t="str">
        <f>HLOOKUP($E33,'2 a 7'!$C$94:$AF$102,H$64,FALSE)</f>
        <v>$\phi10@20$</v>
      </c>
      <c r="J33" s="267" t="str">
        <f>IF(H33='[1]Tabla 2 al 22'!H33,"IGUAL","CAMBIO")</f>
        <v>IGUAL</v>
      </c>
    </row>
    <row r="34" spans="5:10" hidden="1" x14ac:dyDescent="0.25">
      <c r="E34" s="145" t="str">
        <f>'2 a 7'!K93&amp;"-"&amp;'2 a 7'!L93</f>
        <v>201-221</v>
      </c>
      <c r="F34" s="146">
        <f>HLOOKUP($E34,'2 a 7'!$C$94:$AF$102,F$64,FALSE)</f>
        <v>1482.0991895161289</v>
      </c>
      <c r="G34" s="146">
        <f>HLOOKUP($E34,'2 a 7'!$C$94:$AF$102,G$64,FALSE)</f>
        <v>2.76</v>
      </c>
      <c r="H34" s="147" t="str">
        <f>HLOOKUP($E34,'2 a 7'!$C$94:$AF$102,H$64,FALSE)</f>
        <v>$\phi8@17$</v>
      </c>
      <c r="J34" s="267" t="str">
        <f>IF(H34='[1]Tabla 2 al 22'!H34,"IGUAL","CAMBIO")</f>
        <v>IGUAL</v>
      </c>
    </row>
    <row r="35" spans="5:10" x14ac:dyDescent="0.25">
      <c r="E35" s="145" t="str">
        <f>'2 a 7'!M93&amp;"-"&amp;'2 a 7'!N93</f>
        <v>202-203</v>
      </c>
      <c r="F35" s="146">
        <f>HLOOKUP($E35,'2 a 7'!$C$94:$AF$102,F$64,FALSE)</f>
        <v>1095.0445414847163</v>
      </c>
      <c r="G35" s="146">
        <f>HLOOKUP($E35,'2 a 7'!$C$94:$AF$102,G$64,FALSE)</f>
        <v>2.0399999999999996</v>
      </c>
      <c r="H35" s="147" t="str">
        <f>HLOOKUP($E35,'2 a 7'!$C$94:$AF$102,H$64,FALSE)</f>
        <v>$\phi8@17$</v>
      </c>
      <c r="J35" s="267" t="str">
        <f>IF(H35='[1]Tabla 2 al 22'!H35,"IGUAL","CAMBIO")</f>
        <v>IGUAL</v>
      </c>
    </row>
    <row r="36" spans="5:10" x14ac:dyDescent="0.25">
      <c r="E36" s="145" t="str">
        <f>'2 a 7'!O93&amp;"-"&amp;'2 a 7'!P93</f>
        <v>202-208</v>
      </c>
      <c r="F36" s="146">
        <f>HLOOKUP($E36,'2 a 7'!$C$94:$AF$102,F$64,FALSE)</f>
        <v>994.9992127659574</v>
      </c>
      <c r="G36" s="146">
        <f>HLOOKUP($E36,'2 a 7'!$C$94:$AF$102,G$64,FALSE)</f>
        <v>1.85</v>
      </c>
      <c r="H36" s="147" t="str">
        <f>HLOOKUP($E36,'2 a 7'!$C$94:$AF$102,H$64,FALSE)</f>
        <v>$\phi8@17$</v>
      </c>
      <c r="J36" s="267" t="str">
        <f>IF(H36='[1]Tabla 2 al 22'!H36,"IGUAL","CAMBIO")</f>
        <v>IGUAL</v>
      </c>
    </row>
    <row r="37" spans="5:10" hidden="1" x14ac:dyDescent="0.25">
      <c r="E37" s="145" t="str">
        <f>'2 a 7'!Q93&amp;"-"&amp;'2 a 7'!R93</f>
        <v>202-213</v>
      </c>
      <c r="F37" s="146">
        <f>HLOOKUP($E37,'2 a 7'!$C$94:$AF$102,F$64,FALSE)</f>
        <v>1028.3528640159575</v>
      </c>
      <c r="G37" s="146">
        <f>HLOOKUP($E37,'2 a 7'!$C$94:$AF$102,G$64,FALSE)</f>
        <v>1.91</v>
      </c>
      <c r="H37" s="147" t="str">
        <f>HLOOKUP($E37,'2 a 7'!$C$94:$AF$102,H$64,FALSE)</f>
        <v>$\phi8@17$</v>
      </c>
      <c r="J37" s="267" t="str">
        <f>IF(H37='[1]Tabla 2 al 22'!H37,"IGUAL","CAMBIO")</f>
        <v>IGUAL</v>
      </c>
    </row>
    <row r="38" spans="5:10" hidden="1" x14ac:dyDescent="0.25">
      <c r="E38" s="145" t="str">
        <f>'2 a 7'!S93&amp;"-"&amp;'2 a 7'!T93</f>
        <v>203-214</v>
      </c>
      <c r="F38" s="146">
        <f>HLOOKUP($E38,'2 a 7'!$C$94:$AF$102,F$64,FALSE)</f>
        <v>1028.3528640159575</v>
      </c>
      <c r="G38" s="146">
        <f>HLOOKUP($E38,'2 a 7'!$C$94:$AF$102,G$64,FALSE)</f>
        <v>1.91</v>
      </c>
      <c r="H38" s="147" t="str">
        <f>HLOOKUP($E38,'2 a 7'!$C$94:$AF$102,H$64,FALSE)</f>
        <v>$\phi8@17$</v>
      </c>
      <c r="J38" s="267" t="str">
        <f>IF(H38='[1]Tabla 2 al 22'!H38,"IGUAL","CAMBIO")</f>
        <v>IGUAL</v>
      </c>
    </row>
    <row r="39" spans="5:10" x14ac:dyDescent="0.25">
      <c r="E39" s="145" t="str">
        <f>'2 a 7'!U93&amp;"-"&amp;'2 a 7'!V93</f>
        <v>203-208</v>
      </c>
      <c r="F39" s="146">
        <f>HLOOKUP($E39,'2 a 7'!$C$94:$AF$102,F$64,FALSE)</f>
        <v>994.9992127659574</v>
      </c>
      <c r="G39" s="146">
        <f>HLOOKUP($E39,'2 a 7'!$C$94:$AF$102,G$64,FALSE)</f>
        <v>1.85</v>
      </c>
      <c r="H39" s="147" t="str">
        <f>HLOOKUP($E39,'2 a 7'!$C$94:$AF$102,H$64,FALSE)</f>
        <v>$\phi8@17$</v>
      </c>
      <c r="J39" s="267" t="str">
        <f>IF(H39='[1]Tabla 2 al 22'!H39,"IGUAL","CAMBIO")</f>
        <v>IGUAL</v>
      </c>
    </row>
    <row r="40" spans="5:10" x14ac:dyDescent="0.25">
      <c r="E40" s="145" t="str">
        <f>'2 a 7'!W93&amp;"-"&amp;'2 a 7'!X93</f>
        <v>203-204</v>
      </c>
      <c r="F40" s="146">
        <f>HLOOKUP($E40,'2 a 7'!$C$94:$AF$102,F$64,FALSE)</f>
        <v>1563.772677818376</v>
      </c>
      <c r="G40" s="146">
        <f>HLOOKUP($E40,'2 a 7'!$C$94:$AF$102,G$64,FALSE)</f>
        <v>2.9099999999999997</v>
      </c>
      <c r="H40" s="147" t="str">
        <f>HLOOKUP($E40,'2 a 7'!$C$94:$AF$102,H$64,FALSE)</f>
        <v>$\phi8@17$</v>
      </c>
      <c r="J40" s="267" t="str">
        <f>IF(H40='[1]Tabla 2 al 22'!H40,"IGUAL","CAMBIO")</f>
        <v>IGUAL</v>
      </c>
    </row>
    <row r="41" spans="5:10" hidden="1" x14ac:dyDescent="0.25">
      <c r="E41" s="145" t="str">
        <f>'2 a 7'!Y93&amp;"-"&amp;'2 a 7'!Z93</f>
        <v>204-215</v>
      </c>
      <c r="F41" s="146">
        <f>HLOOKUP($E41,'2 a 7'!$C$94:$AF$102,F$64,FALSE)</f>
        <v>1770.5811121875001</v>
      </c>
      <c r="G41" s="146">
        <f>HLOOKUP($E41,'2 a 7'!$C$94:$AF$102,G$64,FALSE)</f>
        <v>3.2899999999999996</v>
      </c>
      <c r="H41" s="147" t="str">
        <f>HLOOKUP($E41,'2 a 7'!$C$94:$AF$102,H$64,FALSE)</f>
        <v>$\phi8@15$</v>
      </c>
      <c r="J41" s="267" t="str">
        <f>IF(H41='[1]Tabla 2 al 22'!H41,"IGUAL","CAMBIO")</f>
        <v>IGUAL</v>
      </c>
    </row>
    <row r="42" spans="5:10" hidden="1" x14ac:dyDescent="0.25">
      <c r="E42" s="145" t="str">
        <f>'2 a 7'!C104&amp;"-"&amp;'2 a 7'!D104</f>
        <v>204-208</v>
      </c>
      <c r="F42" s="146">
        <f>HLOOKUP($E42,'2 a 7'!$C$105:$AF$113,F$64,FALSE)</f>
        <v>1355.4142714285713</v>
      </c>
      <c r="G42" s="146">
        <f>HLOOKUP($E42,'2 a 7'!$C$105:$AF$113,G$64,FALSE)</f>
        <v>2.5199999999999996</v>
      </c>
      <c r="H42" s="147" t="str">
        <f>HLOOKUP($E42,'2 a 7'!$C$105:$AF$113,H$64,FALSE)</f>
        <v>$\phi8@17$</v>
      </c>
      <c r="J42" s="267" t="str">
        <f>IF(H42='[1]Tabla 2 al 22'!H42,"IGUAL","CAMBIO")</f>
        <v>IGUAL</v>
      </c>
    </row>
    <row r="43" spans="5:10" hidden="1" x14ac:dyDescent="0.25">
      <c r="E43" s="145" t="str">
        <f>'2 a 7'!E104&amp;"-"&amp;'2 a 7'!F104</f>
        <v>204-216</v>
      </c>
      <c r="F43" s="146">
        <f>HLOOKUP($E43,'2 a 7'!$C$105:$AF$113,F$64,FALSE)</f>
        <v>1358.2805914285714</v>
      </c>
      <c r="G43" s="146">
        <f>HLOOKUP($E43,'2 a 7'!$C$105:$AF$113,G$64,FALSE)</f>
        <v>2.5299999999999998</v>
      </c>
      <c r="H43" s="147" t="str">
        <f>HLOOKUP($E43,'2 a 7'!$C$105:$AF$113,H$64,FALSE)</f>
        <v>$\phi8@17$</v>
      </c>
      <c r="J43" s="267" t="str">
        <f>IF(H43='[1]Tabla 2 al 22'!H43,"IGUAL","CAMBIO")</f>
        <v>IGUAL</v>
      </c>
    </row>
    <row r="44" spans="5:10" x14ac:dyDescent="0.25">
      <c r="E44" s="145" t="str">
        <f>'2 a 7'!G104&amp;"-"&amp;'2 a 7'!H104</f>
        <v>204-210</v>
      </c>
      <c r="F44" s="146">
        <f>HLOOKUP($E44,'2 a 7'!$C$105:$AF$113,F$64,FALSE)</f>
        <v>1950.7930880984043</v>
      </c>
      <c r="G44" s="146">
        <f>HLOOKUP($E44,'2 a 7'!$C$105:$AF$113,G$64,FALSE)</f>
        <v>3.63</v>
      </c>
      <c r="H44" s="147" t="str">
        <f>HLOOKUP($E44,'2 a 7'!$C$105:$AF$113,H$64,FALSE)</f>
        <v>$\phi8@14$</v>
      </c>
      <c r="J44" s="267" t="str">
        <f>IF(H44='[1]Tabla 2 al 22'!H44,"IGUAL","CAMBIO")</f>
        <v>IGUAL</v>
      </c>
    </row>
    <row r="45" spans="5:10" x14ac:dyDescent="0.25">
      <c r="E45" s="145" t="str">
        <f>'2 a 7'!I104&amp;"-"&amp;'2 a 7'!J104</f>
        <v>204-211</v>
      </c>
      <c r="F45" s="146">
        <f>HLOOKUP($E45,'2 a 7'!$C$105:$AF$113,F$64,FALSE)</f>
        <v>2174.8939997479843</v>
      </c>
      <c r="G45" s="146">
        <f>HLOOKUP($E45,'2 a 7'!$C$105:$AF$113,G$64,FALSE)</f>
        <v>4.05</v>
      </c>
      <c r="H45" s="147" t="str">
        <f>HLOOKUP($E45,'2 a 7'!$C$105:$AF$113,H$64,FALSE)</f>
        <v>$\phi10@19$</v>
      </c>
      <c r="J45" s="267" t="str">
        <f>IF(H45='[1]Tabla 2 al 22'!H45,"IGUAL","CAMBIO")</f>
        <v>IGUAL</v>
      </c>
    </row>
    <row r="46" spans="5:10" hidden="1" x14ac:dyDescent="0.25">
      <c r="E46" s="145" t="str">
        <f>'2 a 7'!K104&amp;"-"&amp;'2 a 7'!L104</f>
        <v>205-220</v>
      </c>
      <c r="F46" s="146">
        <f>HLOOKUP($E46,'2 a 7'!$C$105:$AF$113,F$64,FALSE)</f>
        <v>1292.7742691860465</v>
      </c>
      <c r="G46" s="146">
        <f>HLOOKUP($E46,'2 a 7'!$C$105:$AF$113,G$64,FALSE)</f>
        <v>2.4099999999999997</v>
      </c>
      <c r="H46" s="147" t="str">
        <f>HLOOKUP($E46,'2 a 7'!$C$105:$AF$113,H$64,FALSE)</f>
        <v>$\phi8@17$</v>
      </c>
      <c r="J46" s="267" t="str">
        <f>IF(H46='[1]Tabla 2 al 22'!H46,"IGUAL","CAMBIO")</f>
        <v>IGUAL</v>
      </c>
    </row>
    <row r="47" spans="5:10" x14ac:dyDescent="0.25">
      <c r="E47" s="145" t="str">
        <f>'2 a 7'!M104&amp;"-"&amp;'2 a 7'!N104</f>
        <v>205-206</v>
      </c>
      <c r="F47" s="146">
        <f>HLOOKUP($E47,'2 a 7'!$C$105:$AF$113,F$64,FALSE)</f>
        <v>1602.89042802573</v>
      </c>
      <c r="G47" s="146">
        <f>HLOOKUP($E47,'2 a 7'!$C$105:$AF$113,G$64,FALSE)</f>
        <v>2.98</v>
      </c>
      <c r="H47" s="147" t="str">
        <f>HLOOKUP($E47,'2 a 7'!$C$105:$AF$113,H$64,FALSE)</f>
        <v>$\phi8@17$</v>
      </c>
      <c r="J47" s="267" t="str">
        <f>IF(H47='[1]Tabla 2 al 22'!H47,"IGUAL","CAMBIO")</f>
        <v>IGUAL</v>
      </c>
    </row>
    <row r="48" spans="5:10" hidden="1" x14ac:dyDescent="0.25">
      <c r="E48" s="145" t="str">
        <f>'2 a 7'!O104&amp;"-"&amp;'2 a 7'!P104</f>
        <v>205-219</v>
      </c>
      <c r="F48" s="146">
        <f>HLOOKUP($E48,'2 a 7'!$C$105:$AF$113,F$64,FALSE)</f>
        <v>1542.5991740322581</v>
      </c>
      <c r="G48" s="146">
        <f>HLOOKUP($E48,'2 a 7'!$C$105:$AF$113,G$64,FALSE)</f>
        <v>2.8699999999999997</v>
      </c>
      <c r="H48" s="147" t="str">
        <f>HLOOKUP($E48,'2 a 7'!$C$105:$AF$113,H$64,FALSE)</f>
        <v>$\phi8@17$</v>
      </c>
      <c r="J48" s="267" t="str">
        <f>IF(H48='[1]Tabla 2 al 22'!H48,"IGUAL","CAMBIO")</f>
        <v>IGUAL</v>
      </c>
    </row>
    <row r="49" spans="5:10" x14ac:dyDescent="0.25">
      <c r="E49" s="145" t="str">
        <f>'2 a 7'!Q104&amp;"-"&amp;'2 a 7'!R104</f>
        <v>206-219</v>
      </c>
      <c r="F49" s="146">
        <f>HLOOKUP($E49,'2 a 7'!$C$105:$AF$113,F$64,FALSE)</f>
        <v>908.03294844827553</v>
      </c>
      <c r="G49" s="146">
        <f>HLOOKUP($E49,'2 a 7'!$C$105:$AF$113,G$64,FALSE)</f>
        <v>1.69</v>
      </c>
      <c r="H49" s="147" t="str">
        <f>HLOOKUP($E49,'2 a 7'!$C$105:$AF$113,H$64,FALSE)</f>
        <v>$\phi8@17$</v>
      </c>
      <c r="J49" s="267" t="str">
        <f>IF(H49='[1]Tabla 2 al 22'!H49,"IGUAL","CAMBIO")</f>
        <v>IGUAL</v>
      </c>
    </row>
    <row r="50" spans="5:10" x14ac:dyDescent="0.25">
      <c r="E50" s="145" t="str">
        <f>'2 a 7'!S104&amp;"-"&amp;'2 a 7'!T104</f>
        <v>206-208</v>
      </c>
      <c r="F50" s="146">
        <f>HLOOKUP($E50,'2 a 7'!$C$105:$AF$113,F$64,FALSE)</f>
        <v>894.79210344827561</v>
      </c>
      <c r="G50" s="146">
        <f>HLOOKUP($E50,'2 a 7'!$C$105:$AF$113,G$64,FALSE)</f>
        <v>1.67</v>
      </c>
      <c r="H50" s="147" t="str">
        <f>HLOOKUP($E50,'2 a 7'!$C$105:$AF$113,H$64,FALSE)</f>
        <v>$\phi8@17$</v>
      </c>
      <c r="J50" s="267" t="str">
        <f>IF(H50='[1]Tabla 2 al 22'!H50,"IGUAL","CAMBIO")</f>
        <v>IGUAL</v>
      </c>
    </row>
    <row r="51" spans="5:10" x14ac:dyDescent="0.25">
      <c r="E51" s="145" t="str">
        <f>'2 a 7'!U104&amp;"-"&amp;'2 a 7'!V104</f>
        <v>206-207</v>
      </c>
      <c r="F51" s="146">
        <f>HLOOKUP($E51,'2 a 7'!$C$105:$AF$113,F$64,FALSE)</f>
        <v>1046.773442698259</v>
      </c>
      <c r="G51" s="146">
        <f>HLOOKUP($E51,'2 a 7'!$C$105:$AF$113,G$64,FALSE)</f>
        <v>1.95</v>
      </c>
      <c r="H51" s="147" t="str">
        <f>HLOOKUP($E51,'2 a 7'!$C$105:$AF$113,H$64,FALSE)</f>
        <v>$\phi8@17$</v>
      </c>
      <c r="J51" s="267" t="str">
        <f>IF(H51='[1]Tabla 2 al 22'!H51,"IGUAL","CAMBIO")</f>
        <v>IGUAL</v>
      </c>
    </row>
    <row r="52" spans="5:10" x14ac:dyDescent="0.25">
      <c r="E52" s="145" t="str">
        <f>'2 a 7'!W104&amp;"-"&amp;'2 a 7'!X104</f>
        <v>206-222</v>
      </c>
      <c r="F52" s="146">
        <f>HLOOKUP($E52,'2 a 7'!$C$105:$AF$113,F$64,FALSE)</f>
        <v>1010.6058223259844</v>
      </c>
      <c r="G52" s="146">
        <f>HLOOKUP($E52,'2 a 7'!$C$105:$AF$113,G$64,FALSE)</f>
        <v>1.8800000000000001</v>
      </c>
      <c r="H52" s="147" t="str">
        <f>HLOOKUP($E52,'2 a 7'!$C$105:$AF$113,H$64,FALSE)</f>
        <v>$\phi8@17$</v>
      </c>
      <c r="J52" s="267" t="str">
        <f>IF(H52='[1]Tabla 2 al 22'!H52,"IGUAL","CAMBIO")</f>
        <v>IGUAL</v>
      </c>
    </row>
    <row r="53" spans="5:10" x14ac:dyDescent="0.25">
      <c r="E53" s="145" t="str">
        <f>'2 a 7'!Y104&amp;"-"&amp;'2 a 7'!Z104</f>
        <v>207-208</v>
      </c>
      <c r="F53" s="146">
        <f>HLOOKUP($E53,'2 a 7'!$C$105:$AF$113,F$64,FALSE)</f>
        <v>351.95308536585367</v>
      </c>
      <c r="G53" s="146">
        <f>HLOOKUP($E53,'2 a 7'!$C$105:$AF$113,G$64,FALSE)</f>
        <v>0.66</v>
      </c>
      <c r="H53" s="147" t="str">
        <f>HLOOKUP($E53,'2 a 7'!$C$105:$AF$113,H$64,FALSE)</f>
        <v>$\phi8@17$</v>
      </c>
      <c r="J53" s="267" t="str">
        <f>IF(H53='[1]Tabla 2 al 22'!H53,"IGUAL","CAMBIO")</f>
        <v>IGUAL</v>
      </c>
    </row>
    <row r="54" spans="5:10" hidden="1" x14ac:dyDescent="0.25">
      <c r="E54" s="145" t="str">
        <f>'2 a 7'!C115&amp;"-"&amp;'2 a 7'!D115</f>
        <v>207-222</v>
      </c>
      <c r="F54" s="146">
        <f>HLOOKUP($E54,'2 a 7'!$C$116:$AF$124,F$64,FALSE)</f>
        <v>569.34698758580407</v>
      </c>
      <c r="G54" s="146">
        <f>HLOOKUP($E54,'2 a 7'!$C$116:$AF$124,G$64,FALSE)</f>
        <v>1.06</v>
      </c>
      <c r="H54" s="147" t="str">
        <f>HLOOKUP($E54,'2 a 7'!$C$116:$AF$124,H$64,FALSE)</f>
        <v>$\phi8@17$</v>
      </c>
      <c r="J54" s="267" t="str">
        <f>IF(H54='[1]Tabla 2 al 22'!H54,"IGUAL","CAMBIO")</f>
        <v>IGUAL</v>
      </c>
    </row>
    <row r="55" spans="5:10" x14ac:dyDescent="0.25">
      <c r="E55" s="145" t="str">
        <f>'2 a 7'!E115&amp;"-"&amp;'2 a 7'!F115</f>
        <v>208-209</v>
      </c>
      <c r="F55" s="146">
        <f>HLOOKUP($E55,'2 a 7'!$C$116:$AF$124,F$64,FALSE)</f>
        <v>462.29215714285709</v>
      </c>
      <c r="G55" s="146">
        <f>HLOOKUP($E55,'2 a 7'!$C$116:$AF$124,G$64,FALSE)</f>
        <v>0.86</v>
      </c>
      <c r="H55" s="147" t="str">
        <f>HLOOKUP($E55,'2 a 7'!$C$116:$AF$124,H$64,FALSE)</f>
        <v>$\phi8@17$</v>
      </c>
      <c r="J55" s="267" t="str">
        <f>IF(H55='[1]Tabla 2 al 22'!H55,"IGUAL","CAMBIO")</f>
        <v>IGUAL</v>
      </c>
    </row>
    <row r="56" spans="5:10" x14ac:dyDescent="0.25">
      <c r="E56" s="145" t="str">
        <f>'2 a 7'!G115&amp;"-"&amp;'2 a 7'!H115</f>
        <v>208-210</v>
      </c>
      <c r="F56" s="146">
        <f>HLOOKUP($E56,'2 a 7'!$C$116:$AF$124,F$64,FALSE)</f>
        <v>961.29421276595713</v>
      </c>
      <c r="G56" s="146">
        <f>HLOOKUP($E56,'2 a 7'!$C$116:$AF$124,G$64,FALSE)</f>
        <v>1.79</v>
      </c>
      <c r="H56" s="147" t="str">
        <f>HLOOKUP($E56,'2 a 7'!$C$116:$AF$124,H$64,FALSE)</f>
        <v>$\phi8@17$</v>
      </c>
      <c r="J56" s="267" t="str">
        <f>IF(H56='[1]Tabla 2 al 22'!H56,"IGUAL","CAMBIO")</f>
        <v>IGUAL</v>
      </c>
    </row>
    <row r="57" spans="5:10" x14ac:dyDescent="0.25">
      <c r="E57" s="145" t="str">
        <f>'2 a 7'!I115&amp;"-"&amp;'2 a 7'!J115</f>
        <v>209-222</v>
      </c>
      <c r="F57" s="146">
        <f>HLOOKUP($E57,'2 a 7'!$C$116:$AF$124,F$64,FALSE)</f>
        <v>725.92662217194572</v>
      </c>
      <c r="G57" s="146">
        <f>HLOOKUP($E57,'2 a 7'!$C$116:$AF$124,G$64,FALSE)</f>
        <v>1.35</v>
      </c>
      <c r="H57" s="147" t="str">
        <f>HLOOKUP($E57,'2 a 7'!$C$116:$AF$124,H$64,FALSE)</f>
        <v>$\phi8@17$</v>
      </c>
      <c r="J57" s="267" t="str">
        <f>IF(H57='[1]Tabla 2 al 22'!H57,"IGUAL","CAMBIO")</f>
        <v>IGUAL</v>
      </c>
    </row>
    <row r="58" spans="5:10" x14ac:dyDescent="0.25">
      <c r="E58" s="145" t="str">
        <f>'2 a 7'!K115&amp;"-"&amp;'2 a 7'!L115</f>
        <v>209-210</v>
      </c>
      <c r="F58" s="146">
        <f>HLOOKUP($E58,'2 a 7'!$C$116:$AF$124,F$64,FALSE)</f>
        <v>1065.1196600985222</v>
      </c>
      <c r="G58" s="146">
        <f>HLOOKUP($E58,'2 a 7'!$C$116:$AF$124,G$64,FALSE)</f>
        <v>1.98</v>
      </c>
      <c r="H58" s="147" t="str">
        <f>HLOOKUP($E58,'2 a 7'!$C$116:$AF$124,H$64,FALSE)</f>
        <v>$\phi8@17$</v>
      </c>
      <c r="J58" s="267" t="str">
        <f>IF(H58='[1]Tabla 2 al 22'!H58,"IGUAL","CAMBIO")</f>
        <v>IGUAL</v>
      </c>
    </row>
    <row r="59" spans="5:10" ht="15.75" thickBot="1" x14ac:dyDescent="0.3">
      <c r="E59" s="148" t="str">
        <f>'2 a 7'!M115&amp;"-"&amp;'2 a 7'!N115</f>
        <v>210-211</v>
      </c>
      <c r="F59" s="149">
        <f>HLOOKUP($E59,'2 a 7'!$C$116:$AF$124,F$64,FALSE)</f>
        <v>1491.3769380501776</v>
      </c>
      <c r="G59" s="149">
        <f>HLOOKUP($E59,'2 a 7'!$C$116:$AF$124,G$64,FALSE)</f>
        <v>2.7699999999999996</v>
      </c>
      <c r="H59" s="150" t="str">
        <f>HLOOKUP($E59,'2 a 7'!$C$116:$AF$124,H$64,FALSE)</f>
        <v>$\phi8@17$</v>
      </c>
      <c r="J59" s="268" t="str">
        <f>IF(H59='[1]Tabla 2 al 22'!H59,"IGUAL","CAMBIO")</f>
        <v>IGUAL</v>
      </c>
    </row>
    <row r="60" spans="5:10" hidden="1" x14ac:dyDescent="0.25">
      <c r="E60" s="145" t="str">
        <f>'2 a 7'!O115&amp;"-"&amp;'2 a 7'!P115</f>
        <v>210-218</v>
      </c>
      <c r="F60" s="146">
        <f>HLOOKUP($E60,'2 a 7'!$C$116:$AF$124,F$64,FALSE)</f>
        <v>974.53505776595716</v>
      </c>
      <c r="G60" s="146">
        <f>HLOOKUP($E60,'2 a 7'!$C$116:$AF$124,G$64,FALSE)</f>
        <v>1.81</v>
      </c>
      <c r="H60" s="147" t="str">
        <f>HLOOKUP($E60,'2 a 7'!$C$116:$AF$124,H$64,FALSE)</f>
        <v>$\phi8@17$</v>
      </c>
      <c r="J60" s="267" t="str">
        <f>IF(H60='[1]Tabla 1'!H60,"IGUAL","CAMBIO")</f>
        <v>CAMBIO</v>
      </c>
    </row>
    <row r="61" spans="5:10" hidden="1" x14ac:dyDescent="0.25">
      <c r="E61" s="145" t="str">
        <f>'2 a 7'!Q115&amp;"-"&amp;'2 a 7'!R115</f>
        <v>211-218</v>
      </c>
      <c r="F61" s="146">
        <f>HLOOKUP($E61,'2 a 7'!$C$116:$AF$124,F$64,FALSE)</f>
        <v>1443.4629837096775</v>
      </c>
      <c r="G61" s="146">
        <f>HLOOKUP($E61,'2 a 7'!$C$116:$AF$124,G$64,FALSE)</f>
        <v>2.69</v>
      </c>
      <c r="H61" s="147" t="str">
        <f>HLOOKUP($E61,'2 a 7'!$C$116:$AF$124,H$64,FALSE)</f>
        <v>$\phi8@17$</v>
      </c>
      <c r="J61" s="267" t="str">
        <f>IF(H61='[1]Tabla 1'!H61,"IGUAL","CAMBIO")</f>
        <v>CAMBIO</v>
      </c>
    </row>
    <row r="62" spans="5:10" hidden="1" x14ac:dyDescent="0.25">
      <c r="E62" s="145" t="str">
        <f>'2 a 7'!S115&amp;"-"&amp;'2 a 7'!T115</f>
        <v>211-217</v>
      </c>
      <c r="F62" s="146">
        <f>HLOOKUP($E62,'2 a 7'!$C$116:$AF$124,F$64,FALSE)</f>
        <v>1229.1776120930235</v>
      </c>
      <c r="G62" s="146">
        <f>HLOOKUP($E62,'2 a 7'!$C$116:$AF$124,G$64,FALSE)</f>
        <v>2.2899999999999996</v>
      </c>
      <c r="H62" s="147" t="str">
        <f>HLOOKUP($E62,'2 a 7'!$C$116:$AF$124,H$64,FALSE)</f>
        <v>$\phi8@17$</v>
      </c>
      <c r="J62" s="267" t="str">
        <f>IF(H62='[1]Tabla 1'!H62,"IGUAL","CAMBIO")</f>
        <v>CAMBIO</v>
      </c>
    </row>
    <row r="63" spans="5:10" ht="15.75" hidden="1" thickBot="1" x14ac:dyDescent="0.3">
      <c r="E63" s="148" t="str">
        <f>'2 a 7'!U115&amp;"-"&amp;'2 a 7'!V115</f>
        <v>213-214</v>
      </c>
      <c r="F63" s="149">
        <f>HLOOKUP($E63,'2 a 7'!$C$116:$AF$124,F$64,FALSE)</f>
        <v>224.36184000000003</v>
      </c>
      <c r="G63" s="149">
        <f>HLOOKUP($E63,'2 a 7'!$C$116:$AF$124,G$64,FALSE)</f>
        <v>0.42</v>
      </c>
      <c r="H63" s="150" t="str">
        <f>HLOOKUP($E63,'2 a 7'!$C$116:$AF$124,H$64,FALSE)</f>
        <v>$\phi8@17$</v>
      </c>
      <c r="J63" s="267" t="str">
        <f>IF(H63='[1]Tabla 1'!H63,"IGUAL","CAMBIO")</f>
        <v>CAMBIO</v>
      </c>
    </row>
    <row r="64" spans="5:10" x14ac:dyDescent="0.25">
      <c r="E64" s="121"/>
      <c r="F64" s="121">
        <v>5</v>
      </c>
      <c r="G64" s="121">
        <v>8</v>
      </c>
      <c r="H64" s="121">
        <v>9</v>
      </c>
      <c r="J64" s="202"/>
    </row>
    <row r="65" spans="10:10" x14ac:dyDescent="0.25">
      <c r="J65" s="6"/>
    </row>
    <row r="66" spans="10:10" x14ac:dyDescent="0.25">
      <c r="J66" s="6"/>
    </row>
  </sheetData>
  <mergeCells count="12">
    <mergeCell ref="E28:F28"/>
    <mergeCell ref="B2:H2"/>
    <mergeCell ref="I2:K2"/>
    <mergeCell ref="L2:N2"/>
    <mergeCell ref="B3:B4"/>
    <mergeCell ref="E3:E4"/>
    <mergeCell ref="F3:F4"/>
    <mergeCell ref="G3:H3"/>
    <mergeCell ref="I3:J3"/>
    <mergeCell ref="K3:L3"/>
    <mergeCell ref="M3:N3"/>
    <mergeCell ref="D3:D4"/>
  </mergeCells>
  <conditionalFormatting sqref="Q5:T24">
    <cfRule type="containsText" dxfId="19" priority="4" operator="containsText" text="CAMBIO">
      <formula>NOT(ISERROR(SEARCH("CAMBIO",Q5)))</formula>
    </cfRule>
  </conditionalFormatting>
  <conditionalFormatting sqref="Q25:T27">
    <cfRule type="containsText" dxfId="18" priority="3" operator="containsText" text="CAMBIO">
      <formula>NOT(ISERROR(SEARCH("CAMBIO",Q25)))</formula>
    </cfRule>
  </conditionalFormatting>
  <conditionalFormatting sqref="J30:J58">
    <cfRule type="containsText" dxfId="17" priority="2" operator="containsText" text="CAMBIO">
      <formula>NOT(ISERROR(SEARCH("CAMBIO",J30)))</formula>
    </cfRule>
  </conditionalFormatting>
  <conditionalFormatting sqref="Q25:T25">
    <cfRule type="containsText" dxfId="0" priority="1" operator="containsText" text="CAMBIO">
      <formula>NOT(ISERROR(SEARCH("CAMBIO",Q25)))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tablas</vt:lpstr>
      <vt:lpstr>-1</vt:lpstr>
      <vt:lpstr>Tabla -1</vt:lpstr>
      <vt:lpstr>1</vt:lpstr>
      <vt:lpstr>Tabla 1</vt:lpstr>
      <vt:lpstr>2 a 7</vt:lpstr>
      <vt:lpstr>8 a 13</vt:lpstr>
      <vt:lpstr>14 a 22</vt:lpstr>
      <vt:lpstr>Tabla 2 al 22</vt:lpstr>
      <vt:lpstr>23</vt:lpstr>
      <vt:lpstr>Tabla 23</vt:lpstr>
      <vt:lpstr>24</vt:lpstr>
      <vt:lpstr>Tabla 24</vt:lpstr>
      <vt:lpstr>Cubierta</vt:lpstr>
      <vt:lpstr>Tabla cub</vt:lpstr>
      <vt:lpstr>Deformaciones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elba valenzuela</dc:creator>
  <cp:lastModifiedBy>Administrador</cp:lastModifiedBy>
  <cp:lastPrinted>2018-11-12T20:55:56Z</cp:lastPrinted>
  <dcterms:created xsi:type="dcterms:W3CDTF">2018-11-12T17:14:42Z</dcterms:created>
  <dcterms:modified xsi:type="dcterms:W3CDTF">2018-11-19T18:13:48Z</dcterms:modified>
</cp:coreProperties>
</file>